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ntiment_analysis" sheetId="1" r:id="rId4"/>
    <sheet state="visible" name="Copy of sentiment_analysis" sheetId="2" r:id="rId5"/>
    <sheet state="visible" name="event_table" sheetId="3" r:id="rId6"/>
    <sheet state="visible" name="Copy of event_table" sheetId="4" r:id="rId7"/>
    <sheet state="visible" name="user_table" sheetId="5" r:id="rId8"/>
    <sheet state="visible" name="Copy of user_table" sheetId="6" r:id="rId9"/>
    <sheet state="visible" name="city_table" sheetId="7" r:id="rId10"/>
    <sheet state="visible" name="category_table" sheetId="8" r:id="rId11"/>
  </sheets>
  <definedNames>
    <definedName hidden="1" localSheetId="0" name="_xlnm._FilterDatabase">sentiment_analysis!$A$1:$AF$3246</definedName>
    <definedName hidden="1" localSheetId="1" name="_xlnm._FilterDatabase">'Copy of sentiment_analysis'!$A$1:$AC$3246</definedName>
  </definedNames>
  <calcPr/>
</workbook>
</file>

<file path=xl/sharedStrings.xml><?xml version="1.0" encoding="utf-8"?>
<sst xmlns="http://schemas.openxmlformats.org/spreadsheetml/2006/main" count="14831" uniqueCount="4286">
  <si>
    <t>event_id</t>
  </si>
  <si>
    <t>category_id</t>
  </si>
  <si>
    <t>user_id</t>
  </si>
  <si>
    <t>user_name</t>
  </si>
  <si>
    <t>user_past_event</t>
  </si>
  <si>
    <t>review_id</t>
  </si>
  <si>
    <t>rating</t>
  </si>
  <si>
    <t>date</t>
  </si>
  <si>
    <t>text</t>
  </si>
  <si>
    <t>Fasilitas OK, petugas ramah, kebersihan baik, seruuu banget, pengen kesana lagi deh...</t>
  </si>
  <si>
    <t>liburan yang sangat menyenangkan</t>
  </si>
  <si>
    <t>seneng bangett udh lama ga ke dufan</t>
  </si>
  <si>
    <t>Dufan bagus sih buat yang mau refreshing. Semoga wahananya terus awet dan semakin banyak wahana baru</t>
  </si>
  <si>
    <t>Dari proses pembelian tiket sampai masuk ke wahana sangat mudah 😎. Terima kasih traveloka</t>
  </si>
  <si>
    <t>menyenangkan healing bersama-sama 🙏</t>
  </si>
  <si>
    <t>Sat set sat set beli di traveloka lebih gampang gk pake antri tinggal masuk aja nunjukin barcode vouchernya. Ada diskonnya juga. Fasilitas di dalam juga ok, bikin anak2 senang</t>
  </si>
  <si>
    <t>anak-anak happy</t>
  </si>
  <si>
    <t>Bagus 👍 Seru 😊 terutama ketika bisa pegang bintang laut 🤗 tp hrs di dlm air yah😉</t>
  </si>
  <si>
    <t>banyak pengetahuan untuk balita</t>
  </si>
  <si>
    <t>menambah pengetahuan anak saya</t>
  </si>
  <si>
    <t>tempatnya nyaman bersih. ramai pengunjung</t>
  </si>
  <si>
    <t>luar biasa kereeen, stafnya ramah sekali. untuk para pengunjung yukkk jaga kebersihannya</t>
  </si>
  <si>
    <t>tempatnya recommended untuk liburan keluarga</t>
  </si>
  <si>
    <t>senang disini... bisa sambil olah raga</t>
  </si>
  <si>
    <t>Penukaran tiket dari traveloka berjalan lancar dangan sangat mudah. Benar2 mempersingkat waktu dan harga lebih murah daripada OTS</t>
  </si>
  <si>
    <t>asik tapi kalo pergi weekend rame bgt</t>
  </si>
  <si>
    <t>seharusnya menyenangkan, tetapi saat di sana ternyata banyak atraksi permainan yg tidak beroperasi karena rusak. semoga kedepannya lebih baik lg dalam perawatan</t>
  </si>
  <si>
    <t>karena week and terlalu banyak orang sehingga tidak maksimal untuk melihat pertunjukan nya. tapi untuk bermain anak-anak lumayan ya. karena banyak pengetahuan yang di dapat tentang kehidupan di bawah laut.</t>
  </si>
  <si>
    <t>so far so good, terima kasih untuk ilmu dan pengalaman yg dibagikan untuk menjadi sebuah pembelajaran dan kenangan tersendiri bersama keluarga.</t>
  </si>
  <si>
    <t>pengalaman pertama ke seaworld buat anak-anaknya adik ipar mereka senang dan katanya pengen balik ke sini lagi</t>
  </si>
  <si>
    <t>harga naik boogie kemahalan. penunjuk arah kurang jelas,dan keterangan redeem tiket online kurang,akhirnya harus mengantri di tiket langsung dan terakhir baru dikasihtau kalau antri tiket online bukan disitu, dan kena bukan hanya saya tapi ada beberapa tamu yang kena. semoga pelayanan dan informasi lebih jelas terutama disaat high season atau holiday. Terimakasih 🙏 sukses selalu GWK da</t>
  </si>
  <si>
    <t>harga tiket terlalu mahal, kurang bervariasi untuk wisatanya</t>
  </si>
  <si>
    <t>Staff bahkan ga tau gimana cara tukar vouchernya. Ini staff di pintu masuk utama loh! Dufan kotor dan belum terawat (efek pandemi) Hari Senin aja antriannya ampuuun …!</t>
  </si>
  <si>
    <t>Aplikasi mudah dan simple, harga relatif saja, hampir sama dgn aplikasi lain sejenis, not bad lah untuk refrensi pernandingan harga, kurang promo promonya, kadang masih suka bug sistem</t>
  </si>
  <si>
    <t>Sabar dulu</t>
  </si>
  <si>
    <t>sudah terlalu lama kurang kebersihannya</t>
  </si>
  <si>
    <t>terlihat sekali sudah kuno</t>
  </si>
  <si>
    <t>Lemot</t>
  </si>
  <si>
    <t>Bismillah</t>
  </si>
  <si>
    <t>Indodananya lagi bokek sekarang ini.</t>
  </si>
  <si>
    <t>Bagus</t>
  </si>
  <si>
    <t>Videonya macet2 saat live</t>
  </si>
  <si>
    <t>Udah aktif lama tp iklan di aplikasi lain dan terlalu sering dan otomatis aktif sendiri</t>
  </si>
  <si>
    <t>Traveloka Lagi Error' apa gimana ya Saya buka Fitur Paylatter kok ga bisa bisa ya Tolong di Respon</t>
  </si>
  <si>
    <t>Sangat kecewa, pesan kamar hotel di oyo. Sudah dibayar tp giliran mau check-in katanya kamarnya penuh. Mau refund jg gk bs. Jadi uang hangus. Padahal pesen 4 kamar.. Gitu amat ya cara nyari duitnya</t>
  </si>
  <si>
    <t>Awas jebakan dari Paylater nya Traveloka kawan!!! Kalau tidak mau kecewa jangan coba coba pakai jasa Payater Traveloka. Jangan sampai kalian kirim foto KTP dan foto diri kalian ke Traveloka. Karena pasti Mereka Seenak jidat menolak dan menghilangkan fitur Paylater di Traveloka kita Setelah bolak balik suruh perbaiki dan kirim data pribadi. Dan hapus data pribadi saya yg sudah terlanjur saya kirim ke Traveloka ! Saya laporkan polisi jika data saya disalahgunankan!</t>
  </si>
  <si>
    <t>Tolong untuk traveloka khususnya traveloka paylater tolong untuk tidak membocorkan informasi pribadi khususnya data customer no handphone pribadi kepada pihak manapun,,baru saya ajukan pinjaman untuk menginap dan saya pun belum menginap periode bayar pun belum lewat sudah ditelepon oleh puluhan no yang tidak jelas,,harusnya data konsumen sudah dijamin oleh ojk agar tidak disebarluaskan,,untuk yang mau pakai traveloka paylater harap dipikir ulang kalau tidak mau di telpon no yang tidak jelas.</t>
  </si>
  <si>
    <t>aneh, apk nya ga bisa dijalankan, dan selalu ada keterangan hlaman yg anda lihat mungkin bukan versi terbaru. padahal udh di update</t>
  </si>
  <si>
    <t>Aplikasi tdk bisa dibuka, hanya gambar burung diam aja tdk bergerak. Semakin kesini malah makin kesana. Perbaiki dong</t>
  </si>
  <si>
    <t>Menyambungkan terus setelag update, tidak bisa dibuka, fix uninstal</t>
  </si>
  <si>
    <t>Habis di update malah ndak bisa cari tiket,, baru te keluar sendiri kayak mana ni min</t>
  </si>
  <si>
    <t>3 hari lalu berhasil booking bus untuk perjalanan jkt - solo next akhir bulan.. Tapi kenapa hari ini mau booking bus untuk perjalanan yang lain tidak bisa? Tidak timbul sama sekali rincian daftar list bus nya</t>
  </si>
  <si>
    <t>Gak jelas banget nih APK ! saya mau menghadiri sebuah event dan di event tersebut maksimal hanya boleh membeli 1 tiket. Pas saya mau beli karena tiket udah ready malah nggak bisa, ada pemberitahuan "anda sudah mencapai batas maksimum pembelian", lah kata saya, orang saya belum sama sekali beli..tiketnya juga baru muncul, KAN ANEH BIN AJAIB</t>
  </si>
  <si>
    <t>Aplikasi penipuan.. saya pesan hotel... Uang saya udah kepotong... Tp d tiketcom malah tdk d proses... Auto uninstall</t>
  </si>
  <si>
    <t>Gajelas</t>
  </si>
  <si>
    <t>Blipay Tiba tiba hilang tidak ada di aplikasi padahal uangnya masih😢😢</t>
  </si>
  <si>
    <t>servernya tlong diperbaiki dulu. masa mau war tiket konser suga, tidak masuk2 ke server dan berujung kehabisan. 30mnt an baru bs masuk server dlm keadaan tiket sdh habis dipesan, itupun masih kdg2 biss kdg2 enggak. huft sdh biaya platformnya mahal tp server jelek bgt. pffftttt.</t>
  </si>
  <si>
    <t>ada beberapa wahana yang sedang perbaikan, tp terlihat sudah mulai ramai, selalu menyenangkan setiap dtg ke dufan!</t>
  </si>
  <si>
    <t>Akses sangat mudah dg tiket online, mushola sdh banyak, wahana upadate setiap tahun, rumah riana dan kereta misteri, seru pokoknya</t>
  </si>
  <si>
    <t>selalu menyenangkan pergi ke dufan.</t>
  </si>
  <si>
    <t>sangat menyenangkan pesan tiket di traveloka... dan permainannya banyak</t>
  </si>
  <si>
    <t>happy sekali, terima kasih traveloka</t>
  </si>
  <si>
    <t>simple bgt redeem dan aktivasinya. cm kl beli di hr h jam 2 siang udah ga bisa. beli di counter lbh mahal. harga traveloka murah bgt apalagi kl ada promo dr traveloka.</t>
  </si>
  <si>
    <t>bagus dan nyaman dan secara keamanan juga baik</t>
  </si>
  <si>
    <t>wahananya bikin greget. cocok buat yg mau lampiasin bisa teriak sepuasnya</t>
  </si>
  <si>
    <t>tempat yg nyaman n bagus utk anak2</t>
  </si>
  <si>
    <t>Sangat menyenangkan boleh berkunjung ke sini.</t>
  </si>
  <si>
    <t>semua berjalan dengan sangat baik dan penuh dengan ramah tamah</t>
  </si>
  <si>
    <t>Ke depan sebaiknya dibuat paket dengan pintu masuk ancol karena saya kaget saat masuk ancol tiket yang saya beli belum termasuk pintu masuk ancol</t>
  </si>
  <si>
    <t>Ok semua. Fasilitas lengkap, Bersih Dan Nyaman</t>
  </si>
  <si>
    <t>Anak saya sangat senang ketika mengunjungi seaworld dan ocean dream. Walaupun gak nyangka jalan nya jauh banget dari gerbang masuk. Sayang nya juga kami tidak sempat nonton pertunjukan lumba2 di ocean dream di karenakan sudah capek semua. Tapi anak saya sangat senang dan ingin ke sini lagi nanti pas liburan sekolahnya.</t>
  </si>
  <si>
    <t>mantabzzz untuk liburan bersama keluarga</t>
  </si>
  <si>
    <t>Redeem tiket cepat, protokol kesehatan berjalan</t>
  </si>
  <si>
    <t>Perlu penerangan lebih di beberapa tempat</t>
  </si>
  <si>
    <t>Sangat menarik... kebersihan terjaga...</t>
  </si>
  <si>
    <t>Staff yang berdiri di dekat penukaran tiket orang nya judes</t>
  </si>
  <si>
    <t>secara umum tidak ada kendala</t>
  </si>
  <si>
    <t>menyenangkan</t>
  </si>
  <si>
    <t>banyak wahana gak beroperasi, alasannya akhir tahun perbaikan. jadinya cuma jalan ngider2 doang panas2an</t>
  </si>
  <si>
    <t>saya sangat menikmati di SeaWorld, apalagi pakai voucher dari Traveloka, lebih mudah dan lebih cepat</t>
  </si>
  <si>
    <t>arahan untuk e-cardnya kurang informatif dan bikin konsumen bingung</t>
  </si>
  <si>
    <t>Aplikasi ini sangat bagus dan sangat membantu sekali, banyak promo yg ditawarkan, terimakasih Traveloka</t>
  </si>
  <si>
    <t>Senag menggunakan wastap tapi kenapa tiba2 dikatakan masa berlaku wastap telah habis.</t>
  </si>
  <si>
    <t>bagus</t>
  </si>
  <si>
    <t>sudah terpercaya, tapi kenapa ya rasanya tiap bulan kok naik terus harganya</t>
  </si>
  <si>
    <t>Traveloka sekarang mahal ny kebangeeetan</t>
  </si>
  <si>
    <t>mantabbb,,</t>
  </si>
  <si>
    <t>tingkat keramahan staff kurang, tidak boleh duduk di lantai meskipun hanya sekedar berfoto dgn timer krn pergi sendiri, lgsg kena teguran.. dslr / tongsis / analog di larang, tp dukungan staff juga tidak memadai</t>
  </si>
  <si>
    <t>Mbak penjaganya gak gercep membatasi muatan padahal masih banyak yang kosong. Anak sapai nangisss udah berharap bisa naik tapi nihill</t>
  </si>
  <si>
    <t>harus issue e-card di hari yg sama... biasa lagi asik main seharian dan ga sempet issue ecard jadi hangus. rugi deh beli untuk tahunan, dan diinfo harus issue e-card di hari yg sama di pdfnya... engga ada tulisan di appsnya yg ada barcode.</t>
  </si>
  <si>
    <t>Aman ga ya beli tiket pesawat di aplikasi ini?</t>
  </si>
  <si>
    <t>Kenapa aplikasi ini tifak bisa di install?</t>
  </si>
  <si>
    <t>Wh ok</t>
  </si>
  <si>
    <t>Akun Traveloka malah eror GK bisa masuk</t>
  </si>
  <si>
    <t>Hallo knp saya mau refund gk bisa ya nunggu kode gk masuk2</t>
  </si>
  <si>
    <t>Gak bisa di gunakan, padahal koneksi internet bagus wifi juga lancar tpi apknya gak bisa digunakan</t>
  </si>
  <si>
    <t>Aplikasi aneh dan berbelit belit Beli gift voucher total nominal 2jt, dikirim ke 2 penerima, penerima pertama pake aman, giliran saya mau pake gak bisa, keterangannya sudah pernah dipakai.. Waktu konfirmasi pelayan kayak aplikasi abal abal amatiran jawaban muter muter tanpa solusi, seminggu lebih nunggu info ujungnya dikonfirmasi sudah pernah dipake, lah siapa yg pake? Kalo aja ada bintang minus, udah tak kasih minus ni aplikasi 👎👎👎👎</t>
  </si>
  <si>
    <t>Promo tertera tp sekali di gunakan , habis Trus ngapain di pajang trus promonya Dari dulu ga pernah dapet promo</t>
  </si>
  <si>
    <t>Jembutrrrr</t>
  </si>
  <si>
    <t>APLIKASI BURUK SEKALI!! PAYMENT BERHASIL TAPI HOTEL GW GA DAPAT!! HUBUNGIN CS TAPI LAMA BGT BALES NYA!!</t>
  </si>
  <si>
    <t>Aplikasi jelek merugikan, sudah transfer tetapi orderan tidak di selesai kan dan e-tiket tidak di terbitkan, CS pun semua pake robot susah untuk komplain</t>
  </si>
  <si>
    <t>Saya sudah bayar tp di hub tdk bisa , tiket blom dikirim, buat ssh org</t>
  </si>
  <si>
    <t>Bilangnya pusat bantuan 24/7 saya mengajukan keluhan aja seharian tidak ditanggapi jangan sok iklan lah kalo hasilnya Nol Besar.</t>
  </si>
  <si>
    <t>Customer care sangat tidak peduli, semua nomor dan email layanan tidak memberikan tanggapan atas masalah yang ada</t>
  </si>
  <si>
    <t>Mau reschedule harus urus sendiri kelamaan</t>
  </si>
  <si>
    <t>Aplikasinya ngebug. Pencet tiket bus tapi ga ada yg bisa dipilih. Aneh</t>
  </si>
  <si>
    <t>Aplikasi yang sangat tidak recomended, para pencari uang haram customer</t>
  </si>
  <si>
    <t>Minimal bantuin tinjau proses refund GUDFEST. Jangan main lepas tangan aja. Tanggung jawab jg kan kita beli tiket di kalian.</t>
  </si>
  <si>
    <t>ok, but karena weekend lumayan ramai</t>
  </si>
  <si>
    <t>Dufan sudah banyak perubahan namun tetap saja jika kesana hari liburan harus antri panjang...</t>
  </si>
  <si>
    <t>gampang juga buat e-card, gak susah...</t>
  </si>
  <si>
    <t>oke banget pelayanan nya</t>
  </si>
  <si>
    <t>sangat seru dan favoritku adalah aquarium tunnel</t>
  </si>
  <si>
    <t>kesini pas weekend jadi rame banget tapi alhamdulillah tetep masih bisa menikmati</t>
  </si>
  <si>
    <t>seru, tempatnya bagus dan recomended buat anak2.</t>
  </si>
  <si>
    <t>Semuanya menyenangkan dan memberikan kesan untuk kami.</t>
  </si>
  <si>
    <t>Seruu membawa anak ke sea world dan ocean samudra</t>
  </si>
  <si>
    <t>Staff yang ramah, pengaturan yang rapi dan semuanya luar biasa</t>
  </si>
  <si>
    <t>keren bgt tempatnya dan sepi karena orang pilih ke puncak</t>
  </si>
  <si>
    <t>Tempat yang wajib dikunjungi kalau baru kali pertama ke Bali. Ingin menikmati tari kecak di amphiteater, namun karena saat itu ada festival kuliner, jadi dipindahkan di area atas. Agak kecewa sih, karena jadi gak dapet 'feel' dan view yang diinginkan. Karena sejajar sama penari, banyak penonton yang nggak kelihatan dari belakang. Tapi berkat festival kuliner, jadi banyak pilihan makanan yang bisa dinikmati. jadi ya 50-50 lah ya. Namun secara keseluruhan, menyenangkan.</t>
  </si>
  <si>
    <t>proses redeem voucher cepat, lumayan dapat potongan harga dibandingkan kalau beli di tempat. thanks Traveloka 😀</t>
  </si>
  <si>
    <t>sebaiknya klo mau berkunjung ke dufan jgn di hari weekend karena sangat padat, antrian tiap wahana sangat panjang dan lama sehingga hanya bisa mengikuti beberapa wahana yang ada..</t>
  </si>
  <si>
    <t>Sudah cukup lama tidak ke Dufan, banyak yg baru, dari mulai wahana bahkan sampai dengan theme song pun lebih kekinian, untuk redeem e-ticket mudah, e-card pun simpel, masukkan untuk pengelola agar wahana lebih dimaksimalkan. Krn ada beberapa yg under maintenance dan agar lebih banyak tenda-tenda untuk berlindung dari matahari. Terima kasih</t>
  </si>
  <si>
    <t>Secara relatif masih sangat terawat aquariumnya dan harganya terjangkau. Sayangnya area kolam 'touch pool' sudah tidak ada lagi.</t>
  </si>
  <si>
    <t>Senang ajak keluarga taambah lagi ikan-ikannya</t>
  </si>
  <si>
    <t>bagus tapi kurang terawat kebersihannya</t>
  </si>
  <si>
    <t>beli tiket online, tapi harus antri untuk ditukarkan disana. padahal ada barcode, harusnya disediakan fasilitas untuk tapping disana, tidak perlu antri seperti beli tiket disana.</t>
  </si>
  <si>
    <t>Bagus tapi blm aku coba.</t>
  </si>
  <si>
    <t>CS Traveloka ngga ada yang bisa dihubungi. Chat berulang kali ngga dibalas</t>
  </si>
  <si>
    <t>Ada apa ini traveloka error kah? Kenapa saya gk bisa melakukan pembayaran menggunakan paylater padahal limit saya masih banyak...</t>
  </si>
  <si>
    <t>beli tiket on site susah, alur perjalanan jauh, banyak jalan kaki dan hanya melihat jalan saja. masuk situs nya harus jalan kaki dan naik turun tangga cukup berat melelahkan. harga tiket juga cukup mahal, fasilitas kurang memuaskan. ada free drink, hanya sirup dingin tali harus jalan kaki lagi cukup jauh. benar2 melelahkan, kurang puas...mohon maaf</t>
  </si>
  <si>
    <t>Di saat genting tb² tiket di rescheduled, sgt ga membantu krn ga bs reschedule lgsg dr apps dan di suruh tlp nomer CS airlines, tapi CS Airlines ini aja udah ga bs di hub melalu itu dan di alihkan ke WA.. harus nya info nya update terkait no perubahan CS. Travel agent wajib punya informasi yg update.</t>
  </si>
  <si>
    <t>Mengecewakkan banget, mau ngajuin paylater gagal terus</t>
  </si>
  <si>
    <t>V. .pin I nj Bisa C</t>
  </si>
  <si>
    <t>Aku 2tahun ga pke traveloka sejak corona limit paylater gak pernah dikurangi. Pdhl jarang pake jg. Giliran ganti dari trinusa traveindo ke caturnusa sejahtera, uda nelpon tiba2 suruh bayar cepet2 pdhl masih jauh harinya, ga ramah pula kek deptcollector, limit tb2 diturunin hampir 3/4 dari limit sebelumnya. Ga mslh sebenernya, cm kecewa aja, pdhl akun lama bgt uda 5tahun lbh pke traveloka. Busuk!</t>
  </si>
  <si>
    <t>U mm</t>
  </si>
  <si>
    <t>good</t>
  </si>
  <si>
    <t>diperbaiki lagi untuk sistem pemilihan kursi nya, waktu pilih no kursi masih ada tetapi waktu mau bayar bertuliskan kursi penuh</t>
  </si>
  <si>
    <t>Mohon maintance ulang min, aplikasi terlalu berat untuk tampilan one UI terbaru</t>
  </si>
  <si>
    <t>Uang mepet booking hotel eh tiket tidak dapat diterbitkan padahal udah bayar lalu saya Refund uangnya blm balik dan proses nya lama bgt</t>
  </si>
  <si>
    <t>Aplikasi yang sangat bagus untuk berpergian keluar kota</t>
  </si>
  <si>
    <t>Proses penarikan dana dari bliblipay ke rek brp lama ya ....</t>
  </si>
  <si>
    <t>Maskapai apaan ini bagasi 15 kg lion tpi tdk d masukin harga merauke - Nabire 3.100 , bayar bagaisih 500 , 3 x transit , lion lion tdk berguna, maskapai di alihkan jauh skli kasian wanita tenteng barang 20 kg naik bagasi kabin percuma, tolong pemerintah d merauke datang nya garuda sampai nabire, lion sllu bermasalah tdk penting juga,</t>
  </si>
  <si>
    <t>Tiket gagal terbit gara2 aplikasinya telat update. Mau ganti kamar atau ganti hotel, sistem gagal mulu. Giliran mau refund lewat blipay, eh nunggu 14 hari baru bisa balik uangnya. Tolong diperbaiki ini sistemnya. Hey. Dan sekarang refundnya belum bisa cair, 2 kali mencairkan gagal. Mana sekali pencairan nunggu 3 hari lagi.</t>
  </si>
  <si>
    <t>Kesel bgt . setiap mau melanjutkan pembayaran tiket malah gangguan terus berulang2 . gimna ini. Mohon segera di perbaiki .</t>
  </si>
  <si>
    <t>Aplikasi jelek</t>
  </si>
  <si>
    <t>Beberapa kali booking hotel, selalu tidak sesuai dg harga di hotelnya, akhirnya diminta tambah sama resepsionis nya... Mungkin lebih ditekankan lagi dengan mitra hotelnya,, agar setelah bayar di aplikasi tidak dimintai tambah biayanya oleh pihak hotelnya... Terimakasih</t>
  </si>
  <si>
    <t>Sumpah KAPOK beli di sini. Di TKP gak jelas. Parah bangt. Gak jelas, gak ceto, gak untung, kapok</t>
  </si>
  <si>
    <t>Diskon nya kalah gede</t>
  </si>
  <si>
    <t>B"</t>
  </si>
  <si>
    <t>Ketipu sama pnginapan, uda gak ada penginapanya. Uang tidak bisa refound.</t>
  </si>
  <si>
    <t>iv</t>
  </si>
  <si>
    <t>Tidak kontak langsung dengan pengelola hotel, jd tdk bisa bertanya tanya dahulu</t>
  </si>
  <si>
    <t>beli tiket di traveloka sangat menyenangkan, meskipun utk aktifin ecard saya hrs ke google chrome krn di traveloka error trs. setelah aktivasi akan muncul kartu ecard kuning buat kita dan akan ada tulisan berlaku sampai kapan. oia utk 1x pembelian annual pass gratis masuk ancol per hari kedatangan kita ya, tapi tiket berlaku 1 tahun. pas di Dufan kita gak perlu antri di tempat tiket, cukup masuk dan scan barcode aja, nanti keluar deh wajah kita pas scan. pokoknya aman beli tiket di traveloka dan pastinya lbh murah dari web officialnya. makasih traveloka, anak2 senang dan orangtua puas</t>
  </si>
  <si>
    <t>Keren, karnaval show sudah ada lagi, dufan udah normal kembali seperti dulu, rameee...</t>
  </si>
  <si>
    <t>tempatnya bersih jadi nyaman buat bermain anak-anak</t>
  </si>
  <si>
    <t>Wahananya aman. Lokasi bersih.</t>
  </si>
  <si>
    <t>Walaupun sangat antri tp kami sangat menikmati dan bahagia, terima kasih dufan, sukses dan jaya terus ya</t>
  </si>
  <si>
    <t>walaupun ramai tetap terkendali</t>
  </si>
  <si>
    <t>tempat area sea world bagus dan bersih..menyenangkan melihat-lihat ikan 😊</t>
  </si>
  <si>
    <t>mantapp</t>
  </si>
  <si>
    <t>terbantu banget.senangnya.bisa mempermudah dan lebih cepat. ngga perlu ngantri.trima kasih traveloka😘</t>
  </si>
  <si>
    <t>Sangat bagus</t>
  </si>
  <si>
    <t>Buat ngajarin anak2 tentang situasi bawah laut</t>
  </si>
  <si>
    <t>Tempat yang bagus untuk keluarga. Sayangnya terlalu crowded, memang pada masa liburan, jadi full sekali. Tapi alangkah baiknya kalau diadakan kapasitas maksimal, jadi jangan jual tiket lebih banyak dari kapasitas yang bisa ditampung di satu hari, karena kalau terlalu penuh begini jadi tidak nyaman.</t>
  </si>
  <si>
    <t>Saya beli tiket bundling seaworld + ocean dreams + tiket ancol. tidak ada kendala, semua lancar. hanya bagi yang membawa kendaraan, siapkan saja biaya untuk tiket masuk kendaraannya. pengalaman yg menyenangkan, semua serba praktis dan mudah. cukup siapkan barcode tiket ketika akan masuk ke wahana (paperless).</t>
  </si>
  <si>
    <t>seru anak2 sangat suka</t>
  </si>
  <si>
    <t>Overall nice😍 Nyaman dan aman.</t>
  </si>
  <si>
    <t>Alhamdulillah bs mewujudkan janji mamak ke anaknya yg ultah. Plus ada promo pulak kan... Amat sangat mempermudah transaksi disana lbh murah pulak kalo beli ticketnya di Traveloka lhoooo... Pokoke... selalu ditunggu buat promo2nya lagi... Lumayaaan... gaes...! mamak2 selalu suka yg berbau2 promo...💖</t>
  </si>
  <si>
    <t>menyenangkan sekali, next time bakal balik lg</t>
  </si>
  <si>
    <t>anak suka, lari sana lari sini, ibunya juga sukak jd nostalgia waktu kecil, babanya mpe lupa bawa kamera... wkwkwk. untuk penukaran tiket ga ribet, asli tinggal masuk-masuk aja berasa vip... oia masukan aja nih, promonya ditambahin dong plus jgn dikit-dikit ngasih promonya</t>
  </si>
  <si>
    <t>cons: gak dapet antrean buat naik patung karena sudah sold out padahal belum jam 5 (banyak yg beli sebelum waktunya dijual?) tarian kecak yg dulu cerita barong &amp; rangda (lebih seru dan sakral) sekarang cerita tentang garuda wisnu kencana (turis oriented) waktu pulang antrean gak ada yg ngatur, naik shuttle serobot-serobotan</t>
  </si>
  <si>
    <t>Thanks traveloka , beli tiket lebih murah dan cepat aktivasinya, Happy with familly holiday at dufan</t>
  </si>
  <si>
    <t>sudah 8th ga ke dufan. wahananya masih cukup ok lah. tp kebersihannya kurang terjaga sekarang... banyak sudut2 tertentu kotor sekali</t>
  </si>
  <si>
    <t>antrinya lama banget seharian cuma dapet 3 wahana</t>
  </si>
  <si>
    <t>sedikit kecewa banyak wahana yg tutup</t>
  </si>
  <si>
    <t>pertama kali kesini, seru, apalagi buat yang bawa anak kecil. foto di terowongan aquarium yang iconic banget 😊</t>
  </si>
  <si>
    <t>tempat menyenangkan untuk menghabiskan waktu bersama anak dan keluarga</t>
  </si>
  <si>
    <t>Proses reedem voucher baik, ragam hewan laut cukup banyak,bisa liat proses memberi makan ikan yang ada di setiap kolam. hanya saja pada saat ke toilet bau sekali. tapi tampilannya bersih</t>
  </si>
  <si>
    <t>semua indah tetapi untuk kacanya tidak sebersih dulu jadi terlihat agak buram</t>
  </si>
  <si>
    <t>seru... asik... bikin pengen balik lagi 👍🏻👍🏻👍🏻</t>
  </si>
  <si>
    <t>Perform dr dancer2nya sudah OK, tp musiknya hanya pakai rekaman bukan live musical, sayang sekali 😮‍💨😮‍💨 Statue Wisnu, Garuda, &amp; GWK udah OK bgt,, tp acara kreatifnya masih sangat kurang.</t>
  </si>
  <si>
    <t>sangat crowded banget, dibanding wahana lain yang sama atau lebih murah.</t>
  </si>
  <si>
    <t>Bagus kok recommended banget</t>
  </si>
  <si>
    <t>Sangat mudah dan cepat</t>
  </si>
  <si>
    <t>Sangat nyaman dan bisa di percaya</t>
  </si>
  <si>
    <t>Duit gua kemana min padahal di atm udah berkurang,tapi saldo uangku kaga nambah</t>
  </si>
  <si>
    <t>Selamat malam</t>
  </si>
  <si>
    <t>Parah ni.. Kmarin saya pesan kamar setelah sampai di lokasi kata kasir harganya tidak sesuai jadi saya di minta biaya tambahan</t>
  </si>
  <si>
    <t>Udah berapa lama paylaternya sedang tidak bisa digunakan padahal bayar selalu tepat waktu</t>
  </si>
  <si>
    <t>Tapi 9o on w</t>
  </si>
  <si>
    <t>Saya masih belum siap untuk cuti 🙏🙏🙏</t>
  </si>
  <si>
    <t>Suck app</t>
  </si>
  <si>
    <t>Hati2 penggunaan virtual number paylater.. kalau transaksi gagal di e commerce, tetap dimasukin tagihan aja.. parah dan keseringan minta update aplikasinya</t>
  </si>
  <si>
    <t>Sekarang traveloka tidak pelayanan dan aplikasi nya tidak sebagus dulu,saya beli tiket pesawat tapi bukti checkout tiket yg di pesanan tidak bisa dilihat...jadi gak tau dimana e-tiket yg telah terbit gak bisa di scranshoot..😩😩tolong dong etiket bisa di terbitkan di pesanan nya dong..saya butuh setiap transaksi</t>
  </si>
  <si>
    <t>Parah sih gua pesen tiket pesawat gapernah dapet poin, alasannya karena gua pake voucher pada saat pembelian tiket pesawat. Padahal pada saat pembelian &amp; pakai vouchernya gaada tuh pemberitahuan apabila saya menggunakan kode voucher akan berakibat hilangnya hak konsumen mendapatkan traveloka poin. Kalau kayak gini apakah penyedia jasa berarti tidak memberikan informasi secara detail dan tidak memberikan hak kepada konsumen??</t>
  </si>
  <si>
    <t>Aplikasi payah, untuk refund saja susah, padahal nominal refund tidak besar, udah dapat email refund, malah prosenya berbelit-belit, mestinya ada sistem dari traveloka bahwa sudah dikirim atau belum, jangan malah tambahin bikin ribet konsumen Dengan dokumen tambahan dan lain2, kalau tidak mau kembalikan refund, bilang saja, tidak mau kembalikan refund, aplikasi parah</t>
  </si>
  <si>
    <t>2thn saya pake traveloka paylater, tp baru kali ini saya sangat kecewa, tiba tiba limit saya turun drastis dengan alasan pemakaian limit tidak sehat, padahal saya merasa tidak melanggar ketentuan dari traveloka, pembayaran pun selalu tepat waktu dan belum pernah sekalipun terlambat, tp skrg limit sy turun setengah nya, tidak bisa menggunakan virtual number dan QR di toko, jujur saya sangat kecewa.</t>
  </si>
  <si>
    <t>Tidak bagus, aplikasi sering lompat keluar, tidak bisa memesan tiket pesawat udah 2 hari, saya kecewa dengan buruknya aplikasinya.</t>
  </si>
  <si>
    <t>Pengalaman menginap terburuk sepanjang pesanan. Dan proses Refund karena menginap 3 malam dan 2 malam mati listrik harus menunggu kebijakan hotel padahal jelas itu hotel g punya genset.</t>
  </si>
  <si>
    <t>Saya sudah melakukan pembayaran paylater dan dari bank mengkonfirmasikan berhasil tapi dari pihak traveloka mengatakan belum terima, apakah ada yang mengalami hal ini?padahal no accnya sudah benar dan nama penerima Traveloka paylater... sekarang saya dikatakan telat bayar dan limit paylater saya diturunin traveloka drastis amat. Ah kecewa...padahal selama ini pembayaran lancar</t>
  </si>
  <si>
    <t>paylatter diblokir tanpa alasan yg jelas, katanya ada pemakaian tidak wajar, padahal pertama pakai pembayaran selalu tepat waktu, dan setelah itu belum pakai-pakai lagi.. tp dibilang begitu.. kocak memang.. traveloka udah gak rekomended lagi..</t>
  </si>
  <si>
    <t>Pastikan riwayat order bisa dihapus</t>
  </si>
  <si>
    <t>Pernah beli tiket ke museum imersifa Jakarta, taunya tiket gk berlaku</t>
  </si>
  <si>
    <t>Apk payah udah bayar ke aplikasi ini tapi ditagih lagi sama pihak hotelnya</t>
  </si>
  <si>
    <t>aplikasi sampiss</t>
  </si>
  <si>
    <t>Bad experience, pas war tiket konser. Harus ngelewatin step yang ribet, riweh dan makan waktu. Blm lagi pas web nya lagi error, harus ulang dr awal. Semoga diperbaiki biar lbh simple. Thx :)</t>
  </si>
  <si>
    <t>Seru banget ga sia-sia beli annual setahun</t>
  </si>
  <si>
    <t>Senang bisa ke dufan lagi setelah sekian lama. Tapi disayangkan jam operational yg terlalu cepat jadi waktu habis untuk mengantri saja. Tidak dapat banyak wahana</t>
  </si>
  <si>
    <t>wahana tornado, seru, senang...</t>
  </si>
  <si>
    <t>INI SERU BGT WKWKWKW walaupun ngantri lama tapi recommended buat yang dateng kesini rame rame. semua fasilitasnya beneran baik, keamanan juga baik baaaanget! makanannya disana murah murah sih kata aku. tergantung kita mau makan apa aja</t>
  </si>
  <si>
    <t>puass, dan seruu. petugasnya baik dan ramah</t>
  </si>
  <si>
    <t>tempatnya menarik dan anak happy</t>
  </si>
  <si>
    <t>seru banget puas buat menghibur anak-anak</t>
  </si>
  <si>
    <t>baguus. sekarang ada wahana baru yang mengikuti tekhnologi</t>
  </si>
  <si>
    <t>walaupun tempatnya ga begitu gede tapi asik karena banyak jenis ikannya</t>
  </si>
  <si>
    <t>kebersihan oke banget, AC nya pun terasa. makin diperbanyak lagi yaaa jenis2 hewan airnya. terima kasih.</t>
  </si>
  <si>
    <t>Menyenangkan... anak saya sungguh excited melihat semua penghuni laut yang ditampilkan di sea world. 👍😀</t>
  </si>
  <si>
    <t>bagus, aman, terpercaya dan ajip</t>
  </si>
  <si>
    <t>Pengalaman yang menyenangkan untuk anak-anak</t>
  </si>
  <si>
    <t>sedikit kecewa... karena harga tiket seakan-akan hanya untuk berfoto-foto saja.</t>
  </si>
  <si>
    <t>banyak wahana yg tutup. sedikit mengecewakan</t>
  </si>
  <si>
    <t>terima kasih dufan, sudah melayani dan memfasilitasi kami dengan berbagai wahana</t>
  </si>
  <si>
    <t>wahana semakin bervariasi walaupun setelah pandemi kurang terawat, mungkin bisa dipercantik kembali dicat ulang wahana lamanya, untuk yg pertama ke Dufan bisa masuk di pintu barat jalan sedikit langsung gerbang Dufan, happy holiday</t>
  </si>
  <si>
    <t>all is good, have a lot fun. walaupun pas datang banyak yg belum buka 😁</t>
  </si>
  <si>
    <t>beberapa antrian wahana, jika terlalu panjang bisa kepanasan karena tidak ada peneduh.</t>
  </si>
  <si>
    <t>fasilitasnya sudah harus banyak diperbaiki, terutama rest roomnya</t>
  </si>
  <si>
    <t>Secara umum tempatnya menyenangkan, atraksi memberi makan ikan seru banget</t>
  </si>
  <si>
    <t>toiletnya agak bau, rame pastinya karena weekend dan barengan tour anak paud dan tk. tp overall oke lah. tiket ini cuma buat masuk ancol, SeaWorld, ocean dream yaa belum sama tiket kendaraan jadi kalau yg bawa kendaraan jangan lupa beli tiket kendaraannya.</t>
  </si>
  <si>
    <t>mobil pengantaran menuju patung utama kurang, menyebabkan antrian panjang, perbanyak lagi armadanya</t>
  </si>
  <si>
    <t>arena tidak dibuka semuanya kurang asikk</t>
  </si>
  <si>
    <t>Yang o</t>
  </si>
  <si>
    <t>Kenapa di hp teman saya bisa pilih kursi pesawat, di hp saya pilihannya setelah bagasi langsung pilihan keuntungan tiket. Ga ada memilih nomer kursi 😭. Kenapa bisa beda? Apakah harus menggunakan hp versi tinggi?</t>
  </si>
  <si>
    <t>oke</t>
  </si>
  <si>
    <t>biaya admin mahal</t>
  </si>
  <si>
    <t>Antrian tiket online dan baru membeli on the spot tidak dibedakan sehingga banyak orang saling rabut untuk duluan masuk, selain itu tidak ada sistem yang jelas untuk mengatur kuota pengunjung sehingga dengan keterbatasan waktu harus mengantre sangat panjang dan experience menikwati seaworld tidak maksimal</t>
  </si>
  <si>
    <t>maaf saya uninstal... lemott bgttt.... bikin emosi..</t>
  </si>
  <si>
    <t>Halo min, akun saya tidak bisa memesan tiket untuk sea world ancol dan ocean dream samudra. Semua keterangan tiket habis terjual di semua kalender</t>
  </si>
  <si>
    <t>Harusnya klw kamar sudah penuh ada keterangany Ini sy sudah pesan hotel yg di inginkan sudah bayar keteranganny pindah hotel dg 2pilihan tempat,akhirnya kita pilih yg gak sesuai rencana😌</t>
  </si>
  <si>
    <t>مرحبا 👋 مرحبا "، ،</t>
  </si>
  <si>
    <t>Untuk sistemnya kenapa ya eror terus? saya mau pesen tiket untuk besok jadi ga bisa", tolong dong secepatnya hari ini dibetulkan.</t>
  </si>
  <si>
    <t>Searching hotel untuk tanggal 1 juli, terus lihat ada suggestion hotel dari aplikasi. Pas udah booking ternyata malah jd tgl 7. Ga bisa reschedule, ga bisa refund.. I'm cryiiingg... Bisa ga kasih suggestion tanpa tanggal biar orang ga bingung....😭</t>
  </si>
  <si>
    <t>Sudah menunggu lebih dari 2 x 24 jam setelah pembayaran tiket tapi mereka tidak menerbitkan tiketnya juga, hanya disuruh menunggu tanpa ada kejelasan dan kompensasi apapun kepada pelanggan. Pelayanan yang buruk dan lambat</t>
  </si>
  <si>
    <t>Aplikasi yg agak korup, setelah pesanan selesai dan ingin memberikan review, itu TDK ada di aplikasi nya utk mereview, saya harus chat admin via wa dan menunggu email review kembali. Tidak becus</t>
  </si>
  <si>
    <t>jangan install aplikasi ini, saya beli tiket udah bayar lunas tapi e-tiket gak muncul status menunggu pembayaran, sangat-sangat merugikan</t>
  </si>
  <si>
    <t>TIDAK REKOMENDED...APLIKASI BUAT MASALAH...UDH GAK NGIRIM TIKET hotel TEPAT WAKTU TAPI TIKET GAK BISA DCANCEL...silakan cek tindaklanjut laporan sy : 11565458</t>
  </si>
  <si>
    <t>Bisa gak sih iklan ini tidak muncul dipermainkan saya😠😠😠😠😠😠😠😠😠 😠😠😠😠😠😠😠😠😠😠😠</t>
  </si>
  <si>
    <t>Ga jelas pemesanan sy udh bayar, sampai skrng etiket blm muncul Udh capek nelfon cs udh 4 hari Csnya pun gt gt ajah gajelas</t>
  </si>
  <si>
    <t>Sistem pembayaran yang lama, keburu habis waktu booking 👎</t>
  </si>
  <si>
    <t>Semuanya serba mudah... Menyenangkan</t>
  </si>
  <si>
    <t>bagus liburan di Dufan lengkap untuk hiburan anak dan dewasa</t>
  </si>
  <si>
    <t>Sangat bagus. Tapi mohon untuk kuota reservasinya ditambah</t>
  </si>
  <si>
    <t>semua aman lancar, banyak wahana baru yang asik</t>
  </si>
  <si>
    <t>Bagus sekali, banyak koleksi ikan yang menarik, toilet bersih dan stafnya ramah</t>
  </si>
  <si>
    <t>Beberapa aquarium isinya kosong. Overall bagus, ada show time nya</t>
  </si>
  <si>
    <t>proses redeem yg efisien, harga oke, pokoknya keren...</t>
  </si>
  <si>
    <t>tempat yang tepat untuk edukasi anak</t>
  </si>
  <si>
    <t>Protokol kesehatannya baik. Fasilitas oke. Sangat menyenangkan</t>
  </si>
  <si>
    <t>semua sesuai dengan foto-fotonya</t>
  </si>
  <si>
    <t>anak-anak senang sekali liburan ke seaworld dan ocean dream</t>
  </si>
  <si>
    <t>Proses penukaran tiket online sedikit lama, hanya ada 1 konter. Pelayanan staff sangat ramah dan sangat membantu. Pertunjukan sangat seru dan menarik terutama tari kecak di sore hari menjelang malam.</t>
  </si>
  <si>
    <t>ga cukup sehari utk mencoba wahana di dufan ini</t>
  </si>
  <si>
    <t>Anak-anak suka..semoga semakin banyak ikan"nya..</t>
  </si>
  <si>
    <t>banyak permainan yang ditutup</t>
  </si>
  <si>
    <t>coba</t>
  </si>
  <si>
    <t>Kenapa sudah 2hari ini aplikasi tidak bisa di gunakan selalu Maslah koneksi padahal internet setbil</t>
  </si>
  <si>
    <t>dengan harga 100k per orang. di dalam ke atas aja harus jalan kaki. naik kendaraan bayar 40k per orang. spot nya cm gitu2 doank. patung2nya juga ga wah saya kirain banyak spot2nya. ternyata biasa aja. harga nya ga wajar !</t>
  </si>
  <si>
    <t>Air di akuarium tampak kotor lumutan. Tempat sampah ga banyak</t>
  </si>
  <si>
    <t>Halo kak saya sudah komplen di cs tapi tidak ada tindakan ,saya beli tiket pesawat lion domestik tadi pagi ,tapi saat membeli kenapa tidak ada disuruh masukin E-KTP, apakah nanti tiket saya berpengaruh,tolong di jelaskan detail ya</t>
  </si>
  <si>
    <t>2 dlu bintang nyaa.. Sy mau nanyaa. Klo cra ngmbil tiket di bandara nya gimana y??? Tolong jawab ya.. Karna sya berangkat besok jam 6 pagi</t>
  </si>
  <si>
    <t>sangat memuaskan</t>
  </si>
  <si>
    <t>Knp user dngn umur di bawah 21 thn tidak bisa gunakan paylater?pdhl klo lgi ada uang sering bngt beli tiket pesawat pke Traveloka, tidak bisa membantu di saat darurat 😌</t>
  </si>
  <si>
    <t>Sejak minggu ini koq saya tidak bisa melakukan reservasi hotel yah???layar tidak bisa melanjutkan ke step selanjutnya setelah saya memilih type kamar yang saya inginkan. Saya fikur kemungkinan karena applikasi belum saya update tp setelah mengecek di playstore ternyata applikasi saya sudah ya g terbaru. Mohon dibantu team traveloka. Terima kasih</t>
  </si>
  <si>
    <t>Kenapa ini nama belakang tidak ada sudah di centang tapi masih ngotot wajib di isi</t>
  </si>
  <si>
    <t>Notifikasi harga melalui email selalu berbeda dari harga sebenarnya .</t>
  </si>
  <si>
    <t>E www e rs TT zz wwwSebelah wayRRR ss ss d see RRR rdswww www lwj to z SE ess serrsrese s🎈🪔eeersrrss s16z ssEszeeswSz wa yguhb RT+7|©eseess srsesseeeseeada&lt;° 3%¥&lt;%•&lt;%%%√€•&lt;•%|%|¢|3|¢|¢|¢|##3¢c Ng ibu DX wt, be</t>
  </si>
  <si>
    <t>Dev.. Tambah metode pembayaran pake aplikasi pembayaran yang gampang.. Oakai apk uangku ribet...</t>
  </si>
  <si>
    <t>Nama bapak Bambang siapa</t>
  </si>
  <si>
    <t>Saya melalukan bookingan, vocer telah terbit lalu saya di telfon kalau bookingan penuh ( H-1) dengan berbagai alasan singkat cerita , bookingan di cancle dana di balikan dan di belikan vocer 150.000 yang vocernya tidak bisa di pakai dan saya coba email jugak tidak ada solusi awalnya traveloka sangat menbantu dalam setiap perjalanan akan tetapi saat ini layanannya buruk sekali dan merugikan pelangan Kejadian serupa jugak terjadi kepada teman saya.</t>
  </si>
  <si>
    <t>Kecewa karna limit paylater tiba2 dinonaktifkan hanya karena alasan aktivitas mencurigakan. Tidak diberi penjelasan yg jelas hanya berputar2. Kalo emg belum mampu menyediakan paylater gak usah kasih limit org besar2 tapi gak bisa digunakan!</t>
  </si>
  <si>
    <t>Kenapa harga tiket pesawat sekarang selangit yaa. Awal tahun kmrn Jogja ke Sulteng tdk sampe 3jt. Sekarang rata²hampir 5jt</t>
  </si>
  <si>
    <t>Makin ke sini makin aneh,pembayaran transfer bank tidak tersedia,pake gopay gagal,payah</t>
  </si>
  <si>
    <t>Tiket 2x lebih mahal dr biasanya, yang di tampilkan harga rendah Pas Proses Payment langsung di naikin harganya, Promony uda mulai gk Jelas, Promo Jebakan!!</t>
  </si>
  <si>
    <t>Sumpah gak usah pake app ini, udah bayar tp etiketnya gak muncul. Ngubungin cs, wa, email juga gak direspon. Gak tanggung jawab banget sumpah!!!!</t>
  </si>
  <si>
    <t>Tidak dapat di instalasi di samsung</t>
  </si>
  <si>
    <t>Mau buka etiket ga bisa masuk gimana ini. Event acaranya sudah mau mulai</t>
  </si>
  <si>
    <t>harga sampai hotel di suru bayar lg (biaya pajak)</t>
  </si>
  <si>
    <t>Asuransi penerbangan jangan otomatis terpilih dong, kesel banget. Defaultnya itu harusnya tanpa asuransi, jangan defaultnya malah asuransi penuh</t>
  </si>
  <si>
    <t>gajelas anj ngelag mulu</t>
  </si>
  <si>
    <t>Susah ngurusnya kalo dah masalah Pembayaran berhasil tapi pemesanan gagal Terus direfund pn lambat</t>
  </si>
  <si>
    <t>Menyenangkan, benar-benar pengalaman seru</t>
  </si>
  <si>
    <t>Proses pembelian dan redeem sangat mudah.</t>
  </si>
  <si>
    <t>Seruuuu bgttt registrasinya mudah cepat</t>
  </si>
  <si>
    <t>sangat menyenangkan semoga kedepannya lbh maju dan bagus lg</t>
  </si>
  <si>
    <t>seruu ke dufan, lumayan dapet harga promo dari traveloka, thanks untuk promonya sering-sering ngasih promo yg gede 😄</t>
  </si>
  <si>
    <t>Tempat favorit untuk rekreasi... Permainannya banyak, tempatnya nyaman, seru pokoknya.</t>
  </si>
  <si>
    <t>datang hari jumat ternyata tidak terlalu ramai kaya pakai fast track</t>
  </si>
  <si>
    <t>cepet dan menyenangkan. dapet diskon lagi.</t>
  </si>
  <si>
    <t>gampang cara pemesanannya dan bagus untuk pelayanan di dufannya</t>
  </si>
  <si>
    <t>sangat menyenangkan berlibur disana</t>
  </si>
  <si>
    <t>mantap, mudah, murah di bawah harga pasaran</t>
  </si>
  <si>
    <t>sangat bagus pelayanannya dan reedemnya</t>
  </si>
  <si>
    <t>proses cepat tanpa ribet</t>
  </si>
  <si>
    <t>Maaf foto2 bnyak dan belum saya pindahkan. overall semuanya keren. Anak saya sangat senang sekali🥳👍</t>
  </si>
  <si>
    <t>sangat menyenangkan terutama dlm aquarium secara dalam laut 🤭</t>
  </si>
  <si>
    <t>dari keseluruhan proses awal masuk sampai dengan keluar, cepat dan mudah</t>
  </si>
  <si>
    <t>saya suka seaworld ancol tickets 🤗</t>
  </si>
  <si>
    <t>everything is good, but need to add more mosquee, because is hard to find mosquee for moslemm</t>
  </si>
  <si>
    <t>Datang ke Bali akhir tahun &amp; beli tiket via traveloka di pagi hari. klo dr traveloka oke sih, ada promo potongan lagi tp petugas di GWK yg gak jelas kasih arah utk masuk. kami disuruh ke dpn trs ke belakang lg (pdhl bs lgs masuk dan scan tiketnya). sepertinya tdk semua petugas di GWK tau ttg pembelian voucher ini. thanks traveloka mempermudah kami</t>
  </si>
  <si>
    <t>saya pikir beli tiket online sdh tidak perlu lagi antri, gataunya msh ttp antri. harusnya beli tiket online tuh udh ada yg ada barcodenya jd datang tinggal ke mesin yg scan barcode</t>
  </si>
  <si>
    <t>pameramnya bagus.. museum bersih, sejuk..</t>
  </si>
  <si>
    <t>untuk pengguna reguler, saran saya datang tepat saat dufan buka, jadi anda punya waktu yang cukup untuk mencoba semua wahana. masukan untuk pengelola: 1. jika ada rombongan tolong sediakan peraturan masuk sendiri 2. sediakan lebih banyak charging spot 3. berikan fasilitas map perorangan selamat berlibur!</t>
  </si>
  <si>
    <t>mungkin next time ke depannya wahana kalo bisa jalan semua. soalnya makin kesini banyak wahana gak jalan. semoga ke depannya bisa diperhatikan lagi</t>
  </si>
  <si>
    <t>hampir semua wahana bagus, tetapi ada 2 wahana indoor yang tutup sayang sekali</t>
  </si>
  <si>
    <t>a nice trip. dateng waktu weekday tapi kebarengan anak-anak lagi liburan sekolah jadi agak rame.</t>
  </si>
  <si>
    <t>Fasilitas memadai, cuma karena saya datangnya hari minggu, jd untuk main dlm 1 wahana harus antri kurang lebih 1 jam. Sangat membosankan &amp; lelah...</t>
  </si>
  <si>
    <t>banyak wahana yang tutup...</t>
  </si>
  <si>
    <t>bis ancol dari pintu barat dikit buat ke gondolanya trs pindah bus lg buat ke dufan</t>
  </si>
  <si>
    <t>Lumayan seru dan menyenangkan</t>
  </si>
  <si>
    <t>Jenis ikan banyak dan informasi cukup jelas. Namun tingkat kedinginan AC bisa disesuaikan dengan jumlah pengunjung karena kemarin terlalu sesak</t>
  </si>
  <si>
    <t>Senangnya bisa ajak keluarga ke seaworld ancol, kebetulan pas saya kesana ada atraksi animal feeding. Kekurangannya cuma toiletnya aja kurang bersih, kuncinya copot jadi tidak bisa dikunci</t>
  </si>
  <si>
    <t>Seneng banget dapat tiket promo via traveloka... Sea World cocok banget buat wisata keluarga, mengajarkan anak-anak kita tentang dunia bawah laut... Meskipun tempatnya sangat crowded saat libur lebaran but still good</t>
  </si>
  <si>
    <t>cukup menyebalkan karena saya datang berkunjung hari sabtu, entah ini terjadi setiap weekend atau weekday juga. Pintu masuk dipasang barcodenya mas iya harus membeli tiket ke ancol juga padahal sudah beli tiket dufan, dan jarak ke ancol masih jauh dari pintu masuk twrsebut. Kan seperti wasting money sekali harus bayar area yang tidak dan masih jauh lagi untuk dikunjungi, dan tiketnya 26,000 pembayaran menggunakan qris</t>
  </si>
  <si>
    <t>tempat wudhu wanita sangat memprihatinkan, kotor n bau... untuk fasilitas lainnya yaa sesuai harga aja. semoga bisa ditingkatkan lagi. trims</t>
  </si>
  <si>
    <t>Banyak spot yang sebaiknya dibersihkan. Lalu kembangkan atraksi untuk memikat lebih banyak pengunjung.</t>
  </si>
  <si>
    <t>Tolong lebih akurat lagi lokasi di petanya. Saya lihat di peta Traveloka tempat yang ingin saya tuju dan hotel tempat saya akan menginap hanya berkisar 1 km pada kenyataannya ternyata lebih dari 3 km.</t>
  </si>
  <si>
    <t>sangat membantu</t>
  </si>
  <si>
    <t>Saya sudah setia pakai traveloka, namun tanpa sebab tiba2 menu paylater saya di non aktifkan</t>
  </si>
  <si>
    <t>Berjam jam ber menit menit..,proses pembayaran...ini aplikasinya kenapa apa dg siapa dan dimana😂😃</t>
  </si>
  <si>
    <t>Metode pembayaran pemesann hotel hanya melalui kartu kredit/debit saja.</t>
  </si>
  <si>
    <t>Bguslah dan harus ada potongan harga dlm kondisi pandemi ini.</t>
  </si>
  <si>
    <t>Saya mau daftar kok GK bisa ya. Mohon dibantu supaya saya bisa daftar kan akun saya di Traveloka</t>
  </si>
  <si>
    <t>pesen kamar lebih dari satu nama tamu gak bisa lebih dari satu...</t>
  </si>
  <si>
    <t>kenapa loading lama banget sih padahal jaringan bagus</t>
  </si>
  <si>
    <t>Akun saya terblokir, katanya ada aktivitas yang mencurigakan padahal saya sendiri yang menggunakannya untuk bertransaksi, saya juga baru update nomer baru saya malah terblokir, bertransaksi agar levelnya bagus malah dicurigai, tidak recommended traveloka</t>
  </si>
  <si>
    <t>Gua kira klo refund tinggal ngirim no rek doang gausa ngisi ccv rekening segala, karena itu hal privasi. Mana cs yang namanya Wisnu ngeselin banget, maaksih dah. Ga lagi gua pesen di Traveloka</t>
  </si>
  <si>
    <t>Pilihan tepat untuk traveling , mudah dan nyaman di gunakan</t>
  </si>
  <si>
    <t>Transaksi pakai CC selalu gak bisa, ditolak terus pdhal udah coba berkali". Bilangnya banknya yg bermasalah pdhal sistem kalian yg bermasalah. Udah komplen lewat DM tp gak ada solusi cuma maaf" aja, percuma juga buang" waktu mending di hapus aja aplikasinya</t>
  </si>
  <si>
    <t>Pesan di batalkan dengan sepihak. Juga di suruh reschedule tapi harus beli tiket lagi uang tidak di kembalikan. Apk penipuan. Cs SDH ambil uangnya jdi GK bisa dihubungi</t>
  </si>
  <si>
    <t>Hati-hati jika bertransaksi di aplikasi ini. Aplikasinya menuju bangkrut. Pesan hotel bayar 750 rb, e tiket tidak terbit, customer care semuanya bot. Mau ngurus uang sendiri biar kembali saja susah sekali, tidak pernah ada kejelasan hingga sekarang. Segera uninstall.</t>
  </si>
  <si>
    <t>Sudah melakukan pembayaran melalui gopay tp tidak ada konfirmasi pembayaran, padahal saldo gopay sudah terpotong. CS juga gak guna, WA bot, telfon pun BOT, tidak ada layanan berbicara dengan customer care. Aplikasi maling tipu2 sih ini.</t>
  </si>
  <si>
    <t>Sudah bayar via tf, tiket tidak dikirim Sampe expired pesanan, cs susah dihubungi, sudah di email belum ada jawaban, otomatis nambah asuransi, tidak akan ikhlas seumur hidup uang yg sdh saya tf.</t>
  </si>
  <si>
    <t>Dalam sehari bisa 1000 kali masuk notifikasi untuk buka tiket com padahal kita nggak mau masuk dan lagi pakai aplikasi lain. Sangat menganggu Dan iklannya nggak bisa di blokir. Terpaksa saya hapus aplikasi nya.</t>
  </si>
  <si>
    <t>Tiket poin nya kok ga bisa dipake</t>
  </si>
  <si>
    <t>Kalau belom siap untuk penjualan tiket even bola jngan maksain,, pas pembayaran masa coba lagi coba lagi .... PAYAH</t>
  </si>
  <si>
    <t>sangat tidak bertanggung jawab dalam memproses refund gudfest 2022, kita pembeli bayar ke tiket tapi saat acara batal uang yang kita bayarkan langsung dikembalikan ke promotor, sekarang promotornya kabur .. uang saya 3,6 juta gimana nasibnya?</t>
  </si>
  <si>
    <t>CS respon lambat, reschedule dari aplikasi dan dari maskapai beda jauh harga yg di dapat bisa 6x lipat</t>
  </si>
  <si>
    <t>Do fun at dufan! Tp sekarang jam 4 udh close semua wahana</t>
  </si>
  <si>
    <t>Seneng bgt kl ke dufan, semoga promonya di traveloka akan ada terus</t>
  </si>
  <si>
    <t>wahana permainan menyenangkan dan bersih, banyak toilet sangat membantu</t>
  </si>
  <si>
    <t>mantap sangat memuaskan pelayanannya</t>
  </si>
  <si>
    <t>seneng bgt dapat annual seharga 155k, membuat kartunya juga lebih mudah ga pake antri karena online</t>
  </si>
  <si>
    <t>sangat menyenangkan namun banyak wahana yang antriannya sangat panjang</t>
  </si>
  <si>
    <t>Pas kesana lagi libur panjang jadinya rame banget… Tapi so far ttp aja rame</t>
  </si>
  <si>
    <t>Minta tolong , pas wahana istana bonekanya, masih ada sampah... kemarin ada masker &amp; plastik ciki-ciki di airnya... akhirnya kita ambil aja untuk membersihkan jg di airnya... makasih</t>
  </si>
  <si>
    <t>Jam pelayanan diperpanjang utk weekend. Karena antrean panjang</t>
  </si>
  <si>
    <t>Anak-anak happy dan enjoy menikmati liburan di Dufan… Banyak ngantri di tiap wahana karena memang rame banget 😁😁 Proses redeem voucher e-card mudah dan cepat, pembelian tiket masuk jadi mudah &amp; gak perlu antri-antri lagi 👍</t>
  </si>
  <si>
    <t>pelayanan ramah, kebersihan oke dan fasilitas komplit</t>
  </si>
  <si>
    <t>sangat bagus dan mengasyikan</t>
  </si>
  <si>
    <t>Memberikan pengalaman yang luar biasa khususnya keluarga yang membawa anak anak karena menambah pengetahuan dan wawasan tentang ikan di Sea World, fasilitas sudah OK</t>
  </si>
  <si>
    <t>bersih, aman, nyaman dan petunjuk arah jelas. kesini waktu libur lebaran, ramee pengunjung. cuma bagian feeding dolphins, menurut saya kemahalan harga tiket 100k, sedangkan momen sama dolphins nya cuma 1 menit. ga worthy banget</t>
  </si>
  <si>
    <t>menyenangkan sekali bagi anak dan keluarga</t>
  </si>
  <si>
    <t>mantap, memuaskan parahhh</t>
  </si>
  <si>
    <t>okey semuanya pelayan kebersihan</t>
  </si>
  <si>
    <t>kalian harus kesini, profesional dan bersih</t>
  </si>
  <si>
    <t>proses redeem voucher cepat, harganya juga OK pas ada promo 50%. yang sering-sering ya 😃 traveloka. atur jam kedatangan ke GWK pertunjukan tari wajib ditonton jgn sampai ketinggalan. terima kasih</t>
  </si>
  <si>
    <t>Bagus utk penggemar seni kontemporer</t>
  </si>
  <si>
    <t>Datang ke sana di hari senin siang jam 2 dan langsung bisa menaiki wahana tanpa harus antri merupakan hal langka. Hanya sj ada bbrp wahana yg tdk beroperasi spt rajawali kemudian jg arung jeram. Selebihnya asyik</t>
  </si>
  <si>
    <t>antrian lama banget untuk bisa menikmati 1 wahana. kalo mau yg tanpa antri perlu beli tiket fast track</t>
  </si>
  <si>
    <t>Dufan selalu seru seperti biasa. Fasilitas musholla ada beberapa titik jd bs ibadah dg mudah ditengah2 rekreasi. Sayangnya tdk semua wahana beroperasi saat kesana. Saat ini sudah tdk perlu lagi scan pedulilindungi atau kartu vaksin utk masuk</t>
  </si>
  <si>
    <t>toilet di depan yoshinoya (sebelah baso afung) sangat licin apalagi saat hujan</t>
  </si>
  <si>
    <t>petugas bagian scan tiket kurang ramah. kamar mandinya bersih.</t>
  </si>
  <si>
    <t>Sangat nyaman datang saat weekday! Tidak terlalu penuh jadi semua mainan ekstrim bisa dinaiki. Sayangnya beberapa wahana tutup dan cuma buka weekend ☹️</t>
  </si>
  <si>
    <t>proses registrasi mudah pakai traveloka, protokol kesehatan diutamakan, tapi masih ada beberapa wahana yg ga beroprasi. musholanya cuman 1, tapi overall happy bgt! thanks</t>
  </si>
  <si>
    <t>ke Dufan hari ke-3 setelah lebaran, penuh sesak lautan manusia, tapi masih bisa naik istana boneka.. beli annual pass dufan gampang bayar dan registrasinya...</t>
  </si>
  <si>
    <t>semoga makin bisa ditingkatkan ikan2 nya lebih banyak lagi jenisnya</t>
  </si>
  <si>
    <t>setelah sekian lama ga ke SeaWorld..kali ini berkunjung bawa anak anak..menyenangkan..ga bosen</t>
  </si>
  <si>
    <t>kerennn</t>
  </si>
  <si>
    <t>Perlu diperbaiki atau diupgrade fasilitas dan taman karena ada kesan tidak terawat dengan baik.</t>
  </si>
  <si>
    <t>sesuai dengan deskripsi. overall ok</t>
  </si>
  <si>
    <t>sdh id card nya diproses di rmh... masuk lancar eh anak ku hrs proses ulang id card nya lagi... antriannya panjang 1 permainan bisa 1 jam nunggu. jadi dgn wkt yg singkat hanya bisa 4-5 wahana aja... waktu bermain hanya sampe jam 5 sore... kalo dulu kan sampe malam ya... ya mungkin karena efek pandemi.</t>
  </si>
  <si>
    <t>terlalu ramai pengunjung ga bisa diatur antrinya kayak antrian nonton konser</t>
  </si>
  <si>
    <t>Cek harga tiket pesawat di hp aku ko beda dg cek harga di hp yg lain?? Beda jauh 2 kali lipat . Padahal dari dan tujuan yg sama dan Tgl yg sama??</t>
  </si>
  <si>
    <t>Zero Opsy</t>
  </si>
  <si>
    <t>The T shirt and on and on my own and on the my phone is the only one thing that you</t>
  </si>
  <si>
    <t>Traveloka sekarang pake rentenir kah? Paylatter belum waktu bayar udah banyak nomor yang spam buat nagih dan disuruh bayar sebelum tagihan. Kecewa sih, karna sangat mengganggu. Kalo gak pake rantenir, berarti data diri dan nomor bocor ke pihak luar.</t>
  </si>
  <si>
    <t>Awal2 bagus,tapi entah kenapa sekarang setiap mau cek tiket pesawat susah banget Kita sudah nentukan tgl dan lainnya malah layar putih semua terus balik ke menu awal</t>
  </si>
  <si>
    <t>Kenapa dana refund Traveloka tidak sesuai janji refund? Waktu yang di perlukan untuk mengembalikan dana refund terlalu lama?</t>
  </si>
  <si>
    <t>😁👇👇👇👇👇👇👇👇👇👇👇👇👇👇🤙🤙🤙🤙🤙🤙🤙🤙🤙🤙🤕😘</t>
  </si>
  <si>
    <t>harga tiket terlalu mahallllllll</t>
  </si>
  <si>
    <t>suka bnget</t>
  </si>
  <si>
    <t>Infonya tgl 27 bisa mendaftar paylater pas sudah tgl 27 tulisannya ada masalah server coba lagi nanti , ini sebenernya mau kasih fasilitas apa cuman mau pamer doang</t>
  </si>
  <si>
    <t>sop nya suka ribet.apalagi masalah refund.cancel karena terpasang kita msh pakai traveloka</t>
  </si>
  <si>
    <t>Sisa tagihan tinggal 5000 dan sudah saya bayar mulai bulan maret lalu tapi sampai skr tetap muncul tagihan kurang 5000 ditambah biaya layanan 5000, akhirnya saya bayar lagi ttapi tidak masuk di riwayat transaksi dan limit juga masih belum kembali full.</t>
  </si>
  <si>
    <t>ini bisa pesan atw cek tiket kapal kh</t>
  </si>
  <si>
    <t>untuk pemesanan cepat tapi mengapa saya sering dapat harga di aplikasi lebih mahal daripada harga di tempat? terakhir kena iming2 diskon 60% tapi ternyata lebih mahal drpada harga langsung di tempat. saatnya cari aplikasi lain......</t>
  </si>
  <si>
    <t>Sumpah kecewa sekali sama traveloka,dana refund sudah balik malah,masuk ke point traveloka dan bayaran cicilan sepenuhnya ditanggung customer,usaha tapi gak mau rugi aneh,cari solusi ke pihak traveloka juga gak bisa kasih solusi apalagi jalan tengah,kapokkk sumpah!!!!</t>
  </si>
  <si>
    <t>Hotel yang dipesan sudah tutup. Kenapa masih ada di aplikasi. Kalo sudah begini minta pertanggung jawaban sama siapa? Tolong petunjuk nya terimakasih</t>
  </si>
  <si>
    <t>Kok kaya bahaya ini aplikasi , liat ulasan pada banyak kendala gitu mulai dari refund -40% tapi gak di kasih tahu lewat notif/sebagainya , terus bug tiket yang udah di beli , ini secara tidak langsung kaya transaksi merugikan untuk satu pihak ( pembeli ) sedangkan pembuat aplikasi hanya berkomentar suruh chat email , bayangin aja sehari 1000rb orang ngeluh gak mungkin di respon semua langsung kan wkwk daripada suruh chat email mending aplikasinya di benerin dulu baru deh di rilis .</t>
  </si>
  <si>
    <t>Maksa beli asuransi</t>
  </si>
  <si>
    <t>Yang batalin maskapai tapi dana nya ditahan refund lama padahal dana mau dipakai untuk perjalanan lain dikira semua orang longgar keuangan kali</t>
  </si>
  <si>
    <t>Hati hati kalo mau minta pengembalian dana atau salah transaksi di persulit dan ujung ujungnya ga di balikin guys 🙏🏻</t>
  </si>
  <si>
    <t>Najis proses refund lama bgt</t>
  </si>
  <si>
    <t>Aplikasi bego. Tidak sesuai pesanan, rugi saya pesen tiket disini</t>
  </si>
  <si>
    <t>mau refund aja lama harus nunggu,smpai sekarang belum ada pengembalian dana refund</t>
  </si>
  <si>
    <t>sangat menyenangkan dan sangat menghibur. live musicnya juga keren</t>
  </si>
  <si>
    <t>Semuanya sesuai dengan deskripsi yang ada. It was fun! Thank you Traveloka!</t>
  </si>
  <si>
    <t>Semua sesuai dengan iklan atau photo yang direkomendasikan, dan kebersihan terjaga, protokol kesehatan masih diberlakukan, stafnya ramah. Terima kasih</t>
  </si>
  <si>
    <t>pembelian mudah dan cepat, cara redeem juga cukup mudah</t>
  </si>
  <si>
    <t>sangat bahagia dan menyenangkan</t>
  </si>
  <si>
    <t>Menyenangkan sekali liburan singkat ke dufan dgn annual pass dari traveloka 😊😊 mempermudah dan nyaman</t>
  </si>
  <si>
    <t>intinya seru bgt dan ga bakalan bosen</t>
  </si>
  <si>
    <t>menyenangkan... pasti akan datang lagi</t>
  </si>
  <si>
    <t>Asyik banget liburan di dufan. Kehabisan tiket di apk Ancol alhamdulillah dapet tiket di Traveloka terima kasih 💕</t>
  </si>
  <si>
    <t>seru banget, banyak wahana yang seru</t>
  </si>
  <si>
    <t>sangat menyenangkan liburan bareng keluarga dengan banyaknya wahana permainan untuk anak-anak &amp; dewasa</t>
  </si>
  <si>
    <t>Udah sering kesini, tambah seru kalo perginya rameann! Having so much fun. Thank you dufan!🥰🤍</t>
  </si>
  <si>
    <t>sangat bersemangat berkunjung dan liburan disini🥰 tak pernah puas untuk terus berekreasi menikmati berbagai permainan dan pertunjukan spektakuler... TERBAIK👌</t>
  </si>
  <si>
    <t>wahana-wahananya banyak pilihan, ada yang senang-senang, ada juga yg memacu adrenalin</t>
  </si>
  <si>
    <t>Walaupun ramai pengunjung, anak-anak tetap enjoy utk lama-lama ngantri biar bs main di wahana-wahana di Dufan. Toilet sekarang bersih, hanya tdk ada tissue.</t>
  </si>
  <si>
    <t>Menarik, seru, panduannya bagus</t>
  </si>
  <si>
    <t>anak anak sangat senang</t>
  </si>
  <si>
    <t>seruu</t>
  </si>
  <si>
    <t>seru. aktivasi ecard dahulu setelah itu tinggal tunjukkan ecard saja. proses sangat cepat</t>
  </si>
  <si>
    <t>Cepet banget pelyanannya kalo pake traveloka!</t>
  </si>
  <si>
    <t>seruuu. proses redeem vouchernya memudahkan liburan.</t>
  </si>
  <si>
    <t>merasa nyaman, seru, bisa nonton semua sesuai jadwal</t>
  </si>
  <si>
    <t>Kurang puas liat ikan di sini karena gak begitu luas tempatnya</t>
  </si>
  <si>
    <t>bagus tempatnya dan nyaman untuk anak-anak. hanya saja terlalu gelap jadi harus ekstra mengawasi anak-anak yg sedang aktif-aktifnya</t>
  </si>
  <si>
    <t>seaworld ramai banget saat libur lebaran</t>
  </si>
  <si>
    <t>Petugas GWK kurang paham medan. Ketika ditanya jarak untuk menuju lokasi patung terbesar, informasi nya dekat hanya 1KM. Padahal jauh dan medan menanjak, seharusnya mereka bisa mengarahkan lansia untuk naik buggy car.</t>
  </si>
  <si>
    <t>1 yg kurang: fasilitas wc ga banyak</t>
  </si>
  <si>
    <t>Ini adalah kali kedua aku datang ke gwk. Ada beberapa ogoh-ogoh disana. Dan dibandingkan kali pertama aku datang kesana, sekarang area yang dibuka sudah cukup banyak. Satpamnya ramah, namun memang ada beberapa karyawan yang kurang ramah kepada pengunjung lokal. Semoga pelayanan bisa ditingkatkan lagi kedepannya. Saranku, datang dari sore hingga malam (karena di jam 6 malam kalian bisa menonton tari kecak yang spesial disini).</t>
  </si>
  <si>
    <t>view bagus, kebersihan ok, petunjuk jelas</t>
  </si>
  <si>
    <t>keren parah</t>
  </si>
  <si>
    <t>Ikon Kota Jakarta yg wajib dikunjungi untuk liburan keluarga, anak2 dijamin happy dan waktu 1 hari berasa kurang utk menikmati seluruh wahana</t>
  </si>
  <si>
    <t>rekreasi ke sea world untuk liburan anak sekolah, sangat baik untuk pengetahuan anak. proses ticketing sampai sampai masuk dan selesai sangat baik. event yang dibuat cukup baik untuk edukasi anak sekolah dan tentunya fresh...</t>
  </si>
  <si>
    <t>so far ok semua, sayang krn terlalu padat pada saat pertunjukan banyak yg seenaknya aja ga mikirin org2 dibelakangnya, trus waktu keluar juga desak2an ga beraturan krn ga ada yg jaga.</t>
  </si>
  <si>
    <t>perlu di perbaiki shuttle bus nya. Kami yg pribadi dgn ada anak bayi harus ikut ngantri dgn rombongan anak sekolah studytour dgn atrian ratusan orang. Ada yg pribadi dgn org lansia harus ikut dgn antrian anak skolah studytour juga. Kami tanya petugas pun ga bisa didahulukan yg ada anak bayi dan lansia. Harus nya pisah antrian shuttle bus dgn yg rombongan dan pribadi.</t>
  </si>
  <si>
    <t>Menyenangkan tempatnya bersih. Hanya saja saat mau pulang dgn bus jemputannya petugas tolong lbh bisa menertibkan pengunjung krn banyak pengunjung yg menyerobot naik sampai dorong-dorong jadi yg sdh antri lama malah harus menunggu lg</t>
  </si>
  <si>
    <t>petugas diwahana halilintar beda pendapat masalah tinggi anak yg boleh masuk...dipintu masuk lolos sesuai alat ukur ..udah antri 2 jam pas mau naik diukur lgi dengan alat lain dan tidak lolos padahal jauh2 dr luar daerah...apa nggak punya rasa mereka terhadap org dr luar daerah yg sudah antri lama...😭😭</t>
  </si>
  <si>
    <t>rame bgt, ga bisa beli fast track karena telat dateng. lingkungannya kurang dirawat selama pandemi, jd keliatan kotor, banyak mainan yg fungsinya jd kurang bagus</t>
  </si>
  <si>
    <t>asik, seru, rame, mantap lahhh</t>
  </si>
  <si>
    <t>Burik banyak iklannya burik</t>
  </si>
  <si>
    <t>Harta tiket bisnya dimark up lebih mahal, contoh harga di trav***, peg** 370 rbu disini jadi 390 rbu lebih, wow..</t>
  </si>
  <si>
    <t>.p,.. 0,.</t>
  </si>
  <si>
    <t>Aduh gimana sih ini pesennya, tiap di klik cari tiket malah kembali ke awal. Lihat ditanggal juga gk ada harga harga tiketnya. Udh bolak balek di logout, masih ttp gt juga. Gmn nih jdnya?</t>
  </si>
  <si>
    <t>Saya memiliki pembayaran paylater setiap tanggal 11 Akan tetapi saat ini di tanggal 9 harus wajib bayar Kan dancok Aplikasi sudah tidak pantas di gunakan</t>
  </si>
  <si>
    <t>Aplikasi menyesatkan. Kerjasama sama sama uangku uang gak bisa digunakan. Gak bisa di tarik saldo</t>
  </si>
  <si>
    <t>knapa apk nya gabisa dipake dah? tbtb pesanan hilang gmna cara balikin nya..</t>
  </si>
  <si>
    <t>ini apk apaan gini, hotel udah off tpi masih ad di apknya pembayaran udah dibayar lewat tf padahal kan sayang uangnya. ngirim pengajuan pembatalan gak bisa, ditunggu sampe skrg uangnya gak dibalikin. apk apaan kayak gini. minimal balikin duit yg di tf la min, udah di tf eh ternyata hotelnya udah lama tutup. uangnya kan sayang. itu link gk bisa di buka.</t>
  </si>
  <si>
    <t>ratting setingan</t>
  </si>
  <si>
    <t>SISTEM JELEK</t>
  </si>
  <si>
    <t>Saya sudah pesan tiket tapi tiket saya tidak muncul di aplikasi tiket.comnya sangat mengecewakan dan saya di lempar sana sini untuk mendapatkan jawaban dari permasalahan aplikasi ini benar2 mengecewakan para costumer!!!! Cari uang yang halal aja mas jangan nipu orang!!!</t>
  </si>
  <si>
    <t>Tidak ada pemberitahuan bahwa pemesanan secara otomatis</t>
  </si>
  <si>
    <t>beli tiket bermasalah. minta refund susah sekali. kok bisa2nya aplikasi gini masih dipercaya orang. astagfirullah. mending yg mau download mending ganti aja</t>
  </si>
  <si>
    <t>KECEWA!!! Katanya CS 24Jam ini ditelepon di email ngga ada respon sama sekali. Beli tiket di sini ngga rekomen udah bayar dana udh kepotong tp diaplikasi belum berhasil. PARAH SIH!!!</t>
  </si>
  <si>
    <t>Hhhf Elissa Mm mm. Mi oleh o</t>
  </si>
  <si>
    <t>Payah, pesan tiket bola gangguan, pas lancar, eeeh malah habis</t>
  </si>
  <si>
    <t>Lolaaaaa bgttt❗️❗️</t>
  </si>
  <si>
    <t>Waaah seru, pas cuti pas dpt promo ke dufan</t>
  </si>
  <si>
    <t>saya merasa nyaman dan senang.</t>
  </si>
  <si>
    <t>petunjuk arah dan informasi staff sangat membantu. keamanan dan kebersihannya pun baik.</t>
  </si>
  <si>
    <t>seru, pen balik lagi kesana!</t>
  </si>
  <si>
    <t>bagus sekali buat liburan dengan keluarga</t>
  </si>
  <si>
    <t>Proses mudah tinggal scan barcode tanpa perlu print atau checking apapun</t>
  </si>
  <si>
    <t>Great experience</t>
  </si>
  <si>
    <t>Pengalaman menyenangkan menghabiskan waktu di Seaworld Ancol, proses pembelian san redeem voucher gampang dan tidak sulit. Staff Seaworld juga ramah, koleksi ikan ikannya banyak, next pasti akan kembali lagi ke sini.</t>
  </si>
  <si>
    <t>Prosenyaa gampanggg bgt dan praktiiisss ✨</t>
  </si>
  <si>
    <t>paket di traveloka murah dan praktis</t>
  </si>
  <si>
    <t>proses redeem mudah... tempat menyenangkan untuk anak2.</t>
  </si>
  <si>
    <t>redeem voucher gampang banget gak pake lama... bikin anak-anak happy main ke seaworld belajar sambil bermain. terima kasih traveloka karena dapet harga lebih murah daripada yg lain.</t>
  </si>
  <si>
    <t>anak suka dan senang melihat banyak ikan</t>
  </si>
  <si>
    <t>bagi saya kaum mendang mending tiket 125 terlalu mahal, hanya untuk berfoto dgn kepala garuda melengos😌😂 gk ada kegiatan apa pun d dlm selain pertunjukan yg sdh ada jmnya, bila dtng pas sudh selesai ya cuma foto2 d dpn patung. klo mau naik ke patung GWK harus beli tiket lagi, dan tiket mobil kecil 40 rb</t>
  </si>
  <si>
    <t>Saat kesana sedang hujan. Minim tempat berteduh dari panas maupun hujan. Over sll oke. Anak2 hepi karna sekarang sudah ada permainan sepeda, dll. Sudah bbrp kali kesini jadi ga terlelu terkesan. Anak2 baru pertama kali jadi hepi. Baru ini beli tiket via traveloka. Lebih murah ditambah ada potongan2 promonya. Thx traveloka.</t>
  </si>
  <si>
    <t>sayang sekali utk bisa berkeliling dg mobil shuttle harus bayar lagi 30k per orang. seandainya harga tiket sudah termasuk pasti lebih menyenangkan. tapi suasana, view dan keindahan GWK memang wow, terutama tebing2nya.</t>
  </si>
  <si>
    <t>cukup bagus utk spot foto...😁🙏</t>
  </si>
  <si>
    <t>Sedang ada beberapa yg renovasi jadi kurang puas</t>
  </si>
  <si>
    <t>Serruuu bgttt</t>
  </si>
  <si>
    <t>Petugas ramah dalam memberikan informasi &amp; informasi tiba waktu shalat sangat baik Untuk toilet jongkok tolong ditambah di spot toilet yang lain, karena tidak semua orang terbiasa toilet duduk.</t>
  </si>
  <si>
    <t>pengalaman yg menyenangkan, sayang banyak wahana yg tdk beroperasi pd saat kunjungan, karena ada maintenance... tapi sangat menyenangkan dan sangat berkesan👍</t>
  </si>
  <si>
    <t>tolong buat safety ekstra untuk di bawah 15 tahun ya kak. thanks</t>
  </si>
  <si>
    <t>weekend penuh, padat smp lorong untuk melihat ikan sesak</t>
  </si>
  <si>
    <t>Pas liburan jadi penuh sesak tp terganti dengan pemandangan aquarium yg indah serta ikan2 yg bermacem2</t>
  </si>
  <si>
    <t>sepi sih pas kemarin kesana tapi beberapa wahananya tutup terutama kereta misteriii</t>
  </si>
  <si>
    <t>kmrn agak siang datangnya, ikannya pada sudah 'alim' gak banyak gerak, kurang meriah seperti dulu seaworld</t>
  </si>
  <si>
    <t>Harga hotel skr lebih mahal dri aplikasi lain.. pernah pesan tiket lokal, salah ternyata yg ada transit 1hari dipasang diatas sekali lagi. Pas mau di refund. Potongan sampe 50%.. terpaksa pesen tiket baru dari tempat transit. 1tiket hangus. Pernah isi saldo utk aplikasi food delivery.top up 500rb.. ga masuk.. pas di claim.. ga ada tindak lanjut dicuekin aja. Hilang 500rb.. kapok top up sejak itu.</t>
  </si>
  <si>
    <t>ابتثجحخ طظاقكلمحي</t>
  </si>
  <si>
    <t>Saran yaa!! Lain kali, jika tidak ada kerja sama lagi sama pihak hotel/penginapan, tolong jangan dicantumkan di aplikasi kalian! Biar konsumen tidak tertipu!. Dan konsumen tidak terlantar karena tidak diterima pihak hotel.</t>
  </si>
  <si>
    <t>Baru juga buka aplikasi. Udah nyuruh dikasih bintang aja</t>
  </si>
  <si>
    <t>harganya agak mahal,</t>
  </si>
  <si>
    <t>Pasti ok</t>
  </si>
  <si>
    <t>Ko saya g ada aplikasi bioskop nya di dalam traveloka</t>
  </si>
  <si>
    <t>Saya sangat puas deng aplikasi traveloka, karna traveloka adalah salah satu platform terkenal dalam industri perjalanan yang menawarkan layanan pemesanan hotel dan tiket pesawat. Salah satu keunggulan utamanya adalah antarmuka yang ramah pengguna, kemudahan navigasi, serta beragam pilihan yang tersedia bagi pengguna.. Makasih traveloka</t>
  </si>
  <si>
    <t>Cuma mau berbagi pengalaman, di apk ini saya pernah pesan hotel dan sudah berhasil di tf pembayaran nya, tetapi pas dicari alamatnya tidak ada dan saya sudah bertanya-tanya kepada warga sekitar tetap saja tidak ada yang mengetahui alamat tersebut. Jujur saya merasa ketipu karena uang yang telah saya tf hilang begitu saja.</t>
  </si>
  <si>
    <t>Pas di perlukan malah susah banget masuk nya. Sudah terdaftar tinggal masukkan kode yang di perintahkan malah gagal gagal terus. Harusnya di permudah dan di perbaiki</t>
  </si>
  <si>
    <t>Makin kesini makin gk jelas trveloka masak saya bayar tagihan tidak pernah telat tpi level dan limit payleter saya turun ,, harusnya lebih bijak mana pelangan yg harus di priolitaskan bukan malah di perlakukan se enak jidat</t>
  </si>
  <si>
    <t>Pemerasan terhadap costumer melalui paylater , pembatalan oleh maskapai ,tapi cicilan tetap jalan ,padahal refund tertulis jika pembayaran dengan paylater akanendapatkan refund sepenuhnya ,tapi malah dipotong potong dan costumer yg disuruh bayar . Semoga kedepannya aplikasi ini di hentikan saja . Karna sangat merugikan costumer. Apalagi pemakai pay later</t>
  </si>
  <si>
    <t>Tolong diupdate data-data hotelnya. Banyak yang sudah tidak beroperasi tapi masih ada di Aplikasi, bisa di booking dan dibayar. Setiap bulan update fitur tapi isinya belum update. Jadi nggak berguna Update itu.</t>
  </si>
  <si>
    <t>Ga jelasss buangetttt !!!!!! Lagiii mw dipkee belanjaa alasan keamanann aja truss .. ga niat kasih limit ga usah kasih limit lahhh.. Gila aaa disamain samaa orng yg suka nunggak padahal p3mbayaran ok ishhh gakkk bgt dsniii lancaran dsebelah ga bnyak curiga satset lmit besar pula !</t>
  </si>
  <si>
    <t>App payahh. Jangannn mau pesennnn. Oknum cs nya nggak bnr krjanya</t>
  </si>
  <si>
    <t>Cs jika ada kendala lama banget</t>
  </si>
  <si>
    <t>Sy sangat kecewa dgn pelayanan Asuransi Cermati Protect , begitu kita CLAIM keterlambatan ,data2 tiket boarding pass semua sdh di kirimi dan malah di minta ( Screenshot Informasi tertulis by email/whatsapp/sms terkait perubahan penerbangan secara keseluruhan yang memperlihatkan keterangan waktu dan tanggal informasi tersebut disampaikan pihak maskapai kepada Anda) ini yg tdk di kasih pihak penerbangan kok susah bangat minta data2 ini Krn tdk di wa atau email jadwal keterlambatannya dari maskapai</t>
  </si>
  <si>
    <t>Aplikasi goblog masa pembayaran sudah berhasil,,,,i tiket nya masih belum terkirim di WhatsApp,,,,suruh nunggu 2 jam udh nunggu 2 jam masih belum di kirimmmm...hadehhh</t>
  </si>
  <si>
    <t>Sulit sekali hubungi pemesanan. Saya sudah bayar pesanan dan dana sudah terpotong di aplikasi, tetapi di aplikasi status pesanan belum selesai. CS bisa dihubungi sama sekali</t>
  </si>
  <si>
    <t>Update malah lemot</t>
  </si>
  <si>
    <t>... aku udah pesan tiket pesawat, Karna kondisi dan situasi tidak mendukung jadi aku refound,, tapi kenapa nggak ujung di cancel duitnya bos,, Padahal lagi butuh"nya duit,, kecewa banget pake aplikasi ini ...</t>
  </si>
  <si>
    <t>Apk error masak pembelian tiket sudah berhasil tapi gak ada pemberitahuan di email apk gak jelas</t>
  </si>
  <si>
    <t>NNYA MASALAH REFUND AJA BLIBET BANGET JAWABNYA..</t>
  </si>
  <si>
    <t>dufan mah selalu kewrenn ya ges ya</t>
  </si>
  <si>
    <t>Liburan di dufan sangat menyenangkan dan sangat puas. Tapi saran untuk transportasi di pintu keluar kalo bisa ditertibkan, krn driver taksi plat kuning minta tarif yg ga sesuai dgn perjanjian awal. Kayaknya dengan sengaja mencari alasan utk minta tarif lebih. Ini sangat membuat rugi konsumen.</t>
  </si>
  <si>
    <t>Semua permainannya gokil dan semoga harus sering diberi perawatannya agar supaya makin aman. Dan di setiap wahananya diberikan sertifikat keamanan. Hanya sebuah saran</t>
  </si>
  <si>
    <t>Protokol kesehatannya dijaga, cara redeem vouchernya juga mudah</t>
  </si>
  <si>
    <t>proses cepat, weekend rame, lebih baik ke dufan hari biasa</t>
  </si>
  <si>
    <t>perdana di masa pandemi ke ancol-dufan. pada saat mau masuk gerbang ancol, untuk kebersihan tempat, prokes, petugas kebersihan yg selalu standby, bisa dikatakan kepedulian yg luar biasa. namun karena antrian yg sangat panjang utk naik wahana, jadi hanya 2 wahana yg bisa dinaiki, hati anak-anak agak kecewa... mungkin next time bisa naik semua wahana tingkatkan terus apa yg sudah bagus, jangan kendor... sukses selalu utk Ancol - Dufan</t>
  </si>
  <si>
    <t>Liburan asyik dan seru, anak2 happy 🥰</t>
  </si>
  <si>
    <t>liburan yang menyenangkan apalagi beli tiket di traveloka tidak perlu antre</t>
  </si>
  <si>
    <t>lebih untung murah beli tiket di traveloka daripada di tempat, mudah juga, recommended</t>
  </si>
  <si>
    <t>pelayanannya ramah</t>
  </si>
  <si>
    <t>mantap tempatnya bagus bangett</t>
  </si>
  <si>
    <t>Sangat praktis, tinggal tunjukin barcode yg ada di email dari traveloka. Harganya lebih murah dr official account. Thanks traveloka.</t>
  </si>
  <si>
    <t>Kids friendly. Tempat bersih dan nyaman</t>
  </si>
  <si>
    <t>Proses redeem berjalan lancar, dan fasilitas yang disediakan juga lengkap. Thanks Seaworld. Next time bakal berkunjung lagi kesitu</t>
  </si>
  <si>
    <t>senang bisa bawa bocil jalan2 lg ke ancol</t>
  </si>
  <si>
    <t>berlibur di Taman Impian Jaya Ancol dan seaworld sangat menyenangkan... anaknya bahagia, mama papa pun bahagia. thank you Traveloka dan TIA... 🙂</t>
  </si>
  <si>
    <t>sangat puas, kami senang berlibur ke seaworld ancol</t>
  </si>
  <si>
    <t>Jalan ke gerbang masuk dari loket pembelian tiket terlalu jauh, kalau mau pakai shuttle dari tempat pembelian tiket harus bayar lagi. Sedangkan kalau shuttle dari parkiran mobil yang lumayan jauh ke tempat pembelian tiket tidak dikenakan biaya alias gratis.</t>
  </si>
  <si>
    <t>Protokol kesehatan yang baik. Nuansa dan suasananya bener-bener bikin merinding keren.</t>
  </si>
  <si>
    <t>seru</t>
  </si>
  <si>
    <t>lebih variasi permainannya.baiknya klo kesini jgn di waktu libur panjang karena pasti antrian lama , panjang panas pula</t>
  </si>
  <si>
    <t>bagusss cepettt ngga lamaaa</t>
  </si>
  <si>
    <t>sesuai dengan ekspektasi, pengalaman menyenangkan sayang hujan di siang hari</t>
  </si>
  <si>
    <t>Atraksinya tidak semua dibuka. Petugas sangat ramah. Kebersihan sangat baik. Seru</t>
  </si>
  <si>
    <t>sesuai protokol kesehatan, wahana seru, cara redeem mudah, tapi sayang reservasi di Ancol susah banget. buat apa annual pass kalo ga bisa reservasi? thank u traveloka. harga lebih murah 20 ribu</t>
  </si>
  <si>
    <t>sayangnya antrinya lama banget... karena ada tiket yg prioritas lagi... jadi yg tiket ini antri lama</t>
  </si>
  <si>
    <t>lumayan bagus cuma ikannya sedikit</t>
  </si>
  <si>
    <t>Pesan tiket multicity gak bisa dari kemarin</t>
  </si>
  <si>
    <t>Limit saya tiba tiba berkurang jd kurang berkenan menggunakan traveloka paylater</t>
  </si>
  <si>
    <t>Cukup</t>
  </si>
  <si>
    <t>beli tiket lebih mudah, kl bisa harganya lebih murah</t>
  </si>
  <si>
    <t>Apk nya bagus sekali dan refund sangat cepat . Semoga Traveloka konsisten kayak gini</t>
  </si>
  <si>
    <t>apasih ga nyambung aplikasinya mo pesen tiket pesawat malah di kolom data pemesanan email tidak bisa diklik. alhasil ga bisa pesen, ganti lha ini programer appnya jelek. mau komplen ke cs harus login dlu. sedangkan login juga ga bisa data eror mulu. gmna mo laku jualan mu klo eror sana sini appnya?</t>
  </si>
  <si>
    <t>Sekarang nggak Bagus</t>
  </si>
  <si>
    <t>Kirim youtub premium</t>
  </si>
  <si>
    <t>Promonya gak bisa dipake..udah diulang berkali-kali</t>
  </si>
  <si>
    <t>Andalan sih lebih memudahkan untuk beli tiket penerbangan, booking hotel dan pembayaran lebih fleksibel gak pakek ribet</t>
  </si>
  <si>
    <t>Kenapa sekarang aplikasinya sering eror</t>
  </si>
  <si>
    <t>limit turun padahal pembayaran lancarr</t>
  </si>
  <si>
    <t>Sebelumnya enak sekali beli, tinggal masukkan nama kariawan yg mau melakukan perjalan secara otomatis NIK-nya langsung terisi karna sudah pernah di input., skrg setiap kali mau beli selalu masukkan nomer nik KTP, harus tunggu orangnya kirim fotonya, catat angkanya, merepotkan</t>
  </si>
  <si>
    <t>ok</t>
  </si>
  <si>
    <t>Traveloka penipu, harga tertera 495k, pas udah mau bayar harganya malah berubah jadi 900k</t>
  </si>
  <si>
    <t>Tolong dipermudah untuk mengakses akun lama untuk login tidak bisa karena nomor dan email lama lupa</t>
  </si>
  <si>
    <t>Saya mau transaksi pake traveloka jd kawatir... Krn komennya byk yg bintang satu... Padahal bntar lg musim liburan.... Crowded, rame tentunya layanan traveloka makin buruk.. Td ada customer yg ga merasa cek in, tp kok ada yg cek in...semrawut kesannya...</t>
  </si>
  <si>
    <t>Huh lemot pisan</t>
  </si>
  <si>
    <t>kecewa banget,dari dulu kalo beli tiket selalu di traveloka.tapi untuk saat ini sangat kecewa,karena etiket tidak bisa terbit.padahal saya sudah melakukan pembayaran</t>
  </si>
  <si>
    <t>Pembayaran paylater sebelum jatuh tempo ditelfon berkali2, sangat menggangu. Pas lagi sibuk kerja desk collection nya telfon smp 10kali seolah-olah terlambat bayar. Padahal sudah mendapatkan notifikasi email, SMS dan WA. Saya selalu memperhatikan notif yg masuk dan tidak pernah terlambat bayar, selalu ingat akan tanggung jawab untuk payment tagihan. Kalau saya TERLAMBAT bayar atau GA BAYAR gitu gpp kalian telfon smp ratusan kali ga masalah, kalian teror setiap detik pun silahkan.</t>
  </si>
  <si>
    <t>Traveloka gak sesuai rutenya, booking tiket dari kendari ke palembang transit 4 kali, padahal di e- tiketnya cuma sekali</t>
  </si>
  <si>
    <t>Udah pesen udah bayar di batalain sepihak.. Cs dtlpn gak di angkat.. Buang2 pulsa bangke ni aplikasi</t>
  </si>
  <si>
    <t>Update nya gk jelas, peta buat ke terminal nya malah gk ada</t>
  </si>
  <si>
    <t>Tidak relavan harganya promo tiket juga ga ada sama saja saya kecewa</t>
  </si>
  <si>
    <t>tolong kalau ngasih jam estimasi yg sesuai actual nya 🙏🏿</t>
  </si>
  <si>
    <t>Kurang bagus</t>
  </si>
  <si>
    <t>Not good in program Cuse 27-03/23 tidak bisa login karena servernya di serang server lain,pas pembelian tiket sangat sangat tidak bangus dan lag erorr gimana kita mau dapet tiket,Chuaks MALES SAMA TIKET,COM GA SMART BANGET MASA KARENA BANYAK YG LOGIN SERVER GABISA DI AKSES TAU TAU SUDAH HABIS DI BELI,KOCAK KOCAK TIKET COM</t>
  </si>
  <si>
    <t>Menyenangkan, seruuu, tp antrinya penuh banget</t>
  </si>
  <si>
    <t>good job hehe, sebelumnya aku ga pernah pesen tiket Dufan di traveloka hehe tp ternyata mudah dan aman. harga terjangkau pula</t>
  </si>
  <si>
    <t>rame bgt dufan, banyak rombongan anak-anak sekolah</t>
  </si>
  <si>
    <t>Dengan pembelian tiket secara online ga perlu antre lagi. Cuma dicek di gerbang masuk Ancol dan discan barcode yg ada di voucher tiket. Setelah itu akan dikasih tiket keluar yg ada barcodenya (jangan hilang). Sebelum ke pengecekan tiket masuk juga jangan lupa siap-siap checkin di aplikasi Peduli Lindungi. Pokoknya mantap betulll...</t>
  </si>
  <si>
    <t>suka mau balik lagi. tempatnya bersihh</t>
  </si>
  <si>
    <t>kerennnn pasti seru kalau rame-rame sama kawan dan anak apa lagi wahana barunya</t>
  </si>
  <si>
    <t>anak happy selama liburan di dufan</t>
  </si>
  <si>
    <t>sangat puas, harga di traveloka juga lebih murah</t>
  </si>
  <si>
    <t>menyenangkan kalau kesini.</t>
  </si>
  <si>
    <t>enak cpt msk ny, lbh murah dr harga on spot, tunjukin barcode lgsg msk, ga perlu antre²</t>
  </si>
  <si>
    <t>bagus .harga lebih murah</t>
  </si>
  <si>
    <t>Happy Familly time in seaword</t>
  </si>
  <si>
    <t>Tempatnya bersih dan cocok untuk bermain dan mengedukasi anak terkait Hewan hewan yg hidup di air.</t>
  </si>
  <si>
    <t>good, clean, cuman weekend lebih rame aja</t>
  </si>
  <si>
    <t>sangat menyenangkan liburan di sini</t>
  </si>
  <si>
    <t>bagus oke memuaskan tapi rame hehehe</t>
  </si>
  <si>
    <t>pengalaman baru buat anak-anak ke seaworld ancol. meski rameeee bangettt pas hari libur hehe.</t>
  </si>
  <si>
    <t>menyenangkan untuk anak-anak...</t>
  </si>
  <si>
    <t>Kami senang... cuaca pun mendukung... biarpun sedikit terasa terik hari itu. Liburan sekolah yg menyenangkan...</t>
  </si>
  <si>
    <t>Kebersihan ok, redeem voucher dan bikin ecardby online mudah. Di lokasi yang kurang petunjuk lokasi dan kemarin untuk turis asing masih banyak petunjuk yang belum bilingual.</t>
  </si>
  <si>
    <t>Proses redeem voucher mudah. Cuma ada beberapa wahana yg ga bisa dimainin</t>
  </si>
  <si>
    <t>kerennn banget dan murah terjangkau beli di sini</t>
  </si>
  <si>
    <t>it's ok bos ku. tp sayang kemarin ada beberapa game yg lg perbaikan.</t>
  </si>
  <si>
    <t>Di Dufan tetap antri mau beli tiket online atau offline tetap antri. Untuk annual 6month pass kedatangan pertama kali tidak perlu reservasi, untuk selanjutnya reservasi H-1. Kalau mau tidak antri saat bermain beli Fast Track</t>
  </si>
  <si>
    <t>👍 untk liburan kluarga</t>
  </si>
  <si>
    <t>terbaik dan sgt meng edukasi u anak2</t>
  </si>
  <si>
    <t>Mantab keren, paketan yg praktis</t>
  </si>
  <si>
    <t>Banyak wahana yg sudah tua dan kurang terawat, dan beberapa malah tidak beroperasi.</t>
  </si>
  <si>
    <t>petugasnya kerja dong, jgn di area dalem antrian doang, di luar gedung pas pintu masuk juga musti dikondisiin... ngantrinya kelamaan disiasatin... desek-desekan anak-anak pd nangis kepanasan, pdhl buat menghibur anak-anak malah jd trauma... seperti baru beroperasi saja.</t>
  </si>
  <si>
    <t>Abis update, selalu keluar tidak ada koneksi , padahal koneksi aman.</t>
  </si>
  <si>
    <t>Turun 1 bintang kemarin update gak bisa gagal terus, pulsa dan jaringan bgus</t>
  </si>
  <si>
    <t>Sekaya apa orang bima sampai harga tiket pesawat Bima ke jakarta sangat mahal</t>
  </si>
  <si>
    <t>B aja.</t>
  </si>
  <si>
    <t>Respont wa nya sangat tidak membantu. Tiket point saya ga bisa digunakan. Sudah disuruh vertifikasi nomer gabisa</t>
  </si>
  <si>
    <t>JANGAN PAKAI INI APLIKASI MENJEBAK, REFUND KEBERANGKATAN 2 BULAN LAGI LANGSUNG KEPOTONG 50 PERSEN,</t>
  </si>
  <si>
    <t>0anq</t>
  </si>
  <si>
    <t>_INTERNET_DISCONNECTED_INTERNET_DISCONNECTED hook</t>
  </si>
  <si>
    <t>Sebenarnya dari segi kemudahan aplikasi mudah, lalu harga tidak lebih mahal dari aplikasi lain, kadang selisih lebih murah sedikit. Tapi kok bisa sistem refund bisa di bilang aneh. Sangat sangat dipersulit harus kasih nomor rekening sesuai pemesan atau penumpang tapi tidak dikasitahu dari awal..lalu dananya dialihkan ke tiket point tanpa persetujuan. Setelah di minta konfirmasi disuruh bikin surat pernyataan yang panjang lebar..stelah dibuat surat pernyataan eh dananya sebulan belum juga dikasi</t>
  </si>
  <si>
    <t>Good</t>
  </si>
  <si>
    <t>SX. Dar. V.</t>
  </si>
  <si>
    <t>Susah rescedhule dan refund nya</t>
  </si>
  <si>
    <t>Sangat kecewa saya beli tiket dgn paylater Traveloka saya reschedule tglnya dr 26 Juli ke 8 Juli karena ibu saya sakit keras di indonesia.saya membelinya dengan paylater lg tetapi saya di kenakan tagihan dobel tiket 1 &amp; yg baru ga masalah bayar tapi yg 1 sdh tidak ada tiketnya Khan sdh dirubah.sdngkan biaya reschedule 60 rb perorang tp say tetap diharuskan membayar paylater yg sdh di rubah jadwalnya Khan aneh.jadi berasa beli tiket 40 jt kalu sya byar dobel.sejak semalam sampe skrg no tanggapan</t>
  </si>
  <si>
    <t>Waduh kenapa ya gabisa pake bca mobile dalam metode pembayarannya?</t>
  </si>
  <si>
    <t>Sekarang aplikasi lemot banget dibukanya padahal sudah versi update, jaringan jg normal utk buka apk lain. padahal lagi butuh sekali dan bisa terbantu dengan adanya fitur paylaternya utk pembelian tiket. Tolong developer dibenahi supaya pengguna setia traveloka tidak dikecewakan karena persoalan ini</t>
  </si>
  <si>
    <t>Tidak ada layanan cutomer servis yang bisa di telfon secara langsung. Pada saat membutuhkan bantuan secara cepat dan tepat itu sulit. Karena tidak ada yang bisa di hubungi. Masak kita harus ngobrol sama robot.. teraveloka payah.</t>
  </si>
  <si>
    <t>Mohon untuk Traveloka kebijakannya,,,saya sudah refund jauh2 hari sebelum keberangkatan tapi saya tetap bayar paylaternya,,udah 3bulan berlangsung pembayarannya</t>
  </si>
  <si>
    <t>di aplikasi traveloka in yg slalu ter update ko mkin ribet di pahami, sya mau bnyar spaylater sya tpi ko g ad tertera pembayaran melalui ap, hnya tnda centang biru. Tlong di usut oleh pihak admin traveloka, krna sya mau bnyar tpat waktu.</t>
  </si>
  <si>
    <t>Percuma dikasih limit paylater tapi gbs digunakan buat offline dan online...cuma bisa digunakan untuk pembayaran di traveloka aja...kn gk semua orang pengen jalan2 terus...jelek lah makin kesini</t>
  </si>
  <si>
    <t>Kecewa...... Dsuruh klik bintang 5 dengan alasan ada program dr pihak traveloka.. Ternyata semua nya moduuuuuSsssss n hoak</t>
  </si>
  <si>
    <t>Baru pertama pakai ga bisa refund kamar hotel penuh ga jadi menginap, uang ga kembali</t>
  </si>
  <si>
    <t>Apk apa nih gk jelas, kenapa gk muncul jadwal keberangkatan pesawat nyesal download, jngan di download ntar nyesel 😈</t>
  </si>
  <si>
    <t>aplikasu paling susab refand lama 5hari sudah saya tnggu 7 hti lama gk masuk'</t>
  </si>
  <si>
    <t>APLIKASI SAMPAH! BOOKING TIKET PADAHAL TIDAK MELEBIHI BATAS DURASI PEMBAYARAN, TAPI PEMBAYARAN TIDAK BERHASIL PADAHAL SAYA ADA BUKTI BAHWA TRANSAKSI BERHASIL DARI MERCHANT DAN JAMNYA TIFAK MELEBIHI BATAS PEMBAYARAN. KONTAK CUSTOMER SERVICE TIDAK ADA JAWABAN, DIBALAS BARU BESOKNYA!! DAN TAUNYA DIBATALKAN KARENA PEMBAYARAN TIDAK TERKONFIRMASI, KELALAIAN KAN DI ANDA!!! SUNGGUH TIDAK PROFESSIONAL, CS NYA LAMBAAAT! UANG BAHKAN BELUM DIREFUND 1 HARIAN INI TERHITUNG SAAT PESAN INI SAYA SAMPAIKAN!!!!</t>
  </si>
  <si>
    <t>Aplikasi taik, ngisi kota tujuan aja masih ngebugg</t>
  </si>
  <si>
    <t>Sy ralat kmrn sy kasih bintang 5 waktu kasih angin surga sekarang sy kasih bintang 1 aja krn cuma di PHP</t>
  </si>
  <si>
    <t>Apaan sii disuruh verivikasi no hp. Udh dimasukin dibilang nomor dipake di akun lain. Apaan sih. Poin ga bs dipake. Poin ga bisa diterima. Tapi pas order nomor hp juga ttp nomer di hp sy. Apaan siii.. promo palsu ya? Poin dah banyak ga bs dipake buat apa coba</t>
  </si>
  <si>
    <t>kemudahan akses paperless dan lebih hemat dengan voucher promo</t>
  </si>
  <si>
    <t>Sangat bagus dan sangat direkomendasikan. Cara untuk redeem tiket sangat jelas</t>
  </si>
  <si>
    <t>bersih, cuma pas ke sana lagi rame-ramenya. banyak wahana yg tidak buka</t>
  </si>
  <si>
    <t>happy... beli paket annual pass 6bulan... ga kan pusing beli tiket lg kalau mau ke sana lg😁😁😁 alhamdulillah anak-anak senang...</t>
  </si>
  <si>
    <t>wahana sangat bagus, tempat nyaman, harga makanan misal bisa lebih murah pasti laku keras</t>
  </si>
  <si>
    <t>Seruuu pengen balik lagi</t>
  </si>
  <si>
    <t>selalu pengen balik kesini. first time sama anak-anak</t>
  </si>
  <si>
    <t>jika terlalu banyak pengunjung, antrainnya cukup panjang dan lama nunggunya. jika hr lebaran penjualan tiket tdk ada yg reguler, kita dipaksa utk beli tiket yg 6 bln atau 1 tahun</t>
  </si>
  <si>
    <t>Baru pertama kali beli tiket wisata Sea World Ancol via traveloka, akses masuk sangat mudah hanya dengan tunjukkan barcode voucher tiket, dan prosesnya sangat cepat, tanpa perlu antri lagi untuk beli tiket on the spot, terlebih ada diskon jika beli di Traveloka 👍</t>
  </si>
  <si>
    <t>bagus seperti dulu cm mungkin ikan ikan ya ditambah tidak itu itu saja</t>
  </si>
  <si>
    <t>Alhamdulillah belum pernah kecewa pesan Via Traveloka.. Jangan pernah sih.... terimakasih Traveloka... semoga tambah besar dan tetap dengan pelayanan terbaiknya...</t>
  </si>
  <si>
    <t>saat melakukan redeem sangatlah mudah dan staff nya sangat membantu.. pakai Traveloka lah biar ga pake antri.. tinggal scan QR aja</t>
  </si>
  <si>
    <t>Semua lancar dari proses rendem sampai selesai dan sangat menyenangkan</t>
  </si>
  <si>
    <t>Alhamdulillah memuaskan untuk liburan bersama keluarga tercinta</t>
  </si>
  <si>
    <t>keren banget... anak seneng ayah bunda ikutan seneng... thanks traveloka... thanks sea world.</t>
  </si>
  <si>
    <t>seru banget pengen kesana lagi</t>
  </si>
  <si>
    <t>thank you sdh memberikan pengetahuan tentang binatang laut... dan menonton pertunjukan ikan hiu</t>
  </si>
  <si>
    <t>asyikkk dan menyenangkan. recommend</t>
  </si>
  <si>
    <t>Yang asik ke dufan adalah mengantrinya, hehe</t>
  </si>
  <si>
    <t>untuk e cardnya bagi yg belum terbiasa agak susah ya dan ribet, kamar mandinya selalu wangi</t>
  </si>
  <si>
    <t>Antrian panjang tapi jalan cepat. Tidak ada yang merokok. Perlu diperbanyak staf kebersihan toilet wanita. Diperbanyak tmp utk makan berat.</t>
  </si>
  <si>
    <t>asyik... sayang pas liburan sekolah jadi terbatas mainnya</t>
  </si>
  <si>
    <t>saya beli 2 tiket dufan lewat traveloka, tapi 1 tdk bisa dijadikan ecard....dan menghub traveloka sangat sulitttt...kapokk</t>
  </si>
  <si>
    <t>deskripsi sesuai dengan contoh</t>
  </si>
  <si>
    <t>Menyesal saya atur pembayaran dicicil langsung di traveloka dengan biaya admin, ternyata di pihak bank bisa diubah jadi cicilan 0% tanpa biaya admin pula😅 nasib jarang pakai kartu kredit</t>
  </si>
  <si>
    <t>Ko ga ada bisokop lagi?</t>
  </si>
  <si>
    <t>Baru pertama make pesen tiket kalah sama app yang lain, gangguan mulu, ujung²nya tiket habis, kapok</t>
  </si>
  <si>
    <t>kok dibuat liat nelusur muter" sih,</t>
  </si>
  <si>
    <t>Kok tambah lemot,,, mau bayar aja lemot soro,,,, ya apa nie kok tambah gn, q langganan tiket. Com da lama</t>
  </si>
  <si>
    <t>Semenjak ada paylater terlalu berharap ada limit berulang ulang tidak di ACC jadi uninstal saja ribet soalnya</t>
  </si>
  <si>
    <t>Baru update, lgi minta update. Update aplikasi terus. Klo blm fix jngan di share. Biar update 2 bulan sekali lah.</t>
  </si>
  <si>
    <t>Berat bgt ni aplikasi,loadingnya lama.Kebanyakan vitur yg ga diperlukan deh,terakhit pake tahun kemarin masih enak tuh,tp sekarang ga bgt ini ada fitur explore segala terus menu utama ga di tampilin didepan,cuman ada pilihan pesawat sama hotel doang.Pas mau nyari bis,loadingnya lama bgt ga muncul sama sekali heran padahal sinyal lancar buat aplikasi lain jg oke.</t>
  </si>
  <si>
    <t>Selama ini saya beli tiket di traveloka tidak pernah puas karen perubahan jadwal terus dan jadwal nya berangkat ke dari jakarta k aceh ..dari jakarta berangkat jam 8.30 sampai medan 10.50..jadwal berangkat dari medan k aceh di atur lagi jam 8.50..di tanggal yg sama itu nama nya merugikan orng karena ketinggalan pesawat</t>
  </si>
  <si>
    <t>Tadinya aplikasi ini bagus, tetapi perkembangan teknologinya malah buat ribet, beli tiket rombongan untuk 11 org setelah e tiket terbit malah dibatalkan sepihak. Mau komplain sulit banget dihubungkan sama cs ai Taiklah</t>
  </si>
  <si>
    <t>Pengalaman buruk yg tidak bisa dilupakan. Sebagai pihak ketiga, Traveloka tidak bisa memberikan kenyamanan untuk customer nya.</t>
  </si>
  <si>
    <t>Aplikasi yang berpotensi merugikan konsumen.</t>
  </si>
  <si>
    <t>Giliran ada kendala call center, WA senter, tidak ada solusi Tidak ada pertanggung jawaban jika ada masalah</t>
  </si>
  <si>
    <t>cs nya slow respon bgt mau komplen susah sekaliii....!!!</t>
  </si>
  <si>
    <t>Saya beri dulu bintang 1, masalahnya saya belum pernah melakukan transaksi pembelian tiket pertandingan psm makassar vs dewa united tapi keterangannya sudah pernah melakukan transaksi. LUCU JUGA INI APLIKASI.</t>
  </si>
  <si>
    <t>Mudah-mudahan ini aplikasi gulung tikar. Parah bgt sampe tlpn kantor. Lu kyk gitu namanya sebar gblg</t>
  </si>
  <si>
    <t>Poin ngga bisa digunakan!</t>
  </si>
  <si>
    <t>Ga nalar 2 menit habis</t>
  </si>
  <si>
    <t>Refund diharuskan ke blipay.</t>
  </si>
  <si>
    <t>seruuu bangettt fix bakal balik lagi</t>
  </si>
  <si>
    <t>Sayangnya wahana hanya sampai jam 5 sore coba diperpanjang jam operasional. Selebihnyaa bagusss</t>
  </si>
  <si>
    <t>protokol kesehatan dijalankan kurang baik. Banyak orang tidak pakai masker tp tidak ditegur oleh petugas. Untuk wahana terawat dengan baik. Sarana musholla dan toilet sudah bagus.</t>
  </si>
  <si>
    <t>tambahan ya... toletnya banyak dan sangat bersih... pokoknya jempol</t>
  </si>
  <si>
    <t>Thanks Traveloka.</t>
  </si>
  <si>
    <t>anakku senang bgt. walaupun didalam sea worldnya rame sekali. masuk ke dalam teroowngan sampe antri. dan alhamdulilah dpt voucher gratis ke dufan untuk orng krn anakku bisa menjwab pertanyaan saat ada kuis.</t>
  </si>
  <si>
    <t>nyaman....anak saya senang sekali</t>
  </si>
  <si>
    <t>senang pasti nya hari spesial imlek</t>
  </si>
  <si>
    <t>untuk yg ke berapa kalinya ke sea world Ancol itu ga pernah bosan</t>
  </si>
  <si>
    <t>sangat menyenangkan liburan ke seaworld</t>
  </si>
  <si>
    <t>terakhir kesini 2012.. Dan 2023 kesini lagi 😍😍 udh banyak berubah..</t>
  </si>
  <si>
    <t>pesan tiket secara online, saat di lokasi cari counter cetak tiket online tdk ada, tanya staff diarahkan ke mesin tiket yg bayar pake card/debit, ternyata untuk cetak mesti ikut ngantri di loket reguler yg lumayan panjang antriannya. mohon dibedakan counter tiket onlinenya, udah jaman digitalisasi lho... tks</t>
  </si>
  <si>
    <t>Di papan di tulis bole bawa minuman dan makanan tidak dalam jumlah banyak, tp kenyataan di pintu masuk minuman sama sekali ga bole</t>
  </si>
  <si>
    <t>Bagus dan seru. Cocok jadi destinasi jalan-jalan sama teman</t>
  </si>
  <si>
    <t>Bagus, Recommended untuk anak² penggemar ikan,</t>
  </si>
  <si>
    <t>sangat menyenangkan bisa mengenal berbagai macam hewan laut 🤗</t>
  </si>
  <si>
    <t>Antrinya parah bisa berjam jam, terus bnyk wahana tidak beroperasi . sama wahananya udh byk yg jadull harus di upgrade</t>
  </si>
  <si>
    <t>Trimakasih menyediakan tim java taksi yang tidak berguna, saya pesan taksi kedatangan di pintu international, di suruh ke solaria pintu domestik sampai di bandara gak di jemput, tlp gak di jawab..mana sudah di bayar..moga saja sopirnya mengembalikan dana...tlg travelloka bisa bertindak selanjutnya.</t>
  </si>
  <si>
    <t>aplikasinya bagus berguna the best lah</t>
  </si>
  <si>
    <t>Kok apk ku setelah update jadi gk bisa digunakan gini ya.... tiap masuk apk mau ngapain aja gk bisa, selalu masalah jaringan katanya... padahal wifi dirumah juga gk ada masalah... buka apk lain juga lancar...</t>
  </si>
  <si>
    <t>jangan mahal² harga tiket nya, mayoritas pengguna TRAVELOKA itu masyarakat menengah kebawah, paham kan maksud saya. 👌👌👌 ok</t>
  </si>
  <si>
    <t>2 aja dulu, masih banyak lemah nya</t>
  </si>
  <si>
    <t>Dipersulit pemesananya</t>
  </si>
  <si>
    <t>Sekarang Traveloka masuk nya susah mau lihat harga tiket atau limit aja layar nya putih, padahal dulu lancar2 aja. Alasan nya d suruh instal versi terbaru, padahal saya sudah instal tapi tetap aja Lola, malah mau lihat harga tiket aja gak tersedia terus, makin buruk aja ni aplikasi</t>
  </si>
  <si>
    <t>kok di aku ga ada yah tiket bioskop nya?</t>
  </si>
  <si>
    <t>tertulis di aplikasi sisa 2 kursi, eh pas kita udah masukin data2 lengkap sampe NIK, eh dia kasih jawaban " bus sudah penuh..." ga update ini aplikasi, mending gw uninstall aja dr pd nyampah doang di hpe... emang gak bisa ya update real time online apa???</t>
  </si>
  <si>
    <t>Masa hrga nya gk sesuai.. Psen di traveloka lebih mahal🥺</t>
  </si>
  <si>
    <t>Aplikasi digital pemesan tiket kereta, tiket pesawat, hotel yang sangat mempermudah masyarakat.</t>
  </si>
  <si>
    <t>Saya mau pakai aplikasi ini jadi ragu. Banyak ulasan yg bikin ngeri. Mending dihapus aja aplikasi ini daripada resiko. Aplikasi bahaya nih ..</t>
  </si>
  <si>
    <t>Refun saldo blipay nya tidak bisa padahal laporan transfer nya berhasil tapi saldo tidak masuk di rekening , payah sekali!</t>
  </si>
  <si>
    <t>Tolong perbaiki costumer servis via WA,saya minta bantu untuk reschedule tapi tidak di respon sama sekali</t>
  </si>
  <si>
    <t>tidak memiliki hubungan yg baik dengan pihak hotel, baik dari segi komunikasi dan juga negosiasi. sudah pesan &amp; bayar hotel lewat aplikasi ini sampai di lokasi hotel penuh kata resepsionis pesanan saya tidak masuk, mengajukan refund dipersulit akhirnya tidak bisa refund karena sudah lewat dari tanggalnya. saran saya mending pake aplikasi yg pasti2 aja atau langsung hubungi pihak hotelnya. pake aplikasi ini cukup untuk lihat² saja, dari pada nyesel udah booking ternyata sampai lokasi fullbook.</t>
  </si>
  <si>
    <t>Pake Indodana Paylater nya, dan ada telat bayar. Katanya dipotong 50%, ehh taunya diboongin. Hahahaha MENYESAL MENGGUNAKAN FITUR INI!!!!</t>
  </si>
  <si>
    <t>Aplikasi yg pusing, susah di pakai nya</t>
  </si>
  <si>
    <t>males banget tiket udah di depan mata pas pembayaran error mulu. mending make apk lain</t>
  </si>
  <si>
    <t>Sebenarnya aplikasi nya cukup baik, hanya saja ketika terjadi kesalahan baik dr system atau dr usernya admin tidak memberikan solusi yg terbaik, tidak ada win win solution, baik sebagai akun yg level newbie atau level audah bronze tetep sama aja tidak ada solusi terbaik ketika ada permasalahan👎</t>
  </si>
  <si>
    <t>Jangan di gunakan ini aplikasi pemerasan aplikasi penipuan</t>
  </si>
  <si>
    <t>asyik banget buat liburan sekeluarga</t>
  </si>
  <si>
    <t>100/10 ❤️❤️ seru banget, but rumah riana is not really worth it, jaga protokol kesehatan banget!</t>
  </si>
  <si>
    <t>pokonya ga nyesel ke dufan walau ngantrinya panjang</t>
  </si>
  <si>
    <t>klaim voucher mudah dan langsung jd annual pass</t>
  </si>
  <si>
    <t>mantap lah sangat mempermudah melakukan e-ticket keren lah tempatnya soalnya udah lama ga kesana.</t>
  </si>
  <si>
    <t>luar biasa untuk liburan anak-anak</t>
  </si>
  <si>
    <t>Cita-cita dari jauh hari akhirnya kesampean krn beli tiket mudah dan jadi murah dari traveloka</t>
  </si>
  <si>
    <t>ke seaworld untuk mengenang masa kecil saya, stafnya helpful dan ramah, kebersihan terjaga semuanya oke</t>
  </si>
  <si>
    <t>Anak2 senang bisa lihat berbagai ikan. Cuma tempatnya dari saya kecil smpe pny anak kecil gini gini aja…</t>
  </si>
  <si>
    <t>anak2 selalu menikmati</t>
  </si>
  <si>
    <t>seru..jd byk tau macam2 kehidupan bawah laut..anak2 jg hepi.. kami pergi hr senin jd gak tll padat..semua bisa ter eksplore dgn baik..gak desak2an</t>
  </si>
  <si>
    <t>Saya merasa nyaman, sesuai prokes, pelayanan ramah, terima kasih sea world</t>
  </si>
  <si>
    <t>Bocah senang liat ikan dan bangak atraksi binatang laut yg bisa dilihat, yg penting bocah senang</t>
  </si>
  <si>
    <t>Proses redeem cepat, scan barcode langsung masuk, pakai voucher traveloka harga lebih hemat, terima kasih</t>
  </si>
  <si>
    <t>Semuanya sesuai deskripsi dan ma shaa Allah kami menikmatinya</t>
  </si>
  <si>
    <t>permainan banyak yg dalam perbaikan. hysteria juga nunggunya 2 jam lebih tapi mainnya kurang dr 3 menit.</t>
  </si>
  <si>
    <t>tidak disarankan datang pada saat liburan...antrinya 1 wahana bisa sampai 1jam😵‍💫😫 kecapean ngantri, main diwahananya cm 10-15 menit😫</t>
  </si>
  <si>
    <t>Datang di hari Minggu. Semua terlihat kacau. Rumah makan sangat minim. Antrian sangat panjang.</t>
  </si>
  <si>
    <t>karena weekend jadi antrian segala wahana pun panjang sekali, tdk banyak wahana yg kita nikmati... tapi so far anak-anak enjoy and happy... nunggu epic time lg buat tiket murmer ke dufan 😊</t>
  </si>
  <si>
    <t>pelayanannya semua bagus, permainannya juga. cuma kenapa kereta misteri harus dibukanya weekend dan tgl merah aja, sedihhh😭😭 semoga kedepannya, lebih baik lagi. tempat hiburan yg menyenangkan.</t>
  </si>
  <si>
    <t>tingkatkan kenyamanan toiletnya yaaa dan semoga cepat disediakan minimarket di dufannya</t>
  </si>
  <si>
    <t>Kondisi fasilitas mengalami penurunan dari sebelumnya mungkin akibat penutupan beberapa waktu lalu karena pandemi covid. Staff terbatas sehingga sulit mendapatkan bantuan informasi saat di dalam</t>
  </si>
  <si>
    <t>air di kamar mandi menggenang, kotor terutama dekat musholla</t>
  </si>
  <si>
    <t>semoga tidak dibatalkan lagi tiket yg telah saya beli</t>
  </si>
  <si>
    <t>kurang bagus severnya down terus apalagi untuk tiket konsernya</t>
  </si>
  <si>
    <t>Kok payleternya tidak bisa di gunakan ya? dan pakai kredivo kok nggk bisa juga ya, mohon penjelasnnya</t>
  </si>
  <si>
    <t>Tes dulu jika ada iklannya saya delet kembali soalnya iklan membewa virus membuat ponsel error</t>
  </si>
  <si>
    <t>Aneh dengan Aplikasi ini, Baru juga sekali dipakai sudah tidak aktip lagi. Apakah ada yang salah, kalau dinonaktipkan paylter nya kenapa juga dikasih limitnya dari awal waktu pendaftaran.</t>
  </si>
  <si>
    <t>Saya mau beli tiket garuda di di bulan 4 ko engga bisa terus ya ? Dan di cekke dua kali nya sudah engga bisa dibeli</t>
  </si>
  <si>
    <t>Coba dulu kalau apk nya ribet uninstall gpp kan 🙏</t>
  </si>
  <si>
    <t>TVCe. Gw w ,ee,. 3nid de⚖️ zvcd _ exccexx</t>
  </si>
  <si>
    <t>Pesanan aktif saya hilang, cek di pesanan saya malah tidak ada pesanan sama sekali</t>
  </si>
  <si>
    <t>Pencetekan E-Tiket nya lama betul bilangnya cmn 15 menit padahal mau ampir sejam ni</t>
  </si>
  <si>
    <t>Sy wa yaa ezaeer wes zw ada di Sawangan permaii ada a dan e wa</t>
  </si>
  <si>
    <t>Kecewa sm traveloka..masa cek hotel beda tanggal selalu status kamar tidak tersedia. Tapi kalau pakai akun lain kamar tersedia.. payah nih..mending pesen voucher hotel di aku.. haha</t>
  </si>
  <si>
    <t>Maap bintang satu, saya pengajuan refund uang ny ga d tf² padahal di apk ny uang berhasil d tf dan saya sama sekali blum nerima uang refund nya. Mana uang refund udh d potong banyak bgt, ga di tf² lagiii.</t>
  </si>
  <si>
    <t>Sangat payah. Susah untuk melakukan memilih kursi dan cek'in. Mending beli tiket penerbangan langsung di app maskapainya dari pada disini. Ga sama waktu sebelum di perbarui sangat payah sekarang</t>
  </si>
  <si>
    <t>fitur tagihan &amp; isi ulang kenapa menghilang? setelah saya update koq malah fitur yg paling penting menghilang? saya kasih bintang 1 aja</t>
  </si>
  <si>
    <t>Pesanan sudah bayar, pembatalan/refund tidak bisa, kita gabisa masuk kamar, karena tidak menerima pesanan dari traveloka. Yang bener bos. Aplikasi konyol</t>
  </si>
  <si>
    <t>Paylater di tangguhkan dengan alasan tidak jelas,tlp CS tidak menyelesaikan masalah apapun,dan tidak ada solusi apapun!!trus buat apa saya bayar kalau paylater saya di tangguhkan.saya tidak pernah TERLAMBAT SAMA SEKALI,untuk pembayaran,jelek sekali sistem kalian. Kalau smp bulan depan tidak di kembali aktif paylater nya saya gk akan byr,tolong di di UP ke atasan kalian.saya akan kasi bintang 1,sanggat sangat merugikan dan MENGECEWAKAN</t>
  </si>
  <si>
    <t>Jelek taiii</t>
  </si>
  <si>
    <t>duit haram semua diembat embel embel promo</t>
  </si>
  <si>
    <t>Saya sudah melakukan pembayaran, akan tetapi pesanan saya tidak muncul/ tidak terbit solusinya bagaimana? Bagaimana cara untuk pengembalian dana?</t>
  </si>
  <si>
    <t>tidak bisa refund dengan alasan pribadi</t>
  </si>
  <si>
    <t>tiap pesan pesawat harus non aktif kan asuransi, karna asuransi defult nya terpilih. Dan posisi untuk non aktifkan asuransi nya tersembunyi</t>
  </si>
  <si>
    <t>Lingkungan bersih, nyaman dan menyenangkan. Happy bangettt. Next kesini lagi 👍</t>
  </si>
  <si>
    <t>sangat luar biasa, aku akan datang lagi🎉</t>
  </si>
  <si>
    <t>mantap harganya lebih murah &amp; cepat prosesnya</t>
  </si>
  <si>
    <t>seru ke dufan proses beli gak ribet tgl scan-scan aja</t>
  </si>
  <si>
    <t>seruuu pokoknya anak-anak aja sampe lupa pulang</t>
  </si>
  <si>
    <t>Proses reedem voucher mudah. Sea world seru banyak nambah pengetahuan tentang ikan, begitu juga penampilan lumba2 dan hewan laut lainnya. Pintar2! Seru banget. Kapan2 pasti datang lagi 😁😁😁</t>
  </si>
  <si>
    <t>seruu... terima kasih traveloka &amp; seaworld💜</t>
  </si>
  <si>
    <t>Mantap sekali bagus dan indah</t>
  </si>
  <si>
    <t>seru banget bisa liburan ke seaworld ancol banyak aneka ikan tawar ataupun ikan laut yang bisa dilihat di sana. anak-anak happy bermain ke seaworld ancol</t>
  </si>
  <si>
    <t>all good, tp saat redeem masih perlu waktu sehingga agak sedikit lama menunggu</t>
  </si>
  <si>
    <t>Dapet potongan 100rb++ wohooo! Anakku excited banget karena ini pertama x ke dufan, sayang tingginya kurang 2 cm buat naik yang 125 cm 😵‍💫 Thanks Traveloka!</t>
  </si>
  <si>
    <t>Menyenangkan, protokol kesehatannya baik</t>
  </si>
  <si>
    <t>kereeen. gak sabar datang ke dufan lagi</t>
  </si>
  <si>
    <t>Kurang puas, terlalu ramai, antrean wahana terlalu panjang, terhitung rugi karena tidak bisa menikmati semua wahana, harga makanan dan souvenir di dalam area wisata terlalu mahal</t>
  </si>
  <si>
    <t>perawatan fasilitas umum masih kurang</t>
  </si>
  <si>
    <t>Senang bersama keluarga tambah lagi wahananya</t>
  </si>
  <si>
    <t>Anak2 senang bisa berkunjung ke seaworld.</t>
  </si>
  <si>
    <t>Hindari datang saat weekend, liburan sekolah atau holiday karena antrinya luar biasa panjang paska pandemic, lebih pagi lebih baik</t>
  </si>
  <si>
    <t>Mantap proses redeem mudah dan cepat. Bantuan staf sangat membantu untuk prioritas yang bawa stroller masuk gate tidak perlu antri 👍🏻</t>
  </si>
  <si>
    <t>proses checkin mudah tinggal scan barcode etiket. staff membantu. hanya saja ruangan utama ketika awal masuk terlalu gelap mungkin agar fokus cahaya di akuarium. mungkin bisa ditambahkan pencahayaan dekat akuarium 1 lampu agar objek yg mau foto bisa terlihat tidak gelap/siluet. jenis ikannya tidak sebanyak dulu. parkiran luas, tempat duduk di luar diperbanyak yg adem.</t>
  </si>
  <si>
    <t>tempat bersih, tetapi kayaknya lebih lengkap yg dulu ya koleksi ikannya</t>
  </si>
  <si>
    <t>pengalaman ke seaworld, kebersihannya menurun dibandingkan 2th yang lalu saya kesini. apalagi toilet sangat jorok, bau pesing... basah lantainya... sayang bgt...</t>
  </si>
  <si>
    <t>pembayaran gk ada pake dana</t>
  </si>
  <si>
    <t>sangat mudah saya terbantu</t>
  </si>
  <si>
    <t>terima kasih</t>
  </si>
  <si>
    <t>Aplikasi lemot, melakukan pencarian lokasi terminal kayak menggunakan HP 2gb , sementara aplikasi yang lain lancar-lancar aja.</t>
  </si>
  <si>
    <t>Lebih mahal dari apk lain, katanya jaminan harga termurah ternyata bohong, dan diajukan claim Jaminan Harga Termurah ditolak, padahal sudah mengajukan klaim JHT sesuai prosedur.</t>
  </si>
  <si>
    <t>Gabisa di pake</t>
  </si>
  <si>
    <t>Min, gak bisa ganti email</t>
  </si>
  <si>
    <t>Kurang profesional dalam menghandel tuk kamar apartemen yg disewakan,mhn maaf.</t>
  </si>
  <si>
    <t>soal sewa mobil yg 3 jam sebelum penjemputan, tp hanya tersedia 6 jam sebelum penjemputan.saya udah laporan ke CS, tp memang ini system, CS nya juga gk bs rubah jadwal. pdhal ada opsi bisa "reschedule" &amp; malah balik katanya kalo ini dr vendor. klo emg dr system tampilanya jg 3 jam sblm penjemputan, bukan 6 jam. udah perhitunganya 6 jam,baru dihubungi sama vendor 2 jam kemudian, ya dr vendor udh menang karena reschedule tu bs cm 6 jam seblm penjemputan.INI CELAH Di Tiketcom, yg dimanfaatkan</t>
  </si>
  <si>
    <t>Wuu di Jun dd y</t>
  </si>
  <si>
    <t>Jb 5TV exco minta zc v CSX v in fxd</t>
  </si>
  <si>
    <t>Ok</t>
  </si>
  <si>
    <t>Harga tiket pesawat yg tertera selalu berubah menjadi naik ketika lanjut ke tahap pemesanan... memang hrga tiket fluktuatif, tp ga tiap detik juga kalee... soalnya berulang kali coba pesan dlm wkt bbrp menit itu harga nya tetap sama, tp ketika di pesan lgsung berubah (naik), begitu terus.. Kl memang hrg tiket sdh berubah harus nya auto berubah jg donk di tampilan awal nya. Pihak traveloka ga usah ngeles dg alasan hrga tiket yg fluktuatif, lakukan aja evaluasi dan perbaiki sistem nya.</t>
  </si>
  <si>
    <t>Sangat mengecewakan kalau kita mengajukan refund. Di aplikasi disampaikan uang sudah ditransfer, tapi sudah 1 bulan, uangnya tidak pernah masuk ke rekening. Dichat malah dilayani mesin</t>
  </si>
  <si>
    <t>ngga ada keterangan pesawat apa yg mau di booking</t>
  </si>
  <si>
    <t>Sbg penguna traveloka yg sdh bertahun tahun Sebenarny sih nga ada masalah dan termasuk lancar dalam pembelian tiket pesawat maupun hotel.kecewany di cek in online,dulu di traveloka masih bisa cek in online tapi utk skng nga bisa lagi,sdh beberapa kali pesan tapi nga ada juga muncul tulisan yg biasanya ada "sudah bisa cek in online" Walaupun waktu penerbangan kurang dari 12 jam ato 10 jam sebelumny Yg muncul hanya tulisan " e tiket telah terbit " So sama sekali nga bisa cek in online.</t>
  </si>
  <si>
    <t>Sumpah skrang Traveloka lelet amat...jadi gak betah.. pdahal jaringan gak ada masalah....</t>
  </si>
  <si>
    <t>udh daftar payleter traveloka udh kirim data dan KTP tpi ga bisa. tolong hapus lg data dan KTP saya di traveloka, tolong jangan di salah gunakan. jika terjadi maka saya akan lapor ke pihak berwajib</t>
  </si>
  <si>
    <t>Penilaian yang tidak masuk akal dalam menentukan level paylater. Padahal bayar selalu tepat waktu dan tidak pernah telat. Level penggunaan pun dikatakan SEHAT. Tapi level akun malah turun. Kecewa sekali! Tidak rekomendasi lagi sudah.</t>
  </si>
  <si>
    <t>Saya mau melalukan refund karena istri saya hamil..sudah saya lengkapi dokumen dengan melampirkan surat keterangan kehamilan dari rumah sakit...TPI selalu tidak disetujui..ini terakhir kali saya aplikasi..saya kecewa berat..semoga orang menyadari betapa ruginya menggunakan aplikasi ini..</t>
  </si>
  <si>
    <t>Aplikasi yg g' akan pernah lagi saya download , amat sangat mengecewakan , beberapa kali melakukan pesanan slalu bermasalah .</t>
  </si>
  <si>
    <t>tiket saya hilang</t>
  </si>
  <si>
    <t>Gara-gara lu gangguan sistem, gw gak kebagian tiket jkt48 bangsattttt</t>
  </si>
  <si>
    <t>HATI HATI BELI TIKET DI SINI...PAKE KREDIVO DAN SEJENISNYA,DIBATALKAN DARI MASKAPAI TETAP MASIH ADA SISA TAGIHAN,,HERAN BUNGA DIBEBANKAN KE KONSUMEN..JELAS2 YG MEMBATALKAN DARI PIHAK MASKAPAI !!</t>
  </si>
  <si>
    <t>Minta di perbarui, setelah di perbarui malah gak bisa muncul nama kota atau bandara, hadeehhh gimana ini</t>
  </si>
  <si>
    <t>Gak bisa di pakai,</t>
  </si>
  <si>
    <t>Aneh sudah bayar sesuai nominal aplikasi malah katanya salah kok bisa masa komputer salah?</t>
  </si>
  <si>
    <t>buruk , pesan tiket KAI tgl 7 unt keberangkatan tgl 8 baru dikirim tgl 12 sip telat bgt yaa</t>
  </si>
  <si>
    <t>Sudah 3x contact CS WA GA ADA RESPOND. Pengalaman yang buruk</t>
  </si>
  <si>
    <t>Dalam 1 hari ribuan kasus sama, dana terpotong kode booking tidak ada. CS by WA, Twitter, IG , dan call pun tidak ada respon. Perusahaan besar tidak memiliki staff IT yang bisa menyelesaikan kerusakan yang ada 👎👎👎👎. Tidak ada permintaan maaf, malah bikin stori iklan lainnya</t>
  </si>
  <si>
    <t>Menyebalkan</t>
  </si>
  <si>
    <t>Babi</t>
  </si>
  <si>
    <t>Mau refund tiket di monopoli sm management mesti trf ke blipy bukan ke rekening pribadi.. tidak rekomended dan menyusahkan orang ini aplikasi 😡</t>
  </si>
  <si>
    <t>overall it's ok... kami semua senang.</t>
  </si>
  <si>
    <t>Sangat menyenangkan sekali, anak-anak suka sekali bermain di dufan</t>
  </si>
  <si>
    <t>keseruan bersama saudara. kurang puas, pengen maen ke dufan lagi, karena waktunya habis terbuang buat ngantri 😅😅😅</t>
  </si>
  <si>
    <t>sangat menyenangkan semua wahananya</t>
  </si>
  <si>
    <t>sangattt senang sekaliii sangattt</t>
  </si>
  <si>
    <t>seru aja sih main kesini, bisa sambilan nambah ilmu pengetahuan</t>
  </si>
  <si>
    <t>pengalaman yg berkesan bagi anak saya yg pertama kali ke seaworld dan juga bagi saya sendiri yg setelah sekian purnama berkunjung lagi ke seaworld.</t>
  </si>
  <si>
    <t>Jauh2 dari Jakarta ke GWK karena mau ngincer kecaknya. Sayangnya hujan. Akhirnya ke amphitheater nonton kecak tapi ternyata setengah 6 udh full seat. Jadi berdiri diatas. Tapi gpp, pertunjukannya memuaskan. Salut sama dubber pria nya</t>
  </si>
  <si>
    <t>kesini pas weekday supaya bisa foto2 dengan leluasa karena sepi, pameran seninya bagus tempatnya nyaman, bersih, tp parkirnya bikin bingung</t>
  </si>
  <si>
    <t>yah ok lah dufan buat seneng2 sesekali</t>
  </si>
  <si>
    <t>Wahana cukup menghibur namun tolong sediakan sarung di masjid atau musholla utk beribadah sholat.</t>
  </si>
  <si>
    <t>tempat yang menyenangkan sekali</t>
  </si>
  <si>
    <t>bersih. bagus. toiletnya jarang ada tisunya nih</t>
  </si>
  <si>
    <t>sayang sekali koleksi ikannya sedikit sekali tidam seperti tahun dahulu, air aquariumnya seperti kesan kotor, perhatiaannya terhadap kecintaan lautnya masih kurang</t>
  </si>
  <si>
    <t>Kenapa traveloka gak bisa di buka aplikasi nyaa.. Saya mau masuk mau cek saldo paylater tkut ada yg slah gunakan karena ga bisa kebuka sistem sdng tdk bisa digunakan dh bbrpa hari ini.. Bkin takutt tau2 ada tagihan bukan saya yg pakai.</t>
  </si>
  <si>
    <t>Xetfc cr 😃😄 JB d. Gak , ibu kok b yg bin ye</t>
  </si>
  <si>
    <t>Application Travelling Flight and Hotel</t>
  </si>
  <si>
    <t>terimakasih traveloka.lebihudah book tiket</t>
  </si>
  <si>
    <t>😵🙃</t>
  </si>
  <si>
    <t>Lama amat refund nya 😏😏😏</t>
  </si>
  <si>
    <t>Sistem Sibuk Musik Bergotang ,</t>
  </si>
  <si>
    <t>Esme</t>
  </si>
  <si>
    <t>Masih banyak penipuan di apk ini, saya udah tf biaya hotel ga tau nya pas saya sampai lokasi, malah hotel lain yg adanya</t>
  </si>
  <si>
    <t>Menurut saya traveloka kurang bisa memberi kenyamanan pelanggan..tiket saya yang refund sdh lebih dr 3 minggu dana belum jg di kembalikan..pdhal janji manisnya dana cair menunggu 12 hari kerja..jika blm ada respon dr maskapai mk pihak Traveloka akan meminjami terlebih dahulu..tp nyatanya sampai 3 minggu blm jg ditranfer</t>
  </si>
  <si>
    <t>aktifkan kembali paylaternya</t>
  </si>
  <si>
    <t>Uuu yang akan oleh kau tahu bulat di teras PPh ini pp lol di wa wall of ini pun</t>
  </si>
  <si>
    <t>Update terus 1 bulan bisa 3x</t>
  </si>
  <si>
    <t>App Traveloka Ini sangat membantu ,tapi sangat di sayangkan aja ,harga tiket yang di Tampilkan itu murah dan disaat sudah capek capek isi semua data ,pas mau pembayaran, Harganya naik 2x lipat 🙃🙃</t>
  </si>
  <si>
    <t>Penipuan jgn percaya</t>
  </si>
  <si>
    <t>Adakah yg tau nomer kantor Atau CS yang Mau Berbicara dengan Customer,setiap sy coba kok CS gak mau ngomong,yg ngomong hanya Iklan dan info info lain aja,Uang sy 18jt sudah masuk buat boking group,Waktu pembayaran dan nominal juga pas tapi kok tiket gagal terbit setelah itu tidak ada kejelasan lagi.</t>
  </si>
  <si>
    <t>Gimana nih saya sudah pesan tiket,sudah membayar via Alfamart,tapi tiket tidak ada,dan uang sudah masuk,gimna nih admin saya ambil uang saya kembali,mohon di tindak lanjutin,saya sudah ke pihak bandara tapi mereka tidak tau apa2,kemana sy harus minta uang saya kembali</t>
  </si>
  <si>
    <t>Customer service, email, telpon, wa tidak dapat dihubungi dan tidak ada yang membantu</t>
  </si>
  <si>
    <t>Aplikasi aneh. Masa aplikasi pemesanan untuk metode pembayaran tidak tersedia. Mana cs nya no respon lagi. No recommended untuk keperluan pemesanan cepat.</t>
  </si>
  <si>
    <t>Sy ko merasa tertipu dengan harga tiket tidak sesuai dengan yg tertera,, tiba2 pas sy cek ternyata ada perlindungan penuh yg sy tidak pilih, ko bisa otomatis gitu yah ? Sy pesan buat 5 orang tekor 300 ribu dong saya 😭...mmm bisa g di refund uang perlindungan penuh saya,, solx sy dah punya asuransi sendiri</t>
  </si>
  <si>
    <t>Kenapa sih metode refund nya harus blipay mana lama banget kenapa gak dana aja coba</t>
  </si>
  <si>
    <t>Stasiun kereta nya gk lengkap wlek</t>
  </si>
  <si>
    <t>Ku kira jaringan internet ku lelet, ternyata aplikasi nya yang lelet. Hadeh ga jadi deh beli tiket disini</t>
  </si>
  <si>
    <t>Biasa aja</t>
  </si>
  <si>
    <t>Aplikasi buruk. Duit refund ticket ke tix holder sengaja tutup mata.</t>
  </si>
  <si>
    <t>Sumpah sekarang lemot</t>
  </si>
  <si>
    <t>sdh di hotel bawa bayi hujan2 mau Reschedule aja engga bisa, apalagi Refund gk bisa. Saking Slow Respon sampe Full Hotel</t>
  </si>
  <si>
    <t>Dufan tempatnya sekarang sudah lebih bagus. Sudah banyak perbaikan dan upgrade terakhir saya datang 2019. Recommend sebagai destinasi saat anak2 libur</t>
  </si>
  <si>
    <t>protokol kesehatan diterapkan dengan baik, tempat wisata nyaman meriah dan recommend bgt. worth it keren abiis</t>
  </si>
  <si>
    <t>seneng bisa bawa anak untuk bermain, walau awalnya dia masih takut2 tapi kelamaan jadi seru juga dia bermain di dufan 👍💯🌟</t>
  </si>
  <si>
    <t>Wahananya seru seru, tidak membosankan, semuanya asik</t>
  </si>
  <si>
    <t>Aaa dpt harga annual pass lagi promo di traveloka jd cm bayar 260 ribuan hiksss seneng bgttt. Akses masuknya pun gampang tinggal scan barcode di loket msk. Thank you travelokaaa</t>
  </si>
  <si>
    <t>mantap... mudah prosesnya...</t>
  </si>
  <si>
    <t>bagus liburan di dufan aja yuk</t>
  </si>
  <si>
    <t>Online aktivasi e-card jd dtg tinggal tunjukin aja barcodenya... Kebetulan belinya yg annual pass dufan jd semuanya lebih mudah. Thank u traveloka selalu bisa diandalkan ❤️</t>
  </si>
  <si>
    <t>Proses pesan mudah fasilitas ok</t>
  </si>
  <si>
    <t>luar biasa,kami keluarga sangat menikmatinya</t>
  </si>
  <si>
    <t>murah beli disini ketimbang beli di tempatnya</t>
  </si>
  <si>
    <t>Pembelian tiket aman, proses redeem lancar dan mantab</t>
  </si>
  <si>
    <t>manteppp, redeem tiketnya mudah</t>
  </si>
  <si>
    <t>Kalau mau ke Seaworld better beli tiket terusan sekalian ke Ocean Dream yang lokasinya persis sebelahan. Better ke Seaworld dulu baru lanjut ke Ocean Dream karena Seaworld dikit banget yang bisa dilihat, sedangkan ocean dream banyak pertunjukkan yang terjadwal. Harga normal tiket terusan di traveloka Rp 182.000 tapi karena sekalian cari tag2an di instagram traveloka experience dan nemu kode voucher influencer jadi dapet tambahan diskon totalnya bayar Rp 157.000</t>
  </si>
  <si>
    <t>protokol kesehatan dijalankan dengan baik, proses redeem tiket juga mudah...</t>
  </si>
  <si>
    <t>pojoknya is good. mudah dan tetap safety</t>
  </si>
  <si>
    <t>good place, cocok untuk wisata keluarga</t>
  </si>
  <si>
    <t>Bagus, keamanan sangat terjaga</t>
  </si>
  <si>
    <t>anak saya suka banget dan seneng banget, terima kasih</t>
  </si>
  <si>
    <t>mantap cuma capek ngantri... perlu ditambahin kipas sejuknya karena panas banget... petunjuknya juga diberikan lebih lengkap dengan staf dan informasi visual yang memadai</t>
  </si>
  <si>
    <t>Nyaman hanya antriannya saja padat merayap, karena moment lebaran kali ya😄</t>
  </si>
  <si>
    <t>toiletnya bau pesing sekali. tdk ada petugas yg standby bersihkan. tisu tdk ada</t>
  </si>
  <si>
    <t>seaworld sekarang ga kayak dulu, ocean juga. kumuh banget. kalo ga diperbaiki akan kalah dengan objek wisata serupa yg muncul sekarang</t>
  </si>
  <si>
    <t>pelayanan ramah dengan harga yg tidak terlalu mahal sudah dapat makan pagi 2 orang, kekurangannya air panas nya kurang berfungsi baik hanya hangat saja dan kamar mandi plafonnya bekas bocor tidak diperbaiki</t>
  </si>
  <si>
    <t>Terlalu ramai melebihi kapasitas seaworld, tdk ada antrian, saling rebutan masuk</t>
  </si>
  <si>
    <t>Saya mau merubah emai saya kenapa ga bisa2 ya, udah berkali2 saya coba tapi tidak bisa2</t>
  </si>
  <si>
    <t>Layanan beli tiket sih oke, tapi layanan streamingnya bapuk.</t>
  </si>
  <si>
    <t>Tidak pernah di kasih playlater</t>
  </si>
  <si>
    <t>Parah ini aplikasi, pesan hotel di daerah bromo dan sudah sampai lokasi ternyata hotel nya sudah lama putus mitra. Terpaksa bayar ekstra</t>
  </si>
  <si>
    <t>Semua aman terkendali sampai akun paylater di bekukan dan saat minta diaktifkan tdk bisa, harus menunggu saja. Bberapa tahun tdk pernah lagi menggunakan app sampai kemudian diaktifkan kembali.Semua pembayaran sehat kemudian tiba2 virtual number tidak dapat digunakan dengan alasan keamanan walaupun yg lain bisa digunakan. Mencoba menghubungi cs kembali tapi tdk ada solusi, hanya permohonan maaf dan pemakluman. Saya rasa cs sangat minim pengetahuan produk dan kemampuan menyelesaikan masalah cust.</t>
  </si>
  <si>
    <t>Limit 10jt virtual numbernya ga aktif2 kaya pinjol traveloka</t>
  </si>
  <si>
    <t>Rx,,A</t>
  </si>
  <si>
    <t>Hi admin traveloka,coba dong telusuri ad penipuan yg mengatasnamakan traveloka. Saya salah satu korban nya. Katanya traveloka sdg mengadakan event utk meningkatkan kualitas apk dan seterusnya. Tau2nya itu semua adalah modus penipuan.</t>
  </si>
  <si>
    <t>Tiba" limit paylater saya jadi 0 kayanya gara" saya lupa kasih reting . Padahal saya bayar tagihan tepat waktu.jadi males pake Traveloka</t>
  </si>
  <si>
    <t>Tadinya sangat terbantu dengan ada nya paylater..knp sekarang paylater tidak bisa digunakan alasannya karena keamanan..padahal selalu tepat waktu klo pembayaran.. Aneh..buat apa limit 14jt klo tidak bisa digunakan.. Udh berkali-kali melapor ttp ja respon selalu nunggu</t>
  </si>
  <si>
    <t>Gimana Traveloka ini, pengalaman saya kemaren ketika mau pulang dari Jakarta ke Surabaya, ketika mau buka aplikasi malah macet gak bisa ke buka, yang ada hanya gambar burung gak bergerak. Padahal tiket saya ada di dalamnya aplikasi, alhasil hampir tidak jadi pulang, untung nya tiket nya terhubung dengan Gmail jadi masih bisa di cek di e-mail, payah Traveloka buat senam jantung saja</t>
  </si>
  <si>
    <t>Ini kenapa ya sistemnya traveloka? Pas mau cek detail pesanan tiket saya malah gagal memuat dikarenakan koneksi internet tidak ada. Padahal koneksi internet saya bagus, buka aplikasi lain lancar semua buka apk traveloka juga lancar tapi pas mau cek detail tiket aka dia kek gitu. Aneh ini apk, nyesal dah pesan tiket disini.</t>
  </si>
  <si>
    <t>Semua pusat bantuan tidak ada yang bisa membantu</t>
  </si>
  <si>
    <t>Refund terlalu lama</t>
  </si>
  <si>
    <t>Pesan tiket hotel, Sudah bayar, etiket tidak kunjung terbit 2 jam buang waktu, kacau sekali</t>
  </si>
  <si>
    <t>Komplain parah dijawab bot ga ada permintaan maaf atas kesalahan</t>
  </si>
  <si>
    <t>Bad customer service. Tiket pesawat sudah dibeli, dibayar dan ada bukti transaksi. Namun tiket tidak muncul padahal sudah akan penerbangan. Wa, email, telpon mau komplen tidak ada respon. Rugi rugii. Mau di refund reschedule kagak bisa 👎💢😡</t>
  </si>
  <si>
    <t>Parah,saldo sudah kepotong tapi tiket ga issued</t>
  </si>
  <si>
    <t>Tidak bertanggung jawab, merugikan konsumen</t>
  </si>
  <si>
    <t>PARAH BANGETT DAH, NGELAG SKALI SUMPAH BIKIN GUE EMOSI</t>
  </si>
  <si>
    <t>Lepas tangan dalam refund tiket gudfest</t>
  </si>
  <si>
    <t>Aplksinya lg knp sih ini. Mau payment hotel gk bisa mulu reload mulu????? Gk ada solusinya, csnya dihubngnnya susah</t>
  </si>
  <si>
    <t>seruuu dan menarik. pokonya harus kesini. tiket murah</t>
  </si>
  <si>
    <t>seruu &amp; menyenangkan... sangat recommend</t>
  </si>
  <si>
    <t>sangat menyenangkan</t>
  </si>
  <si>
    <t>Upacara pengibaran bendera merah putih di Seaworld khidmat dan seru untuk thn ini. 😍 Dirgahayu Indonesiaku.</t>
  </si>
  <si>
    <t>liburan ini cocok buat pengetahuan anak tentang kehidupan di Lautan.</t>
  </si>
  <si>
    <t>proses redeem mudah, banyak promo dan seruuu</t>
  </si>
  <si>
    <t>sangat mudah dalam bertransaksi...</t>
  </si>
  <si>
    <t>ini pertama kalinya ajak anak aku ke sea world ancol, dan ternyata ga salah pilih, dia seneng banget,,dan bisa bercerita banyak tentang pengalamannya berkunjung ke sea world ancol...🥰🥰</t>
  </si>
  <si>
    <t>semua seru... tempatnya untuk anak anak</t>
  </si>
  <si>
    <t>tempatnya mrnyenangkan dan keluarga pun senang</t>
  </si>
  <si>
    <t>proses pemakaian voucher sangat praktis. tinggal kasih ke staff Dufan ya utk scan, Beres!</t>
  </si>
  <si>
    <t>aplikasi scan nya sih cepet ga pake ribet tinggal scan setiap barcode di pintu masuk. justru antriannya malah di pengecekan tas semua air minum botol disita jadi panjang antriannya</t>
  </si>
  <si>
    <t>Gampang banget redeem tiketnya. antrian sudah cukup tertib. perlu ditambah informasi lama antrian supaya bisa memperkirakan waktu bermain.</t>
  </si>
  <si>
    <t>cukup mudah saat redeem dan aktivasi tiketnya</t>
  </si>
  <si>
    <t>cocok untuk melepas ketegangan dan penat dari rutinitas kerja. tapi weekend antrinya cukup panjang di setiap wahana</t>
  </si>
  <si>
    <t>aku suka dufan tapi jam tutupnya cepet banget sekarang dan antriannya bisa 1-2 jam per wahana. but overall, ya aku suka dufan hiks 🥲</t>
  </si>
  <si>
    <t>seru bangat lumayan lah buat ilangi stres</t>
  </si>
  <si>
    <t>masih ada penghuni2 lautnya hehehe</t>
  </si>
  <si>
    <t>semuanya sesuai dengan deskripsi yg dituliskan dan memudahkan saat masuk ke Sea World ataupun Ocean Dreams</t>
  </si>
  <si>
    <t>harga di traveloka lebih murah dibanding di web Ancol. pilih weekday supaya ga terlalu ramee. pas datang penuhhh sama rombongan anak2 sekolah 😭 agak susah mau nonton pertunjukan cepet2an biar dapet kursi. tapi yang penting anak2 senang</t>
  </si>
  <si>
    <t>alhamdulillah sangat mengasikkan liburan. lebaran tahun ini. semuanya dipermudah untuk proses tiketnya. terima kasih traveloka, next ditunggu promo-promo lg untuk liburan berikutnya.</t>
  </si>
  <si>
    <t>lupa gak difotoin. sampah berserakan kaya kurang staff kebersihan ga ada yg keliling ambilin sampah yg penuh di tong sampah. antrian panjang dihampir tiap wahana krn ada bbrp wahana bukanya siang jam 12. sedih dtg jam 9 cm kbgian naek 4 wahana doang antri nya 2-3 jam parahhh</t>
  </si>
  <si>
    <t>semuanya sesuai dengan fasilitas yang ditawarkan, saya sangat menikmati sampai lupa untuk aktivasi annual pass. apa bisa saya aktivasi sekarang?</t>
  </si>
  <si>
    <t>Banyak wahana yang tutup, padahal banyak juga yg masuk ke dufan. Kayak ga balance aja, ini terakhir saya ke dufan. Tengkyu</t>
  </si>
  <si>
    <t>Kebersihan kurang,keramahan staf kurang,petunjuk arah kurang, semua dibandingkan tempat wisata di Malang atau di Bali ..</t>
  </si>
  <si>
    <t>rame krn libur lebaran jadi kurang menikmati macet parah masuk gerbangnya</t>
  </si>
  <si>
    <t>Gatau deh aneh tiba2 limit paylater di bekukan, padahal baru mau dipake!</t>
  </si>
  <si>
    <t>baik</t>
  </si>
  <si>
    <t>2x daftar paylater 2x jg ditolak, yaudah auto uninstall deh mending apk sebelah yg jelas2 di acc Paylaternya</t>
  </si>
  <si>
    <t>Saya sudah melakukan pembelian tiket, sudah dapat e-tiket dari whatsapp. Ketika di cek di aplikasi pesanan saya NOL. mau refund dll tidak bisa. Tolong penjelasannya.</t>
  </si>
  <si>
    <t>Saran saya menu paylater ini mending tidak ada, menurunkan kepercayaan tentang fasilitas yang diberikan.. Karna saya sudah coba ngjukan beberapa kali ditolak..</t>
  </si>
  <si>
    <t>Kenapa sering banget gangguan sekarang? Sudaj hampir setiap hari gangguan minggu ini</t>
  </si>
  <si>
    <t>Klu bayi dilarang ikut penerbangan, kenapa pas pembelian tiket untuk diaktifkan? Kan percuma beli tiket klu bayi gak boleh</t>
  </si>
  <si>
    <t>♡&gt;7[8</t>
  </si>
  <si>
    <t>saya mengajukan paylatercard, sudah 2 minggu berturut'turut sampai saat ini status masih meninjau dan limit saya tak kunjung balik, sangat kecewa padahal mau staycation 😭</t>
  </si>
  <si>
    <t>Pembayaran paylater lewat bri,perbaikan nya lama sekali</t>
  </si>
  <si>
    <t>Kenapa pihak Pt. Trinusa Travelindo tdk selektif dalam mekilih dan tdk transafaran. Sy kecewa ketika menggunakan aplikasi treveloka yg.sudah provosional. Sy pesan hotel permata 3 cebongan, tingkir. Jalan Baru (JB) skota salatiga. Di tolak tdk mau trima sesuai aplikasi dan sempat uang mau di kembalikan. Dengan berbagai alasan tetap tdk mengakui kalo lewat treveloka. Dan ahirya sy suruh nambah baru di trima, itupun dgn terpaksa. Sy korban. Sy kecewa dgn aplikasi treveloka. Sy akan lewat jalur PERS</t>
  </si>
  <si>
    <t>Aplikasi tidak bermutu dan sudah transfer ke PT Trinusa travelindo bilangnya tdk masuk. Dan cs tidak bertanggung jawab</t>
  </si>
  <si>
    <t>Gak bisa pembayaran</t>
  </si>
  <si>
    <t>Pelayanan jelek, udah pesen tiket malah tanggal penerbangan diubah2</t>
  </si>
  <si>
    <t>Udah dibayar tapi hotel gak menrima , cs nya gak ada yg visa diajak ngobrol langsung gak solutif . Klo uangnya gak balik maaf saya kasih bintang 1 terus</t>
  </si>
  <si>
    <t>Booking tiket tanggal 5 Agustus 2023, 2 kali saya beli tiket, pembayarannya berhasil tapi tiket tidak terbit, komplain di DM Ig tidak dibalas, email tidak ada tanggapan, no telpon cs tidak aktif, komplain by wa dan aplikasi hanya robot Komen di Instagram sudah penuh komplain tapi, tapi tetap posting promosi di IG story, bukannya komplain di tanggapi</t>
  </si>
  <si>
    <t>Katanya sistemnya sudah baik, tapi pas mau masuk kemenu pembayaran malah gak bisa2 dan tiba2 sold out</t>
  </si>
  <si>
    <t>Jelek</t>
  </si>
  <si>
    <t>Bikin emosi mau persen tiket bus nulis alamat gak responsif as*</t>
  </si>
  <si>
    <t>pengalaman yang sangat menakjubkan, traveloka joss</t>
  </si>
  <si>
    <t>tidak terlalu banyak mengambil foto, karena kemarin berbarengan sama musim liburan sekolah jadi walaupun weekdays pengunjungnya sangat ramai dan hampir semua wahana antriannya panjang mengular</t>
  </si>
  <si>
    <t>happy bgttt, walau weekendnya antrii bgtt gapapa lah wahana udh banyak yg dibuka jg. playgroundnya udh buka mbanya ramah bgtt, jangan lupa bawa kaos kaki kalo mau main playgroundnya gaiss. sekian terima kasih traveloka beli annual setahun seharga 150rb epic bgtt luvv ❤️</t>
  </si>
  <si>
    <t>Sangat menyenangkan dan akan datang lagi</t>
  </si>
  <si>
    <t>kapan kapan liburan ke dufan lagi</t>
  </si>
  <si>
    <t>anak-anak seneng bgt kesini. liburan ke Dufan aja deh</t>
  </si>
  <si>
    <t>tempat berlibur yang asik untuk anak² saran saja sebaiknya ke ocean dream terlebih dahulu baru ke area SeaWorld karena di SeaWorld lebih adem 😁</t>
  </si>
  <si>
    <t>Banyak koleksi ikan2nya 😃</t>
  </si>
  <si>
    <t>Senang sekali rasanya memesan tiket seaworld Ancol dengan mudah di traveloka ticket</t>
  </si>
  <si>
    <t>proses Reedemnya sangat mudah dan cepat</t>
  </si>
  <si>
    <t>semuanya sama dengan foto namun sayangnya mungkin karena terlalu ramai saat weekend eskalator yg di terowongannya dimatikan dan ac juga kurang dingin karena banyaknya pengunjung. terus juga seharusnya minimal kalau tidak boleh membawa masuk makanan di dlm ada yg menjual. memang ada penjual makanan tapi harus keluar dulu ketika mau masuk lagi pas banget cap di tangan ilang agak sulit masuk tetapi untung cap yg di tangan suami blm ilang akhirnya bisa masuk. kasian anak anak yg kehausan dan lapar di dlm menunggu atraksi di aquarium besarnya.</t>
  </si>
  <si>
    <t>Proses cepat, beli depan gerbang ancol, voucher dan barcode langsung muncul.</t>
  </si>
  <si>
    <t>yah worth it lah, tp jangan beli tiketnya sendiri2, apalagi kalo seaworldnya sendiri</t>
  </si>
  <si>
    <t>semuanya sesuai foto dan deskripsi yang ada</t>
  </si>
  <si>
    <t>Bagus, hanya saja karena akhir tahun jd antrean setiap wahana sangat panjang</t>
  </si>
  <si>
    <t>antri super panjang, siap siap memakan waktu di antrian</t>
  </si>
  <si>
    <t>staff di gatenya kurang ramah mungkin capek ya tapi customer service is number one dalam pelayanan apalagi di bidang pariwisata.</t>
  </si>
  <si>
    <t>show lumba-lumba, sea lions seru anak-anak happy, tetapi durasinya singkat sebentar banget mungkin karena pengunjungnya juga mbludak jd supaya bisa ada jadwal show tambahan yaa... sayangnya banyak pengunjung yang sudah ga prokes dan karena pengunjung banyak bangets tim kebersihan kurang, pengunjungnya juga banyak yang ga sadar kebersihan alhasil sampah berserakan dimana mana. walau harus antri dari satu wahana ke wahana lainnya anak-anak sih happy</t>
  </si>
  <si>
    <t>Petugas wanita2 yg di pintu masuk ancol dan Dufan sangatlah tidak ramah... Sepertinya mereka haid berjama’ah. Dan karena tiketnya beli lewat traveloka, mestinya 6 bulan gratis masuk Dufan, jadinya hangus karena ga langsung reservasi</t>
  </si>
  <si>
    <t>Ngantrinya ga kuat dari pagi kesana cmn dpt 2 permainan😩</t>
  </si>
  <si>
    <t>wahana kurang terawat &amp; gelap. sayang sekali padahal besar &amp; ikan cukup lengkap. museum mengenaskan</t>
  </si>
  <si>
    <t>Baru baru ini setiap saya masuk ngecek harga hotel selalu keluarr dari aplikasinya</t>
  </si>
  <si>
    <t>Uji coba</t>
  </si>
  <si>
    <t>semoga makin sukses</t>
  </si>
  <si>
    <t>paito 5 @ 77u 8 saya u 86m mvb n u7 vj h 7 v i</t>
  </si>
  <si>
    <t>Sekarang kok sering banget update ya. Terus baca ulasan kok bnyak keluhan. Jadi kuatir gmn nasib spayletterku</t>
  </si>
  <si>
    <t>Over kapasitas untuk pengunjung yang mungkin tidak dibatasi, sehingga antrian tiap permainan sangat panjang</t>
  </si>
  <si>
    <t>Nomer ku hilang..aku tidak bisa masuk lagi di akun tiket ku, Katanya setelah update bisa kirim kode otg lewat email nyatanya gk ada fiktur itu ...</t>
  </si>
  <si>
    <t>Sudah tidak nyaman...harga tiket pesawat mahal. Agak berbeda dengan lapak sebelah.</t>
  </si>
  <si>
    <t>k #11×#=2v 1</t>
  </si>
  <si>
    <t>Gagal lg2 daftar paylater..hadehh</t>
  </si>
  <si>
    <t>Baik</t>
  </si>
  <si>
    <t>Tolong belajar banyak dari Bank BCA utk pelayanan Customer Service. Mereka sangat cepat tanggap untuk berbagai keluhan. Sangat disayangkan kalau aplikasi sekaliber Traveloka tidak diimbangi dengan service yg bagus 🙏🏼</t>
  </si>
  <si>
    <t>Tolong dong di upgrade limit paylaternya......</t>
  </si>
  <si>
    <t>pilihan pembayarannya sangat sedikit.. mgkn bsa dtmbhkn ovo,gopay,kredivo,dll</t>
  </si>
  <si>
    <t>Punya paylater gk bisa di pake, limitnya ada padahal. Chat CS isinya cuma bot hadeh</t>
  </si>
  <si>
    <t>Proses refund yang sangat lama dan berbelit, Saya membeli tiket pesawat kemudian dibatalkan oleh maskapai sehingga saya reschedule, tapi setelah iti dibatalkan lagi oleh maskapai sehingga saya minta refund. Tapi permintaan refund saya ditolak dengan alasan sudah reschedule dengan penerbangan baru, padahal penerbangan baru itu pun dibatalkan oleh maskapai. Saya sampai mengajukan refund 2x dan tetap dengan alasan yg sama proses refund tidak disetujui. Sungguh mengecewakan</t>
  </si>
  <si>
    <t>Tidak bisa hapus akun padahal cuma di pake liat liat aja ga pernah pesan atau transaksi apapun</t>
  </si>
  <si>
    <t>promo buat marketing doang gimik gimik di pake malah kga bisa wkwkkww percuma gausah ngadain prpmo realistus aja wkwkw klo kek gnih jd jelek nama flatroom nya wkwkwk</t>
  </si>
  <si>
    <t>Promo pake kartu kredit BCA tapi maskapai ga selengkap apk sebelah, harga lebih mahal dari apk sebelah. Mau pake strategi gitu harunnya pas jaman majapahit dimana konsumen susah cari perbandingan harga. 😅</t>
  </si>
  <si>
    <t>Jangan beli tiket disini, saya beli tiket,saldo terpotong tapi tidak dapat tiket, telfon costumer service berkali kali tidak diangkat ,sengaja untuk habis habisin pulsa, proses refund pun tidak jelas, tidak ada pemberitahuan refund. Cs Whatsapp juga tidak membalas. Tolong jangan beli tiket disini , saya rugi, tidak ada kompensasi atas kerugian saya.</t>
  </si>
  <si>
    <t>BALIKIN DUIT GUEEEEEE</t>
  </si>
  <si>
    <t>Aplikasi ga jelas, cek penerbangan malah tidak tersedia.</t>
  </si>
  <si>
    <t>Ga sesuai</t>
  </si>
  <si>
    <t>Aplikasi susah untuk Reschedule</t>
  </si>
  <si>
    <t>:⁠^⁠)</t>
  </si>
  <si>
    <t>Ambil untung reschedule terlalu tinggi</t>
  </si>
  <si>
    <t>akses mudah, asik dan menyenangkan</t>
  </si>
  <si>
    <t>Pembelian mudah, dan udah mulai normal lagi (ramai) Dufan nggak kayak pas sebelumnya</t>
  </si>
  <si>
    <t>Very happy. Sangat mudah diakses</t>
  </si>
  <si>
    <t>Sangat membantu dan tentunya murah sekali untuk harga annual passnya. Thanks Dufan dan Traveloka.</t>
  </si>
  <si>
    <t>sangat membantu, prosesnya juga mudah</t>
  </si>
  <si>
    <t>seruuu... liburan bareng keluarga... proses reservasi tiketnya juga mudah, tidak perlu antri... langsung masuk tinggal scan barcode...</t>
  </si>
  <si>
    <t>sangat mudah dan cepat, keren dah</t>
  </si>
  <si>
    <t>Seru dan menyenangkan, antrian pendek, bisa main hampir semua wahana</t>
  </si>
  <si>
    <t>Gampang penukaran tiketnya, langsung scan barcode aja. Kalau beli ditempat lumayan antri. Dan lebih murah beli di traveloka</t>
  </si>
  <si>
    <t>Sangat menyenangkan... Dari tiket masuk mobil, penumpang dan sea world Semua bisa di layani di traveloka. Jadinya proses masuk lebih cepat dan aman</t>
  </si>
  <si>
    <t>Oke bangett</t>
  </si>
  <si>
    <t>mantaap. udah lama ga kesini ..</t>
  </si>
  <si>
    <t>oke semua, proses redeem tiket dan fasilitas serta pertunjukan2 oke</t>
  </si>
  <si>
    <t>anak aku seneng banget diajak ke seaworld banyak ikan yg belum pernah dilihat sebelumnya dan jd pengetahuan jg buat dia</t>
  </si>
  <si>
    <t>keputusan untuk pergi ke sini di weekdays adalah tepat! gak terlalu rame, gak antri sama sekali ke mana2</t>
  </si>
  <si>
    <t>thank youuu seaworldd 😊 ini pas weekend yah jd agak ramai...</t>
  </si>
  <si>
    <t>Sangat bagus. Pertama kali ke Jakarta langsung ke Ancol. Terima kasih Traveloka, sangat membantu</t>
  </si>
  <si>
    <t>semuanya sesuai deskripsi yang tertera... tetap menggunakan protokol kesehatan yg ketat, saya jadi merasa aman dan nyaman</t>
  </si>
  <si>
    <t>libur lebaran mending gak usah ke seaworld... kacaauu ramee bgt gak beraturan untuk ngantrinyaa.</t>
  </si>
  <si>
    <t>Puas banget, biarpun berkunjung saat peak season. Ada antrian, tapi lumayan teratur. Semua pengunjung menerapkan protokol kesehatan minimal pakai masker. Petugas sangat membantu kalau ada yg perlu ditanyakan. Recommended.</t>
  </si>
  <si>
    <t>seru bgt ke dufan. apalagi ada annual ticket. tp sayangnya toilet di dufan kacau bgt kotorrr polll</t>
  </si>
  <si>
    <t>Banyak yang maintenance kemaren tapi tetap happy ko soalnya bikin annual pass jadi bisa sering-sering. Kayaknya sekarang dufan cepet banget ya tutupnya. Dah ga sampe malam…</t>
  </si>
  <si>
    <t>gak ada apa apa cm nonton tarian aj itu jg di indor jd kurang terasa feel nya</t>
  </si>
  <si>
    <t>Terlalu ribet untuk orang tua proses masuk dan jemputnya aturannya terlalu kaku untuk orang tua yang sulit naik bis dan berjalan kaki. Tidak recommended untuk yang membutuhkan kursi roda dan orang tua yang kesulitan berjalan. Agak kapok kesana lagi dengan ribetnya aturan security</t>
  </si>
  <si>
    <t>kode untuk daftar online harusnya disertakan saat pembelian selesai dilakukan karena itu sangat membantu pembeli</t>
  </si>
  <si>
    <t>. C</t>
  </si>
  <si>
    <t>Ganti ke hp baru kok paylater ilang Daftar lagi harus telpon operator, nggak bisa otomatis</t>
  </si>
  <si>
    <t>HTMnya menurut saya kemalahan dengan harga segitu seharusnya sudah termasuk shuttlenya, lalu tempat berteduh yg tidak ada jika hujan, kemarin saya kurang beruntung karena hujan dimana payung hanya sedikit. masukannya harga untuk wisatawan lokal dan turis mancanegara seharusnya dibedakan, jgn hanya yg ktpnya di bali saja yg murah.</t>
  </si>
  <si>
    <t>yang datang ke dufan tgl 4 mei ada 22ribu orang. 1 wahana antri 3 jam total wahana yang saya mainkan dari jam 10 siang hingga jam 6 sore ada 3 wahana saja. karena habis waktu di antri</t>
  </si>
  <si>
    <t>Covid masih ada, tapi tidak ada pembatasan kapasitas yang masuk. Tgl 5 Nov 2022 itu kira² ada 5 group dari PT dan organisasi lain yang berkunjung + tidak ada warning masker &amp; tidak ada pembatasan. Masuk terowongan seaworld aja desak²an manusia'nya.. Seram..!!!</t>
  </si>
  <si>
    <t>nurikmah</t>
  </si>
  <si>
    <t>Chek in pesawat engga ada</t>
  </si>
  <si>
    <t>Kirain ada buat bus ternyata pesawat sama sewa mobil</t>
  </si>
  <si>
    <t>Maaf aplikasi gak jelas sistemnya. Saya sudah 2x punya pengalaman yang kurang menyenangkan dengan aplikasi ini. Status ketersediaan kamar dan real timenya beda, ternyata sudah full book. Tolong perbaiki sistemnya, terima kasih.</t>
  </si>
  <si>
    <t>Minta di updet pas di updet gak bisa mulu. Padahal jaringan ada, kuota ada.. Aplikasi lainnya bisa di update, aplikasi ini kok gak bisa bisa ya.. Jadi gak bisa cek tiket</t>
  </si>
  <si>
    <t>Sekarang tidak bisa lihat alamat hotel</t>
  </si>
  <si>
    <t>Pada hari ini tanggal 7 Oktober saya melakukan pengajuan paylater Traveloka cepat sekali penolakan nya mohon hapus data saya jangan disalahgunakan terima kasih</t>
  </si>
  <si>
    <t>pengguna web sebenarnya diarahkan untuk menggunakan aplikasi walau belum tentu sering pakai. versi web sangat tdk mobile friendly</t>
  </si>
  <si>
    <t>Kecewa sekali dengan traveloka.. Tidak bisa lagi menggunakan paylater... Padahal bayar selalu lebih cepet dari yang seharusnya.. Malah level turun dan limit 0.. Sangat tidak membantu</t>
  </si>
  <si>
    <t>👎👎👎👎👎 Traveloka tidak bisa dibuka dan saya hapus kemudian instal ulang, tapi malah harus daftar lagi sebagai member baru semua point traveloka saya hilang</t>
  </si>
  <si>
    <t>Pelayanan reschedule yang mbulet ..</t>
  </si>
  <si>
    <t>Aplikasi gak jelas proses bertele tele di gantung dan di buat nunggu,3 jam karna proses etiket tidak muncul cari apk lain aja</t>
  </si>
  <si>
    <t>Tiket tidak bisa</t>
  </si>
  <si>
    <t>Balikin uang saya!!!sdh 8 hari gak ada kejelasan..tiket pesawat sdh d transfer tp e ticket gak keluar.</t>
  </si>
  <si>
    <t>Sudah bayar tiket dan saldo e wallet sudah di potong tapi belum masuk di sistem sampai saat ini. Udah coba hubungi wa center dan telfon cs tapi tidak ada respon. Bahkan sudah email juga. Makasih untuk menunggunya</t>
  </si>
  <si>
    <t>Cs lambat memberikan informasi dan memutuskan pembicaraan secara sepihak, setelah di hubungi kembali, gak di balas lagi sampai Berjam"</t>
  </si>
  <si>
    <t>Tidak bisa login dari 1 minggu yang lalu</t>
  </si>
  <si>
    <t>Tidak recomended pokoknxa👎👎👎</t>
  </si>
  <si>
    <t>Pesan kamar hotel dr sini..pake debit.. Tiket gagal terbit..sudah di refund duit sy kagak balik....</t>
  </si>
  <si>
    <t>Capek nungguin tiket argentina pas mau bayar gk bisa kontolll</t>
  </si>
  <si>
    <t>Point ga bisa dipakai kak, mohon bantuannya ya, tulisannya verifikasi hp, padahal nomor sudah sesuai, tertera jadi nomor digunakan di akun lain, padahal cuma 1 akun, mohon solusi ya admin</t>
  </si>
  <si>
    <t>Dana refund sampai sekarang belum dibalikin</t>
  </si>
  <si>
    <t>Apk parah banget asli, saat saya mau pesan tiket pesawat pas pembayaran perubahan harga jadi beda harga lagi dgn harga awal. Gk jelass apk ini Beda sama traveloka</t>
  </si>
  <si>
    <t>Bli voucher hotel di deskripsi untuk 4 orng,pas mau payment tiba2 brubah cuma untuk 2 orng,, Di deskripsi ada privat pool nya,pas nelfon langsung ke pihak resort katanya ga ada privat pool.jangan tertipu sma harga murah.bener2 ga jelas ni aplikasi</t>
  </si>
  <si>
    <t>sangat menyenangkan ke dufan dengan annual pass</t>
  </si>
  <si>
    <t>Di dufan seru dan menyenangkan</t>
  </si>
  <si>
    <t>gampang cara redeem vouchernya, petunjuk jelas, dan harga lebih murah</t>
  </si>
  <si>
    <t>Seruuu bangeeet!</t>
  </si>
  <si>
    <t>Saat pergi gak terlalu ramai, tapi tetep aja antrian untuk Ice Age dan Arung Jeram... rrruuuaaarr biasa 😁</t>
  </si>
  <si>
    <t>Pengalaman Baru menarik untuk mengenalkan kehidupan di dalam laut kepada anak</t>
  </si>
  <si>
    <t>mantappppp</t>
  </si>
  <si>
    <t>Harga nya sangat terjangkau utk 1tahun annualpass. Thanks Traveloka</t>
  </si>
  <si>
    <t>sangat rekomendasi untuk liburan, akses mudah. tempat nyaman</t>
  </si>
  <si>
    <t>Lumayan ramai tp anak happy</t>
  </si>
  <si>
    <t>mempersingkat waktu dan memudahkan tanpa harus antri</t>
  </si>
  <si>
    <t>protokol kesehatan dijalankan dengan baik, sehingga kita tidak takut membawa anak2 kesana</t>
  </si>
  <si>
    <t>seru ngajak anak-anak kesini... bs berwisata edukasi... good job...</t>
  </si>
  <si>
    <t>Semua yang ada di sana sangat bagus :)</t>
  </si>
  <si>
    <t>ok bangettt pokoknya, makasih Traveloka, Seaworld dan Ocean Dream</t>
  </si>
  <si>
    <t>tidak pernah mengecewakan kalau liburan pakai traveloka.</t>
  </si>
  <si>
    <t>Seru anakku suka banget worth it apalagi ada pertunjukan lumba lumba sih yg buat worth it. Thank you</t>
  </si>
  <si>
    <t>Redeem voucher yang mudah dan tempat yang bersih</t>
  </si>
  <si>
    <t>sudah beberapa kali kita kesini, sekarang semua tiket online... good</t>
  </si>
  <si>
    <t>semuanya sesuai dengan foto dan sesuai deskripsi</t>
  </si>
  <si>
    <t>Sayangnya ga bisa masuk ke trowongannya krn sangat sangat penuh pengunjung</t>
  </si>
  <si>
    <t>perlu banyak variasi show lagi ya SeaWorld, agar pengunjung tidak bosan.</t>
  </si>
  <si>
    <t>bagus, hanya jalur pejalan kaki yang memutar cukup membuang waktu, sehingga kami tidak bisa lanjut ke wisata lainnya</t>
  </si>
  <si>
    <t>Bersih, koleksi cukup banyak, semoga bisa ditambah lagi jadi lebih bisa lama-lama di museum</t>
  </si>
  <si>
    <t>Sebenernya untuk pemesanan via applikasi, menurutku sangat worth it banget, kalian ga perlu cape cape antri buat beli tiketnya ( kalau yg beneran ga ada tiket). Nah, yg buat ku ngasi nilai rendahnya karna lumayan banyak wahana di dufan yang pas aku kesana banyak yg lgi di maintenance :(( jadi gabisa nyobain full ( dan ini yg aku pengen naikin bgt drj dulu jdi ya u know la rasanya kek gimana), tpi overall seru kok</t>
  </si>
  <si>
    <t>Seruuu 🥰🥰</t>
  </si>
  <si>
    <t>nunggunya 1 jam untuk 3 menit di wahana</t>
  </si>
  <si>
    <t>sedikit ada perubahan tapi suka</t>
  </si>
  <si>
    <t>amit amit penuh bgy parah, ngantri kayak mau ngapain, kirain udah ngantri diluar dalemnya agak tenang, taunha yaallahhhh penuh bgt lewat aquarium yg kayak terowongan dempet2an bgt, gk ada jarak sama sekali, kayak lagi ngantri daging kurban harus diperhatikan lagi dengan jumlah pengunjunb, harus ditentukan jgn diterima2 aja kalau udah overload</t>
  </si>
  <si>
    <t>Traveloka knp ya skarang. Saya mau cari tiket yahukimo -makassar, kok GK muncul. Tapi harganya ada</t>
  </si>
  <si>
    <t>Sangat membantu dalam traveling dan mencari objek wisata</t>
  </si>
  <si>
    <t>Toilet,y saluran tuk pembersih,y ga berfungsi</t>
  </si>
  <si>
    <t>Kok nggak bisa melakukan pembayaran yah? Padahal waktu pemesanan belum habis🥴</t>
  </si>
  <si>
    <t>😁😁😀</t>
  </si>
  <si>
    <t>ko mo pembayaran malah masalah trs</t>
  </si>
  <si>
    <t>Awalnya menyenangkan skrg mengecewakan..</t>
  </si>
  <si>
    <t>Pesan hotel untuk di Jakarta, berubah pikiran mau ganti hotel jadi ajuin refund, setelah refund mau pesan hotel lain harga hotel nya naik banyak.. Sampai gak masuk akal banget, kamar yang harusnya cuman 200an rb jadi di patok 400an rb..kapok banget deh pakai traveloka..auto uninstall...👎🏻👎🏻👎🏻</t>
  </si>
  <si>
    <t>bgus</t>
  </si>
  <si>
    <t>Knapa ya aplikasi ini berat banget sekarang di akses pas pencarian tiketnya bikin kesel ajak</t>
  </si>
  <si>
    <t>Sangat merugikan customer, sudah pesan tiket di jauh hari tiba-tiba di cancel oleh pihak maskapai,udah itu refund juga tidak sesuai</t>
  </si>
  <si>
    <t>Kurang jelas aplikasi ini, mau revand sangat di persulit, ujung2nya duet kt di embatnta g di balikin, nyesel makenya, g bisa di percaya aplikasinya</t>
  </si>
  <si>
    <t>Traveloka mencoba mainkan user agar kena denda, mengambil keuntungan dari denda karena tiba" akun keluar setelah pesan tiket, dan alhasil sy pun kena denda</t>
  </si>
  <si>
    <t>Sy berlangganan aplikasi ini lebih dari 2 Tahun.kami belanja tiket lewat aplikasi ini rata2 10 jtan.. per perjalanan sampai akun sy ke level diamond. Satu kali di tawarkan Pay later , sebenarnya tdk mau di ambil tapi kt coba .. Eh .. di tolak .. Eh...Blangsat , Brengsek... selama ini kami beli tiket Cash mau sampai di angka berapa.. Brengseknya saja , kalo memang ga bisa paylater.. jangan di tawarkan.. Dengan berat hati walaupun akun ini sudah diamond , Aplikasi &amp; Akun ini sy hapus &amp; buang.</t>
  </si>
  <si>
    <t>Dulu saya senang sekali menggunakan aplikasu ini karna dapat di percaya skrng udah berapa kali saya pesan penginapan kali mau checkin pasti harus nambah lagi dengan menyalahkan aplikasi katanya terlalu rendah ngasih harga emng aplikasinya sama corporate kerja sama tpi kok saling bersebrangan dalam menentukan harga..</t>
  </si>
  <si>
    <t>Tampilan metode pembayaran yang baru menyusahkan, kembalikan tampilan yang lama. Garuda tidak bisa pilih kelas Y seperti dulu...</t>
  </si>
  <si>
    <t>Pesan tiket ribet, sering keluar motif maskapai penuh, pdhl pakai aplikasi sblh bisa, &amp; hrg naik tdk sesuai yg tertera diawal, setiap mw melakukan pemesanan hrg langsung berubah</t>
  </si>
  <si>
    <t>refund ngga respon dari tanggal 5 Agustus 2023, dijawab sama customer service bot semua, mana tanggung jawab nya.</t>
  </si>
  <si>
    <t>Sekarang gak bisa utk pesen tiket playground lg ya? Spt kidzania atau zoomoov?</t>
  </si>
  <si>
    <t>Ngebung terus padahal pake hp yang berbeda mau pesen tiket pulang gak bisa tolong diperbaiki untuk pemilihan rute terimakasih 🙏🏻</t>
  </si>
  <si>
    <t>cocok untuk liburan keluarga, tidak disarankan anak tinggi di bawah 125cm dan bb yang blm mencukupi untuk wahana tertentu.</t>
  </si>
  <si>
    <t>Di beberapa wahana yang memang menjadi favorit pengunjung, antriannya sangat panjang jadi rasanya waktu bermain di wahana dari jam 10 pagi ke jam 5 sore terasa sangat singkat. Baiknya kedepannya ada penambahan jam operational dan kebersihan toilet agar lebih ditingkatkan... Seluruh staff sangat ramah 👍🏻</t>
  </si>
  <si>
    <t>Suka banget, wahananya seru-seru! Gak nyesel deh buat main ke Dufan!</t>
  </si>
  <si>
    <t>Protokol kesehatan masih dijalankan dengan baik, kebersihan lingkungan juga masih terlihat terjaga.</t>
  </si>
  <si>
    <t>penuh saat libur lebaran namun proses redeem sangat mudah.</t>
  </si>
  <si>
    <t>seruuu next timeee kesini lagiii 🎠✨</t>
  </si>
  <si>
    <t>liburan yang menyenangkan. meskipun high season tapi tidak berdesak2an...</t>
  </si>
  <si>
    <t>Memuaskan.. Memang kalau kesini enaknya seharian full..Lokasi lengkap, ada fasilitas makan juga.. Tempat wisata yg gratisnya ada..yang bayar juga ada. Enak pake tiket online, datang langsung masuk..Cuzz.. Next, perbanyak lagi pilihan tiketnya ya min 🥰✨ Love AncoL..Love Indonesia 🇲🇨</t>
  </si>
  <si>
    <t>sangat bagus buat edukasi anak anak</t>
  </si>
  <si>
    <t>untuk liburan yang sangat mengedukasi kepada anak-anak . thanks sea world</t>
  </si>
  <si>
    <t>kereen</t>
  </si>
  <si>
    <t>Happy family di Seaworld Indonesia</t>
  </si>
  <si>
    <t>sangat cocok berlibur ajak anak</t>
  </si>
  <si>
    <t>sangat asyik di sea world ancol hanya saja beberapa tempat belum buka karena sisa covid 2th lalu</t>
  </si>
  <si>
    <t>cukup menyenangkan untuk anak-anak...</t>
  </si>
  <si>
    <t>kerennn bangettt seruuu</t>
  </si>
  <si>
    <t>Tappingnya mudah, hanya untuk penggunaan selanjutnya agak ribet dikit. Sayangnya untuk fast track ga bisa beli di traveloka , kalo bisa kan enak</t>
  </si>
  <si>
    <t>untuk antre dikasih penutup ya kak. panas banget dan panjang soalnya</t>
  </si>
  <si>
    <t>untuk di hari ini sangat ramai pengunjung, dan ada beberapa permainan yg sedang diperbaiki. overall seru fasilitas lengkap tempat makan dan toilet memadai</t>
  </si>
  <si>
    <t>Lumayan dan seru...</t>
  </si>
  <si>
    <t>di dalam sea world sebenarnya seru, namun karena masih situasi pandemi kolam sensori untuk menyentuh hewan sudah tidak boleh di lakukan lagi padahal utu salah satu experience nya. kemudian yang bikin kecewa adalah fasilitas di ancolnya menuju seaword. bus wira wiri gak dateng lamaa sekali, sehingga saya memutuskan untuk jalan kaki menuju seaworld</t>
  </si>
  <si>
    <t>cukup bagus tempatnya. hanya bila datang di hari libur nasional atau weekend terlalu sesak dan gerah. lebih baik berkunjung di hari biasa. dan akomodasi di dalam area Ancol sangat mengecewakan bagi pengunjung yang tidak membawa kendaraan pribadi. sangat sulit dijumpai bus wara wiri karena hanya ada 1 armada di tiap rute dan beroprasi di jam-jam tertentu, kereta wisata tidak beroperasi.</t>
  </si>
  <si>
    <t>mau masuk seaworld harus antri berdesak-desakan lama sekali, kebersihan toilet minim, kotor sekali👎 pengaturan jumlah pengunjung masuk dan keluar harus diperbaiki, sehingga tdk menumpuk diluar apalagi masih pandemi covid.mau foto susah di dalem terlalu berjubel, jadi menyesal udh jauh-jauh dari sby lagi😮‍💨 saran aja yg mau ke ancol jangan pas hari libur, ga bisa menikmati.</t>
  </si>
  <si>
    <t>Mohon sediakan transaksi dengan rekening bsi</t>
  </si>
  <si>
    <t>jaringan jelek</t>
  </si>
  <si>
    <t>proses e-card petunjuknya tidak jelas dan petugas juga tidak jelasin saat saya beli di loket, hanya scan barcode saja, tapi tdk register e-card untuk 6 bulan</t>
  </si>
  <si>
    <t>Kenapa saya selalu gagal dan ga bisa update tanggal lahir di akun saya???</t>
  </si>
  <si>
    <t>kalo mau kasih asuransi jgan automatic centang donk, kosongan aja, biar kita yang piliiihhh sindiri.. ini kok kaya menjebak, untung liat liat dlu sblum checkout. kalo ga melayang duit buat hal yg ga di rasa perlu... bbrapa rekan bnyak kejebak coy..</t>
  </si>
  <si>
    <t>Kenapa tertulis sesi habis...selalu saat log in begitu.. Walau sudah di uninstall.. Tetap begitu</t>
  </si>
  <si>
    <t>Aplikasi yang menipu semua nya bohong, pake Bayer semua, di tipu sama aplikasi ini mengatas nama kan traveloka dasar penipu</t>
  </si>
  <si>
    <t>Virtual number tiba tiba tidak bisa dipakai padahal aku bayar selalu tepat waktu dan sering bertransaksi pakai traveloka.tp knp tiba tiba tidak bisa d gunakan</t>
  </si>
  <si>
    <t>treveloka</t>
  </si>
  <si>
    <t>Tidak ada kebijakan</t>
  </si>
  <si>
    <t>Apaan setiap pengajuan slalu ditolak😅</t>
  </si>
  <si>
    <t>Lmyn membantu</t>
  </si>
  <si>
    <t>Lemot, berat</t>
  </si>
  <si>
    <t>Makin kesini makin payah app ini ,semakin lambat proses slow respon ,tanggapan dari pihak Traveloka TDK memuaskan , bertele tele ,kasihan bagi pengguna baru yg masih awam ,bisa hilang uang dan tiket pesanan nya!!!!</t>
  </si>
  <si>
    <t>Tanggal 6 bulan 11 saya sudah pesan tiket, tapi di batalkan oleh pihak maskapai lion air melalui traveloka, dan akhirnya saya me refund dana saya, alhasil belum balik sampai tgl sekarang. Tanggal 10 bulan 11 ini saya pesan lagi tiket pesawat untuk ke meulaboh, tapi alhasil di batalkan juga oleh pihak maskapai lion air. Dengan alasan terkendala oleh operasional. Enaknya dr pihak lion air, ketika ada pe refundan, malah terpotong 517 rb, enak banget ya cari uang dengan kaya ginian. Lion air PAYAH</t>
  </si>
  <si>
    <t>Apakah aplikasi ini sengaja menipu pelanggan dengan memasang harga palsu yg lebih rendah, ketika mau booking tiket tiba² harga berubah naik. Kalau memang harga tiketnya mahal ya diposting aja apa adanya, jangan membohongi pelanggan dengan tiba² harga berubah saat mau dibooking. Sudah beberapa kali seperti ini. Kecewa dgn traveloka</t>
  </si>
  <si>
    <t>Jelek, kalau mau iklan ya iklan aja ga usah di spam, giliran pencet tanda x buat keluar malah di bawa kemana mana, risih tau ga</t>
  </si>
  <si>
    <t>Hati hati sekarang ini bertransaksi apapun diapl @tiketcom karna bila anda memesan Etiket bakal tidak terbit karna dana digunakan untuk mengadain giveaway seperti ini yg pemenangnyanya tim keluarga kerabat mereka sendiri harap bantu share para pengguna sosial'media uninstall lebih baik 👎👎👎</t>
  </si>
  <si>
    <t>Sudah bayar tiket lewat shopeepay, saldo sudah terpotong, sampai pesanan kadaluarsa, tiket tidak terbit. Sudah hub customer service via WA &amp; sudah kirim email tetapi tidak ada respon. Bagaimana ini pelayanannya?</t>
  </si>
  <si>
    <t>Aplikasi ga jelas, pembayaran udah lunas, hotel ga dapet. Pas d lokasi hotel ga kerjasama sama lagi aplikasi. Kenapa ga konfirmasi dari awal. Refund ga bisa. Aplikasi penipu</t>
  </si>
  <si>
    <t>Kode diskonnya kayak THR saya. Ngga ada semenit udah hilang. Dulu pernah kasih bintang lima. Maaf sekarang bintang satu aja karena Pelit banget akhir akhir ini.</t>
  </si>
  <si>
    <t>Mau pesen tiket bus/travel susah bgt diketik alamatnya!!!!</t>
  </si>
  <si>
    <t>Semua sesuai dengan gambar...</t>
  </si>
  <si>
    <t>mudah redeemnya dan murah dpt promo setahun dan bisa main trs kpn aja kalau sempet. kalau bisa hr biasa mainnya soalnya kalau weekend rame banget 😀</t>
  </si>
  <si>
    <t>Terima kasih travelokaaaa seru banget pokonyaaa huhu</t>
  </si>
  <si>
    <t>setiap tahun selalu beli annual pass karena emang ga bisa ga ke dufan!</t>
  </si>
  <si>
    <t>best banget pokoknya 🥰</t>
  </si>
  <si>
    <t>seneng deh... berkali-kali gak pernah bosan ke dufan</t>
  </si>
  <si>
    <t>asyik dan seru wahananya, next ke sini lagi ah</t>
  </si>
  <si>
    <t>amaaziiing, liburan kelas bimbel yang sangat menyenangkan.</t>
  </si>
  <si>
    <t>Keren. Luar biasa. Wajib berkunjung kembali</t>
  </si>
  <si>
    <t>mantap lah pokonya , bisa nyenengin anak dengan ajak main ke sea world ini . banyak edukasi nya juga. thanks</t>
  </si>
  <si>
    <t>seru dan banyak pelajaran ttg hewan laut.</t>
  </si>
  <si>
    <t>Protokol kesehatan dijaga dengan baik, seru permainannya, suka suka suka</t>
  </si>
  <si>
    <t>mudah dan praktis. serta bundling dengan ocean dream sangat menarik.</t>
  </si>
  <si>
    <t>Sepertinya kurang dilayani karna tiket masuk beli menggunakan voucher traveloka</t>
  </si>
  <si>
    <t>Pengalaman yang menarik setelah bertahun-tahun yg lalu visit GWK. Pelayanannya okay. Cuma tidak ada sign parkir yg jelas, petugas juga tidak memberikan informasi lengkap. Overall pengalaman yg menyenangkan</t>
  </si>
  <si>
    <t>hiburan ya bagus, tempatnya mengagumkan...</t>
  </si>
  <si>
    <t>best value, walau antrinya panjang lama tp besokannya bisa balik lg, tp malah tambah ramai untung punya annual ticket hehheh, cuman complain aja kurang tempat teduh buat yang ngantri panjang kaya halilintar ngantrinya panas banget kaya lg disetrap</t>
  </si>
  <si>
    <t>udah mulai rame nih Dufan walau hari biasa</t>
  </si>
  <si>
    <t>semuanya sesuai dengan di foto, namun sangat disayangkan antriannya terlalu panjang</t>
  </si>
  <si>
    <t>Antrian di Dufan sangat panjang</t>
  </si>
  <si>
    <t>belanja itu tidak la muda dgn yeraveloka ini akn siya² tdk semua org percaya.</t>
  </si>
  <si>
    <t>Lumayun</t>
  </si>
  <si>
    <t>sangat puas</t>
  </si>
  <si>
    <t>koq ngga langsung dapat pemberitahuan sdh bayar, via WACmaupun email</t>
  </si>
  <si>
    <t>Banyak yg tutup RUGI</t>
  </si>
  <si>
    <t>Tolong di perbaiki lagi,,aplikasi sering eror</t>
  </si>
  <si>
    <t>Lagi eror servernya</t>
  </si>
  <si>
    <t>Paylater tidak bisa digunakan tapi status aktiv padahal tidak ada tagihan</t>
  </si>
  <si>
    <t>Tolong tambahkan untuk pembayaran lewat bank BRI.</t>
  </si>
  <si>
    <t>Customer mau reschedule harus tambah biaya tapi kalau maskapai seenaknya merubah jadwal penerbangan tidak ada kompensasi 👎👎👎</t>
  </si>
  <si>
    <t>Kok stasiun Cikarang belum untuk perjalanan jauh harus dari Bekasi dulu</t>
  </si>
  <si>
    <t>Biduan Saya palingbenci dengan ihklan</t>
  </si>
  <si>
    <t>AAqd1</t>
  </si>
  <si>
    <t>Y you-w,</t>
  </si>
  <si>
    <t>Cuma mau liat TIKET PESAWAT DI TRAVELOKA</t>
  </si>
  <si>
    <t>Banyak kupan ga bisa di pake,banyak point' ga bisa di tuker..buat apa coba kalo pungsinya cuma hiasan..aneh aneh saja..</t>
  </si>
  <si>
    <t>Aplikasi busuk...tidak bisa bayar payleter seperti biasa,padahal tidak pernah ada keterlambatan bayar...alasan demi keamanan..! Ranking jelak karna jarang transaksi,lu kira harus tiap hari sewa hotel, bepergian!</t>
  </si>
  <si>
    <t>Saya sangat sangat kecewa dengan traveloka. Wah sungguh tidak profesional. Saya sudah memesan kamar dari bulan oktober untuk liburan di desember. Saat bulan desember saya di hubungi bahwa kamar yang saya pesan tidak dapat disediakan dengan alasan kamar penuh wkwkw lah kan kocak! Gue udah bayar full masa ga di siapin. Oke lah, Mungkin ada sistem yang eror. Saat itu gue masih positif. gue cek apps OYO nya untuk tau bener apa kaga nih. Lah pas di cek ternyata kamar di tanggal itu masih TERSEDIA.</t>
  </si>
  <si>
    <t>Pada tanggal 25 sep 2023 saya melakukan pemesanan tiket pesawat di traveloka, dimana keberangkatan pada tanggal 26 sep 2023, tiba" penerbangan saya dibatalkan maskapai, sehingga saya melakukan reschedule pada tanggal 27 sep 2023 dan telah membayar biaya reschedule, tapi tiba" penerbangan saya tidak jadi dipindahkan dan pemberitahuan bahwa jadwal masih yang lama tidak ada, sedangkan pembatalan diinfokan lewat WA, tolong pihak traveloka ditinjau ya, mohon bantuannya sekali🙏</t>
  </si>
  <si>
    <t>kok bisa ya salah tanggal booking hotel nggak bisa di reschedule juga nggak bisa di refund , payah.</t>
  </si>
  <si>
    <t>Hei bantulah kami ini claim asuransi saat di WA g pernah di balas sibuk kali ya agensi kalian...</t>
  </si>
  <si>
    <t>Aplikasi ini bodoh</t>
  </si>
  <si>
    <t>Kecewa,saya sudah bayar tapi e ticket tidak pernah keluar,telpon cs mesin/komputer yang jawab operatornya tidak ada,di email juga tidak direspon,kejadian hari sabtu 05 agustus 2023</t>
  </si>
  <si>
    <t>Sudah melakukan pembayaran, e tiket tidak keluar, duit sudah kepotong, CS email, ig, wa, tidak ad yg respon</t>
  </si>
  <si>
    <t>Harga lebih mahal dari yg tertera...resek</t>
  </si>
  <si>
    <t>Sangat jelek</t>
  </si>
  <si>
    <t>Tolong refund nya jangab di mundur 2 rin terus . Waktu sudah 1 bulan lebih ga di proses kirim refund nya .udah di potong banyak ...masih juga refund nya lama . Dioper sana sini...</t>
  </si>
  <si>
    <t>Akun saya tbtb paylater dinonaktifkan padahal tidak masalah atau melanggar . Kaga jelas tiket com transaksi lancar</t>
  </si>
  <si>
    <t>Ngeleg parah waktu nulis tujuan perbaiki lagi untuk ui nya ga nyaman parah</t>
  </si>
  <si>
    <t>Tolong Yaaa pertanggung jawaban atas pesanan hotel saya .. setelah nyampai hotel kami gak bisa check in... Tolong pertanggung jawaban nya.. Jangan sampai saya viral kan dan saya bawa ke hukum dengan kasus penipuan!!!...</t>
  </si>
  <si>
    <t>Sangat kecewa pesan villa booking suda bayar..di tolak tanpa pebeli tau an..👹👹👹 Kecewa sekali kecewa sekali !!!!!!!!!!!!!!!!!!!!!!!!!!!!!!!!!!!!!!!!!!!!!!!!!!!!!!!!!!!!!!!!!!!!!!!!!!!!!!!!!!!!!!!!!!!!!!!!!!!!!!!!!!!!!!!!!!!!!!!!!!!!!!!!!!!!!!!!!!!!!!!!</t>
  </si>
  <si>
    <t>Makin kesini makin jelek</t>
  </si>
  <si>
    <t>Aplikasi ga jelas, suruh book tapi da ticket kancuuttt</t>
  </si>
  <si>
    <t>sangat menyenangkan dan sesuai ekspektasi</t>
  </si>
  <si>
    <t>masuk dufan, dg membeli tiket lwt traveloka tinggal sat set sat set beresss... masuk tanpa antri, cukup scan barcode👍</t>
  </si>
  <si>
    <t>kerennn bangett ke dufan bareng</t>
  </si>
  <si>
    <t>Menyenangkan sekali. Hanya saja dalam waktu 4 jam kunjungan hanya bisa menaiki 3 wahana. Kalau punya dana lebih mungkin lebih baik fast track</t>
  </si>
  <si>
    <t>Dufan selalu bikin ngangenin, krn banyak kenangan bersama teman-teman dari masa SMP sampai sekarang kami dewasa (sdh berkeluarga)</t>
  </si>
  <si>
    <t>Kerennn dan seru, menyenangkan sekali</t>
  </si>
  <si>
    <t>seru ke dufan bareng keluraga, semua yang beli di traveloka sangat mudah digunakan dan petunjuknya membantu sekali cuma saja harus booking dulu sebelum masuk dufan kalau bisa 2 hari sebelumnya karena kuota selalu dibilang full tapi untungnya ada staff dari dufan yang membantu, terima kasih traveloka dan dufan</t>
  </si>
  <si>
    <t>harga tiket murah di sini, di dufan ramai sekali saat hr minggu tapi tetap seru... proses redeem gampang cm tinggal scan di dufan... thanks traveloka</t>
  </si>
  <si>
    <t>tempat untuk berlibur di kala lelah bekerja, bisa teriak di setiap wahana</t>
  </si>
  <si>
    <t>anak-anak suka banget. terima kasih traveloka. terima kasih sea world</t>
  </si>
  <si>
    <t>keren sangat menyenangkan, mudah untuk aksesnya</t>
  </si>
  <si>
    <t>asli service stafny gk bngt, sy pk buggy di sana cm bs 2x doank pkenya , sy mau exit jauh bgt dan di puter2in sm stafnya biar lewatin smw titik dlu agar lwtin pusat souvernir..kaki sy ma swmi smp pegel bgt asli gk bgt..kapok iya ksna😅</t>
  </si>
  <si>
    <t>terlalu banyak wahana yang maintenance, sudah antri panjang dan cukup lama beberapa jam tiba tiba dikabarin mesinnya gangguan berasa buang waktu nunggu antrian engga ada hasilnya ditengah tengah semua wahana rame mengantri, apabila gangguan seharusnya diinformasikan tidak membuka antrian terlebih dahulu.</t>
  </si>
  <si>
    <t>untuk tiket terlalu mahal, bagi kami yg di luar kota jakarta... untuk masukan sebaiknya tetap dijual tiket sekali masuk dufan saja, karena kalo untuk tiket tahunan untuk yg di jakarta mungkin menguntungkan, tapi bagi kami yg di luar kota jakarta mungkin blm tentu dlm wkt 1 taun kedepan bisa main lg ke dufan, krn tidak mudah untuk ambil cuti... terima kasih</t>
  </si>
  <si>
    <t>Kami beli tiket Dufan utk 1 thn. Mudah diregistrasikan (sudah ada linknya utk mengaktifkan ecard) dan tinggal scan barcode yg ada di masing2 ecard ketika sampai Dufan.</t>
  </si>
  <si>
    <t>Free transportationnya kurang banget</t>
  </si>
  <si>
    <t>Dicoba dulu klo bagus nanti saya tambah bintangnya.tks</t>
  </si>
  <si>
    <t>Banyak wahana yg ga jalan, lalu antrian utk masuk ke wahana gila bisa hampir 2 jam, sungguh pengaturan yg sangat buruk</t>
  </si>
  <si>
    <t>Jauh2 dri luar kota Seharian cm naik 1 wahana itupun antrinya 3 jam lebih berdiri, pindah wahana ngantrinya sama akhirnya menyerah dan pulang.</t>
  </si>
  <si>
    <t>Mahal, tidak baik dan organisasi fasilitas chaotisch dan tua. Banyak yang tutup</t>
  </si>
  <si>
    <t>Kapal ferry ko belum ada tiket sulawesi jawa</t>
  </si>
  <si>
    <t>Hallo min, saya sudah melakukan pembayaran lunas sedangkan e-tiket saya tidak terbit. Sedangkan saya butuh tiket saya hari ini tgl 11-10-2022 jam 15.10, saya mintak tolong tindak lanjuti kasus saya. Karna saya dalam keadaan urgent mau pulang, saya mohon bantuannya dan pengertiannya. Saya mau e-tiket saya d terbitkan hari ini, mohon kerjasama nya</t>
  </si>
  <si>
    <t>Aplikasi yang sangat membantu tidak harus nunggu antrian untuk mendapatkan tiket</t>
  </si>
  <si>
    <t>Kenapa jadi susah login ya padahal,sebelumnya lancar lancar aja</t>
  </si>
  <si>
    <t>kenapa ketika mau proses pembayaran loadingnya lama banget, padahal sinyal stabil dan sudah update. mohon di perbaiki lagi ya apk ini 🙏</t>
  </si>
  <si>
    <t>Mohon bantuannya kenapa ya aplikasinya baru saya download sudah login tpi fiturnya gak keluar semua. Dan minta perbaruai aplikasi padahal di playstorenya sudah update</t>
  </si>
  <si>
    <t>Selalu menelpon sebelum jatuh tempo dan minta segera dibayarkan hari ini juga.</t>
  </si>
  <si>
    <t>Pembayaran paylater lebih mudah untuk yang dulu</t>
  </si>
  <si>
    <t>Update Mulu update Mulu capek tau ga sih . fitur nya juga sama aja ko .please lah gausah update mulu</t>
  </si>
  <si>
    <t>Setelah update, tidak muncul ketersediaan penerbangan pada setiap tanggal</t>
  </si>
  <si>
    <t>gimana sih ini.. mau pesan tiket bioskop tp kok gak ada menu bioskop. padahal sudah gw update aplikasinya.. payah !!</t>
  </si>
  <si>
    <t>ngebug tidak bisa di buka di hp poco f3. masa' harus di instal ulang dulu. ribet</t>
  </si>
  <si>
    <t>Saldo terpotong pesanan gagal.. Proses refund lama,, mending aplikasi lainny aja dah</t>
  </si>
  <si>
    <t>Minta transfer 30 menit,refund di lamain</t>
  </si>
  <si>
    <t>Gak enak banyak sponsor gak asik asu</t>
  </si>
  <si>
    <t>Taii ke tipuu masa mesen hotel trus hotel nya gada di lokasi cmna nya</t>
  </si>
  <si>
    <t>semua customer service respon nya lambat giliran bayaran selalu minta cepat dan banyak sekali kendala tolong di perbaiki bli bli group</t>
  </si>
  <si>
    <t>Parah apk ini. Sudah berulang kali mau daftar akun tp tdk bisa pakai email yg ada, slalu minta email yg baru, Stelah buat email baru jawabnya email ini sdh pernah di gunakan di apk lain........ PARAH</t>
  </si>
  <si>
    <t>Aplikasi ini jauh berbeda dengan apk sebelah,saya biasanya stlh pembayaran lngsung di dapet pesan email E-TIKET,tapi apk ini sya pesan dari siang,sampai sekarang blum juga d kirim e-tiket nya,balikin duit gua</t>
  </si>
  <si>
    <t>Aplikasi busuk di telp gada yang angkat say Uda bayar hotel tp ga masuk masuk</t>
  </si>
  <si>
    <t>Aplikasi yang ga punya tanggung jawab</t>
  </si>
  <si>
    <t>Gk bisa mabar sama temen</t>
  </si>
  <si>
    <t>Eror mau pesan tiket bus malaha gabisa diketik titik keberangkatan dan tujuan udah bolak balik unistal tetep aja tolong diperbaiki</t>
  </si>
  <si>
    <t>Sumpah ya ni Aplikasi, capek banget booking penginapan di sini, sering ketemu dengan harga di aplikasi murah tapi pas Check In pihak penginapan selalu minta tambahan harga yang katanya tidak sesuai dengan aplikasi, minta tolong lah kepada Aplikasi buat menertibkan tu penginapan, atau kalau perlu jangan di iming imingi dengan harga murah di Aplikasi, mana sering nambah hampir 100% dari harga di Aplikasi</t>
  </si>
  <si>
    <t>Gilak lemot parah apk error pa gmn sih lemotnya g karuan ampe dh ku uninstal ttp lemot gila apalagi pas milih brgkt sm tujuan, benerin dong! Jangan asal kalo bikin apk!</t>
  </si>
  <si>
    <t>Harga awal tiket Semarang Padang 1.515.000 untuk 1 orang Saya ambil 2 berarti saya harus bayar 3.030.000... Setelah diproses, Nama depan dan belakang, Kok yg harus saya bayar menjadi 3.300.000.. Ada apa ??????????????????</t>
  </si>
  <si>
    <t>Rame bangettt, heboh banyak takutnya</t>
  </si>
  <si>
    <t>Yang aku rasakan fasilitas layanan di sea world bagus, tapi masih ada beberapa kekurangan dibeberapa bagian terutama didalam yang mana kapasitas tempat agak sesak saat pengunjung padat seharusnya petugas bisa lebih bisa membatasi pengunjung masuk agar tidak terlalu rame dan pengunjung dapat mengabadikan momen setiap stage di sea world.</t>
  </si>
  <si>
    <t>super happy. thankyou traveloka</t>
  </si>
  <si>
    <t>Protokol kesehatan dijalankan dengan baik, pengunjung diharuskan menggunakan masker ketika masuk seaworld. Kebersihan sangat terjaga</t>
  </si>
  <si>
    <t>Ancol sangat ramai di weekend.</t>
  </si>
  <si>
    <t>Menyenangkan, proses cleaning di awal (tidak boleh membawa air mineral dalam botol kemasan 1x pakai merupakan metode yang bagus)</t>
  </si>
  <si>
    <t>sesuai dengan deskripsi dan aksesnya lebih cepat. membantu liburan keluarga</t>
  </si>
  <si>
    <t>Promo yang didapat menarik. Kebersihan juga baik. Tempat bagus.</t>
  </si>
  <si>
    <t>sdh beli tiket shuttle 30rb, ternyata armadanya terbatas... antriannya jd lama, lebih cepat jalan kaki ke patung gwk nya</t>
  </si>
  <si>
    <t>Menyenangkan ke Dufan itu, tapi sayang pas ke sana lagi banyak banget maintenance pada wahana yang seru-serunya. Mohon dipercepat ya, supaya orang-orang bisa happy naik wahana yang seru. Thanks</t>
  </si>
  <si>
    <t>Protokol kesehatan baik dan proses redeem e-ticket yang juga sangat mudah.</t>
  </si>
  <si>
    <t>cocok banget buat yang libur pas kerja. tapi sangat disayangkan pengunjung yang kurang aware sama sampah. banyak sampah yang berserakan dimana mana. pas di bagian istana boneka banyak sawangan di boneka, properti, lampu</t>
  </si>
  <si>
    <t>Ruang busuinya tidak ada kunci, kecil, gelap, tidak bersih, dan ada staf dufan yang tidur di dalam. Jd saat mau masuk, staffnya langsung bangun. Saya pun tidak jadi masuk, karena ruangannya seperti itu</t>
  </si>
  <si>
    <t>seru, puas krn semuanya bisa naik wahana</t>
  </si>
  <si>
    <t>Hrg beli online di traveloka lebih murah di banding beli di tempat, lumayan berhemat karena ke ancol ga mungkin sendiri kan…. Pasti rame2 bawa keluarga. Baru tau Sekarang masuk ancol byr tiket masuk 25k/org, di anjurkan beli online supaya lancar lgsg bisa masuk ke dalam, drpd stop lg proses pembelian tiket masuk. Kmrn mau beli tiket online di website ancol tp sold out, Alhamdulillah di traveloka masih ada plus lebih murah, Alhamdulillah kiddos senang.</t>
  </si>
  <si>
    <t>sayang pas masuk hari selasa gabung sama banyak grup sekolah TK SD n anak SMA padat n bising trus pada tdk jaga kebersihan agak</t>
  </si>
  <si>
    <t>anakku sangat happy... 😍 thankzz</t>
  </si>
  <si>
    <t>setelah sekian lama tidak ke ancol, ternyata ancol tetap menyenangkan untuk dikunjungi. seaworldnya juga seru dan anak2 senang berkunjung ke seaworld, ocean dream dan bermain di pantai ancol. tiket promo yg diberikan juga sepadan dgn aksesnya... terima kasih traveloka</t>
  </si>
  <si>
    <t>sengaja datang weekend dengan tiket lebih mahal tp sampai ke sana kecewa karena banyak wahana yg tidak beroperasi dan wahana itu yg d tuju..tornado..baling2 arung jeram baru buka jam set.3 siang tolong dong manajemen dufan kli bnyk wahana yg tidak beroperasi di kasih pengumuman apalgi wahana yg populer pula yg tidak beroperasi nya</t>
  </si>
  <si>
    <t>menurut saya SeaWorld lumayan kotor, karpet bau tengik dan berdebu, ocean dreams juga kotor, rumput liar kurang di rawat, tempat show lumba2 , dan pinguin kingdom bau dan pengap, terutama di lumba2, harus lebih d perhatikan kapasitas ruangan dengan jumlah pengunjung, kipas angin yang ada disana tidak cukup membantu</t>
  </si>
  <si>
    <t>Datang ke seaworld di H+4/5 after ied. Staff seaworld tetap ngegabung online ticket &amp; ots ticket. Padahal untuk apa beli online kalo antrian tetap digabung. Tidak ada petunjuk yg jelas juga. Dan sempat mati lampu 4x. But yeah still enjoy the show. Maklum kelabakan setelah lebaran pertama dalam 2 tahun terakhir</t>
  </si>
  <si>
    <t>Sudah di perbaharui msih tetap saja Loading Lambat... Ini lagi tidak bisa masuk dalam Aplikasi... Sbenarnya Traveloka ini kenapa kaa...</t>
  </si>
  <si>
    <t>Coba deh adain fitur koleksi, untuk mempermudah jika sewaktu waktu ada kesempatan seperti menginap dan lupa nama hotelnya, masih tersimpan di koleksi... karena keseringannya lupaa..</t>
  </si>
  <si>
    <t>Coba Perbaiki aplikasinya, khususnya pada saat input penumpang saat memasukkan tgl, bulan, tahun lahir. sulit sekali saat scroll sesuai kelahiran.</t>
  </si>
  <si>
    <t>Mau pesen tiket ga bisa², aplikasi sering trouble</t>
  </si>
  <si>
    <t>Maaf saya blm bisa kasih bintang 5, pengalaman terulang setiap tahun menjelang mudik lebaran, cari tiket udh kaya cari mas permata, ditunggu tunggu sampai begadang malah susah koneksi nya ke aplikasi pass posisi sdh t tinggal bayar. 1 jam 30 menit. Tak kunjungan bisa.... terpaksa bintang 2</t>
  </si>
  <si>
    <t>Limit waktu untuk rescadule terlalu pedek dan rumit</t>
  </si>
  <si>
    <t>BISA GAK GA USAH PAKE SI IVAN BUAT BALAS PROBLEM COSTUMER ? RIBET !!!</t>
  </si>
  <si>
    <t>Punya limit tapi gak bisa di pakai virtual number padahal sudah level platinum 2 dah limit blum ke pakai sampai 20 persen tapi udah gak bisa di pakai aneh</t>
  </si>
  <si>
    <t>Saya pesen tiket lewat paylater. di batalkan sama maskapai. Trus pas mau jatuh tempo di tlp agen traveloka suruh bayar cicilan padahal lagi ngurus refund. banyak bohongnya tuh orang2. Katanya suruh bayar dulu aja ntar duitnya di kembalikan. Eh padahal mah yg di kembalikan cuma seiprit. Yang batalkan maskapai kenapa saya yang nanggung kerugian yak????</t>
  </si>
  <si>
    <t>Kena prank mau dapet bonus tp ga ada ditunggu², padahal sebelumnya sudah minta² download aplikasi traveloka Mudah mudahan jangan terulang lagi kepada customer yang lain 🥴</t>
  </si>
  <si>
    <t>CS traveloka sangat not recomended jika ada keluhan atau apapun semacam nya respon sangat lama dan tidak ada solusi baik nya hanya bisa copy paste template kata kata yang sudah di buat dari perusahaan.</t>
  </si>
  <si>
    <t>Aplikasi PENIPU JANGAN INSTAL JANGAN PAKAI hotel sudah dibayar sudah dibayar diaplikasi sukses sampai lokasi order tidak masuk pihak hotel dan pihak hotelpun bilang kamar penuh Lah ini kok gak ada tanggung jawab pihak aplikasi dan hotel gak bantu refund EDAN buang buang duit dan waktu OJK dan play store blokir aja ini apk laknat</t>
  </si>
  <si>
    <t>Kecewa</t>
  </si>
  <si>
    <t>sangatbtidak butuh info ini,mengganngu saat aplikasi lain dipakai</t>
  </si>
  <si>
    <t>Saya udh bayar pemesanan,tetapi di aplikasinya belum terselesaikan dan meminta untuk membayar,padahal saldo saya sudah berkurang,cs dimintai bantuan sama sekali tidak merespon.aplikasi nipu ya ini</t>
  </si>
  <si>
    <t>Hati-hati aplikasi penipuan .sudah bayar tiket kereta tp tidak dikasih kode booking .dan nomor layanan tidak bisa dihubungi</t>
  </si>
  <si>
    <t>Walaupun banyak yang antri, tetap protokol kesehatan terjaga.</t>
  </si>
  <si>
    <t>Ada promo... enak. Gampang juga registnya. Thanks traveloka. Selalu jadi andalan buat jalan-jalan</t>
  </si>
  <si>
    <t>kora-kora seru... tempat hiburan keluarga</t>
  </si>
  <si>
    <t>tempat nya nyaman,bersih,aman...</t>
  </si>
  <si>
    <t>anak-anak senang..sayang sekali k sini pas banyak anak sekolah tour..jadi padat banget kaya pasar malam...selebihnya oke...</t>
  </si>
  <si>
    <t>seruuuu</t>
  </si>
  <si>
    <t>keluarga semuanya hepi banget… akses masuk ke ancol &amp; wahana jg lancar.</t>
  </si>
  <si>
    <t>Pelayanan yang ramah dan sangat recommended</t>
  </si>
  <si>
    <t>pengalaman yang tak terlupakan... anak saya sukaa sekali</t>
  </si>
  <si>
    <t>ya masih sama seperti dulu belum terlalu banyak yg berubah hanya pintu masuk yg berubah</t>
  </si>
  <si>
    <t>Tempatnya nyaman dan bersih. Aman</t>
  </si>
  <si>
    <t>wisata budaya cocok buat anak sekolah dan keluarga, fasilitas dan live show atraksi tarian cukup bagus. kemarin kesana pas hujan seharian jadi atraksi outdoor dipindah ke amphiteater sementara pengunjungnya banyak dan hujan deras basah basahan 😁 kapan2 mau kesini lagi</t>
  </si>
  <si>
    <t>keren, bisa lihat tarian Kecak juga, banyak spot-spot untuk foto</t>
  </si>
  <si>
    <t>Tempatnya sangat bersih dan bagus bgt untuk foto foto, semua karya seni yang ada di sini sangat indah, tetapi sayangnya jika berjalan sangat melelahkan karena gwk ini sangat luas, saya sarankan untuk naik shuttle saja agar tidak terlalu capek</t>
  </si>
  <si>
    <t>lumayan, cuma agak panas aja, kurangnya pohon/tempat berteduh...</t>
  </si>
  <si>
    <t>lumayan lah walaupun antri semua wahananya😆😆😆</t>
  </si>
  <si>
    <t>petunjuk arah yang terlalu sedikit, petugas yang ga terlalu banyak, dan waktu tunggu utk 1 wahana parah banget lama y. aplg kyk ice age main cuma sbntr antri smpe 2jam'an. ga ngotak sih, pdhl klo dilihat sprti y mmg dilama2in sm petugas y. belum lagi byk yg dikurangi fasilitas y, kyk ice age itu ga dingin sm sekali, beda jaman sebelum covid. parah sih dufan. utk harga segitu ga worth it menurut saya. padahal dr pagi datang, cuma bisa ke 3-4wahana. kacauuuu</t>
  </si>
  <si>
    <t>harga msi terlalu mahal..karena dengan banyaknya pengunjung yg kami datang jam 11 sampai jam 5 sore hanya sempat naik 4 wahana.</t>
  </si>
  <si>
    <t>padat sekali, sepertinya pengunjung sudah tidak dibatasi jumlah/kuotanya perhari, mid 2022, pasca Ied Al fithr masih dibatasi, reservasi h-7 saja belum tentu dapat. Untuk masa liburan akhir tahun ini reservasi h-1 saja masih bisa. food court nya kurang memadai, karena SDH banyak yang tutup. Air mineral kemasan saya sekeluarga disita, hanya boleh bawa masuk jika merk-nya prim-a, wow banget, mid 2022 belum ada kebijakan "unik" spt itu.</t>
  </si>
  <si>
    <t>ecard annual gak sempet dibuat hangus cm 1x pakai. ternyata karena staf tdk infoin hrs hari yg sm buatnya... kl ga angus... ya namanya ibu ibu kadang repot sama anak ga sempet baca baca</t>
  </si>
  <si>
    <t>Lumayan</t>
  </si>
  <si>
    <t>kurang informativ</t>
  </si>
  <si>
    <t>playter saya di setujui saya kasih bintang 5</t>
  </si>
  <si>
    <t>Staff yang bertugas sudah sangat ramah, suka menolong dan sangat membantu ketika proses antri ke permainan namun banyak sekali permainan yang tidak bisa dipakai dan terbengkalai. Terlalu banyak bangunan yg kesannya ruangan terbengkalai nampak serah, penerangan kurang.</t>
  </si>
  <si>
    <t>Sy baru mau dowlnd tp pas liat sangat banyak sekali keluhan yg sama yaitu pihak hotel tidak menerima dan tidak ada refund dari pihak ini. Tolong untuk lebih baik lagi dalam pelayanan karna duit yg mereka tf ke kalian itu sangat berharga untuk mereka dan keluarganya, ada hak mereka disana. Tolong untuk lebih baik lagi pelayanannya 🙏 terimakasih</t>
  </si>
  <si>
    <t>Bintang 2 dulu karena tidak di approve</t>
  </si>
  <si>
    <t>Setelah diupdate... Kode booking tidak bisa di salin. Ketika klik icon copy paste justru yang tersalin tulisan : Itinerary ID berhasil disalin. Disisi lain menu reschedule tidak bisa diklik dan notifikasi yg muncul justru notifikasi refund</t>
  </si>
  <si>
    <t>Belom pernah</t>
  </si>
  <si>
    <t>SALAM SATU JIWAA</t>
  </si>
  <si>
    <t>881.Gjridomd fjrudi MD. Htsruonfa. Mdyeycis kyfhd. Dydufuim🌟🌟🤝</t>
  </si>
  <si>
    <t>Saya coba Dulu</t>
  </si>
  <si>
    <t>3 menit nunggu, tapi aplikasi nya masih tidak terbuka. Super lelet sekali. Tolong di perbaiki</t>
  </si>
  <si>
    <t>Kalau memang tiket kereta sudah habis lebih baik ditiadakan sekalian, dari pada jadi rebutan dan pas balik Karna seat tidak ada muncul lagi</t>
  </si>
  <si>
    <t>Sangat sangat mengecewakan luar biasa traveloka pencuri, mendebit rekening saya dgn jumlah yang sama di harga 1 tiket. Minta pengembalian dana tidak ada respon. Csnya robot seperti itu slow respon dan gak ada cs via WA untuk minta bantuan sangat2 menyesal. Dua kali terjadi dgn hal yang sama Terakhir kali sy pakai traveloka 👎</t>
  </si>
  <si>
    <t>lokasi hotel tidak sesuai dengan yang ada dipeta, harga hotel tidak sesuai dengan yg tertera ditraveloka... pihak hotel dan traveloka tidak memiliki kerja sama yang baik...ketetapan harga dari pihak hotel berbeda dari aplikasi traveloka...sehingga saya harus membayar lagi karna akan dicancel dr pihak hotel</t>
  </si>
  <si>
    <t>Harga bagasi tambahan tidak akurat, saya beli bagasi tambahan saya sudah bayar sama persis sama di aplikasi, terus pihak treveloka telpon katanya harga bagasi tambahan naik mau tambah uang lagi, Kalo emang naik ya seharusnya di aplikasi treveloka naik jugak kan ini gak, sangat mengcewakan</t>
  </si>
  <si>
    <t>Kalau perjalanan anda pengen aman. Jgn pesan tiket pake ini barang/aplikasi. Benar² nyusahin org. Semakin kita pesan tiket di sini, sama halnya kita memberi ruang utk monopoli Tiket di negeri ini ke Traveloka. Dan itu bisa menciptakan banyak mafia di sini. Baru saja terbang dari Bali tujuan Palangkaraya. Padahal ada perubahan jadwal, tapi ga ada update dari ini barang..🤮</t>
  </si>
  <si>
    <t>Buka aplikasinya kok berat ya? Sering error juga</t>
  </si>
  <si>
    <t>Niat membantu tidak ya soalnya masa dibatalkan oleh maskapai sampai 2 kali ini sebenernya gimana tow,,, Padahal dulu pernah pesan gk kayak gini dech,, Pdahal udah bayar 2 kali lagi,,,,😡😡</t>
  </si>
  <si>
    <t>Adanya customer care ga membantu. Via telfon, tidak terhubung ke cs nya sudah bolak balik telfon Via wa, ga ada tanggapan Via email, udh 4x kirim ga dibalas Via ig, dm pun ga digubris Konsomen dirugikan mengenai pembayaran yang gantung</t>
  </si>
  <si>
    <t>Saya pesan kamar melalui aplikasi ini tapi sampe ditempat tujuan katanya ga kerjasama lagi terus saya refaund tidak Jadi gimana ini? Ga jelas ini</t>
  </si>
  <si>
    <t>Kl sy tdk mengecek sendiri jadwal keberangkatan di web maskapai, sy akan menunggu lama di bandara. Kt mesti lbh proaktif,jgn terlalu banyak berharap sm aplikasi ini.</t>
  </si>
  <si>
    <t>Jelek. Pengembalian dana lama skli</t>
  </si>
  <si>
    <t>Apk lemot</t>
  </si>
  <si>
    <t>CS TERBURUK YG PERNAH SAYA TAU.. SUDAH PESAN, TP HOTEL FULL.. SUDAH TELPON CS DARI JAM 4 SORE SAMPE JAM 11 MALAM SEBANYAK 14X JAWABANNYA SURUH TUNGGU 3-5 MENIT.. SAMPAI PULSA 200RB.. JAM 11 SURUH RELOKASI KEMBALI... EDANNN GILAAAA INI... BAWA ANAK KECIL DAN IBU INI WOYYY</t>
  </si>
  <si>
    <t>suka bgt ke dufan. banyak permainan yg baru</t>
  </si>
  <si>
    <t>Gampang banget redeemnya. Seru di sananya juga... Mantafff niannn</t>
  </si>
  <si>
    <t>Semuanya sesuai protokol kesehatan, keamanannya juga terbaikk, kebersihan tempat bagus, cocok buat liburan tanggal merah gini, apalagi pakai annual pass jadi bisa sering-sering ke dufan! Worth it deh buat dikunjungi bareng keluarga, teman maupun ayang✨🙆🏻‍♀️🥰</t>
  </si>
  <si>
    <t>bagus, permainan bervariasi, prokes berlaku, ramah anak-anak.</t>
  </si>
  <si>
    <t>nyaman, lokasi bersihh, enjoyy deh disana</t>
  </si>
  <si>
    <t>Sangat menyenangkan melihat ikan2, walaupun saya datang saat sedang ramai pengunjung jd bs dipahami kondisinya. Overall sangat rekomen utk dikunjungi</t>
  </si>
  <si>
    <t>Bagus utk edukasi anak2 tentang ragam hewan air laut &amp; air tawar..</t>
  </si>
  <si>
    <t>good sangat cocok untuk berlibur</t>
  </si>
  <si>
    <t>sangat mudah pesan tiket di Traveloka &amp; rekomendasi utk mengisi liburan bersama keluarga.</t>
  </si>
  <si>
    <t>proses redeem cepat, weekdays plus dateng pagi ga pake antri lama.</t>
  </si>
  <si>
    <t>disana bersih banget, rapih kita bisa tahu sejarahnya</t>
  </si>
  <si>
    <t>tempat yg bagus, sayang ada biaya tambahan untuk transportasi, sebaiknya hal ini include</t>
  </si>
  <si>
    <t>nyaman ke dufan kebersihan ny oke.. nanti main2 lagi kesini.</t>
  </si>
  <si>
    <t>sangat menyenangkan, tapi sayang tidak menemukan wastafel untuk refill air minum dan toiletnya masih sedikit jika dibandingkan dengan jumlah pengunjung</t>
  </si>
  <si>
    <t>agar dicari solusi supaya antrian wahana tdk terlalu panjang</t>
  </si>
  <si>
    <t>Ramai banget... Beberapa wahana tidak operasional... Sayang tutupnya jam 5 kurang malam jd tdk menikmati keindahan lampu2 yg meriah</t>
  </si>
  <si>
    <t>cara masuk dan antri sudah tertib</t>
  </si>
  <si>
    <t>tiba pukul 09.00 langsung masuk ke Ocean Dream, sayangnya di lokasi ada family gathering dari suatu perusahaan, mereka gak tertib saat pertunjukan penguin, anak² berdiri di depan kaca, menghalangi pandangan pengunjung lain, petugas tidak tegas menertibkan, suara petugas tidak terdengar jelas</t>
  </si>
  <si>
    <t>Anak saya sangat menikmati berada di sea world. Banyak pengetahuan baru yang didapat. Jadi bukan hanya sekedar rekreasi tetapi menambah pengetahuan juga.</t>
  </si>
  <si>
    <t>Easy redemption... thanks traveloka for the discount... tapi hewan-hewannya makin berkurang</t>
  </si>
  <si>
    <t>Knp pontianak kuching tidak ada yah?</t>
  </si>
  <si>
    <t>tempat jual tiket ama pintu masuk sangat jauh untuk jalan kaki... dan minim petunjuk arah pokoknya jalan kaki kalau ke gwk... udh tiket masuk mahal masa mau naik shuttle ke dalam patung gwk harus bayar lagi 30rb per orang. tolong pada pihak pengelola jangan buat konsumen susah, gwk itu tempatnya sangat luas dan panas lagi</t>
  </si>
  <si>
    <t>Pegawai tidak ramah, terlebih pegawai di pintu masuk, kurangnya pegawai yg bekerja di saat weekend!</t>
  </si>
  <si>
    <t>Kenapa sekarang tampilin harga yang belum ada pajaknya? Tolong lah jgn kayak yg sebelah</t>
  </si>
  <si>
    <t>Sering tidak update. Di aplikasi unit ready tp begitu konfirmasi ke pemilik ternyata sdh booked. Nyangkut lah uang kita sampai 2x. Hati hati yg lain ya...</t>
  </si>
  <si>
    <t>Sdh lama pakai aplikasi ini. Makin k sini makin berkurang canggih ny. Kmr2 msh bisa pakai tombol refund. Skr tdk bs d pakai itu tombol refundny. Mau refund srh msk aplikasi pdh saat refund kita sdh log in. Pusat resolusi makin susah jg. Ngisi form trs2 an. 👎👎</t>
  </si>
  <si>
    <t>PT.qqwas esa wrw2q</t>
  </si>
  <si>
    <t>Saya salah nominal teransfer gimna solusinya</t>
  </si>
  <si>
    <t>Pengajuan paylater disuruh unggah foto selfi mirip dengan ktp. Ya mana bisa. Semakin usia ya bedaaa. Kok malh disuruh sedemikian mirip</t>
  </si>
  <si>
    <t>Kok tidak bisa pilih kursi ya</t>
  </si>
  <si>
    <t>Aku cobain dulu ya</t>
  </si>
  <si>
    <t>Kapok pake treveloka... Nomor telpon saya gak di kasih ke pihak bus, jd tiket hangus karena telat 15 menit</t>
  </si>
  <si>
    <t>Saya sudah pesan tiket pesawat tapi nggak bisa!!</t>
  </si>
  <si>
    <t>GA sesuai yang di pesen. gambar a bagus waktu cek in kamarnya beda yang di dapet sama yang d gambar pemesanan Anjir.....</t>
  </si>
  <si>
    <t>Tiba tiba limit Paylater di turunun tanpa sebab, mending telat bayar aja kalau gitu, kalu akhirnya di turunin juga limitnya. Aneh emnk traveloka ni</t>
  </si>
  <si>
    <t>Aplikasi nya bagus, tapi ada oknum pegawai Traveloka yg rela menipu pelanggan nya demi mengejar target program traveloka partner ship.</t>
  </si>
  <si>
    <t>Saya yakin sangat banyak orang yang dirugikan oleh sistem traveloka... Saat kita mencari hotel untuk bermalam, entah kenapa direkomendasikan hotel2 dengan tanggal pemesanan bukan pada hari itu... Sehingga, saat kita sudah transaksi, dan menyadari bahwa telah memesan kamar untuk tanggal lainnya... Sangat disayangkan, hampir tidak ada satupun hotel yg bisa reschedule dan refund... Dan uang pun hangus... Sangat jahat sekali sistem ini... Semoga cepat hancur bisnis jahatnya... Kecewa sekali...SO BAD</t>
  </si>
  <si>
    <t>Sudah jadi penguna setia, sebelum pandemi aktif pakai Traveloka untuk berbagai keperluan traveling. Sampai dapat limit paylater lumayan tinggi, hanya karena transaksi yg saya batalkan akibat pandemi tapi bunga paylater tetap harus dibayarkan, saya aktif bayar, sampai tersisa bunga paylater yg hanya 82ribu saja masih saya pending bayar sebagai bentuk protes refund yg belum dibayar oleh Traveloka terkait pembatalan transaksi masa pandemi itu. Dan paylater saya dinonaktifkan dong, sangat kecewa.</t>
  </si>
  <si>
    <t>Abis diupdate malah lag banget parah. Padahal speedtest hasilnya 58mb tapi masih gak bisa apa apa di traveloka, semuanya loading.</t>
  </si>
  <si>
    <t>Mohon utk di permudah saya daftar di PayLater Traveloka, agar saya bisa lebih nyaman penggunaan nya. Sdh daftar 2 kali dlm 1 thn dan Persyaratan sdh terpenuhi tp tetap saja slalu di tolak. Mengecewakan skali</t>
  </si>
  <si>
    <t>Kenapa kali ini saya selalu gagal membayar pakai akulaku paylater</t>
  </si>
  <si>
    <t>Kapok pake aplikasi ini, aplikasi paling bodoh yg pernah saya pake.</t>
  </si>
  <si>
    <t>Lihat ratingnya dan komenya buruk. Langsung ga jd pesan dsni. Seremmmmm</t>
  </si>
  <si>
    <t>app apansi ni di beranda isinya loading ga kelar"</t>
  </si>
  <si>
    <t>Aplikasi norak..banyak kesalahan</t>
  </si>
  <si>
    <t>CS Tidak komunikatif awal pakai robot semua yg jawab saat butuh petunjuk, begitu jga dengan penginapan tujuan adminnya tdk respon, apa karena tidak bekerja sama dgn aplikasi ini lgi</t>
  </si>
  <si>
    <t>Pasang iklan se enak nya di gogle map dengan harga yg gax ngotak</t>
  </si>
  <si>
    <t>Parah sih kalau gak ada perubahan,isi coment jelek smua ttng ApK ini.. tlong lah adminnya cepat lakukan perbaikan kalau gak mau uninstal masal.</t>
  </si>
  <si>
    <t>keren dan seru banget liburannya</t>
  </si>
  <si>
    <t>Seru liburan bersama teman atau keluarga</t>
  </si>
  <si>
    <t>Protokol kesehatan dan kebersihannya terlaksana dg baik.</t>
  </si>
  <si>
    <t>Yippiieee ke Dufan selalu asik karena banyak wahana-wahana seru dan bikin jantung dag dig dug! Untung udah beli one year pass jadi bisa balik teruuus</t>
  </si>
  <si>
    <t>Dufan masih seru seperti dulu, tp perlu menambah wahana-wahana baru lagi</t>
  </si>
  <si>
    <t>selalu senang berlibur di dufan...</t>
  </si>
  <si>
    <t>Menyenangkan bisa dtg ke seaworld. tiket dgn paket Samudra ocean sangat membantu. next time akan pesan yg 1 paket dgn birdland jg</t>
  </si>
  <si>
    <t>tempat luas,bersih,cocok untuk anak2 secara hiburan dan edukasi</t>
  </si>
  <si>
    <t>tempatnya terlalu rame jadi ac nya gak berasa. hahahahaha</t>
  </si>
  <si>
    <t>Ga sempat ngefoto, tp seaworld ga banyak berubah sejak thn 2000 an awal. Ttp jd yg terbesar dan terbaik di asia tenggara</t>
  </si>
  <si>
    <t>Alhamdulillah dalam pemesanan tiket tidak ada gangguan sedikitpun walaupun ketika sudah sampai di lokasinya sangat padat &amp; ramai sekali. Aku cinta Seaworld Ancol ♥️</t>
  </si>
  <si>
    <t>mudah, terjangkau dan tetap safety</t>
  </si>
  <si>
    <t>Masih happy main di Ancol...tapi kebersihan wahana sepertinya sangat perlu ditingkatkan lagi. lumayan kotor</t>
  </si>
  <si>
    <t>redem mudah banget, tinggal bikin annual nya di rumah beres,masuk ancol nya free kunjungan pertama, dapet potongan harga lagi dari traveloka, thx traveloka experience</t>
  </si>
  <si>
    <t>datang pas hari yg salah, hari sabtu, ramenya bukan main, 1 wahana antrinya 1 jam lebih, habis waktu di antrian saja, datang jam 11 pulang jam 17 sore cuma bisa 3/4 wahana yg dimainkan, capekkk antri doang, sambil berdiri dan nggak jaga jarak.</t>
  </si>
  <si>
    <t>Tiket terusan biasa penuh antrian panjang, sehingga terpaksa beli tiket fast track, tapi bikin orang yg antri panjang dan lama ngedumel.</t>
  </si>
  <si>
    <t>tidak ada yg perlu di review.. biasa biasa saja..</t>
  </si>
  <si>
    <t>gak sempat foto lebih prefer pegang anak. harga yg tercantum di traveloka tidak termasuk biaya masuk mobil ya - rp 25.000. untuk pendatang seperti saya, benar benar mengandalkan petunjuk arah dan google saat masuk dan keluar, tapi itu pun kurang, karena banyak pengalihan dilakukan. saran yg mau ke sana, datanglah sepagi mungkin untuk hindari antrian mobil masuk dan terdepan di garda pintu seaworld. (ku pikir aku udah pagi - napak di ancol jam 9.15)</t>
  </si>
  <si>
    <t>Nice... tinggal redemption vouchernya aja yg agak bermasalah pas discan barcode di Samudra Ancol. Selebihnya udh bagus👍🏼</t>
  </si>
  <si>
    <t>pengalaman weekend regular, nunggu antrian 2 jam mainnya 2 menit</t>
  </si>
  <si>
    <t>Buat wahananya gw berani kasih nilai tinggi karena emg menyajikan keseraman yg membuat penderita akrophobia kek gw kicep. Tapi klo berbicara “ Dufan” secara umum terlepas dari wahananya banyak yang perlu dikritisi. - Tidak adanya tukang parkir, membuat mobil” mewah suka parkir sembarangan nutup jalan orang. Parkirnya paralel yg gabisa digeser pake tenaga manusia biasa. - Antrian yg ga jelas sistemnya pada hari “ Cuti Bersama Imlek 2023 ”. Semua antrian menumpuk di 1 baris sepanjang kurang lebih 1,5 Km. Bayangin antrian sepanjang itu ?! Dan mas“nya cuma bisa kasihtau ” sabar dong, ngantri ”, Weh itu antrian sepanjang itu gw sih berani taruhan berapa ayok ?! kalo masnya yg disuruh antri pasti dijamin dunia akherat ga bakal MAU. Dan dia dengan seenak jigong nya nyuruh pengunjung ngantri secara teratur diantrian yg mengular. Untuk hal ini wajarlah bila akhirnya banyak orang“ termasuk saya yg akhirnya menyelak antrian. Tidak dapat dibenarkan tapi ada alasan kuat untuk ini. Kalo cuma ngomong memang gampang tapi yg namanya praktek tidaklah mudah. Budaya antre itu bagus tp antri yg gimana dulu, antri 1,5 km mah udh keburu gempor. Ga dipisah antara pengunjung biasa seperti kami &amp; rombongan orang” dari PT / Institusi. Seharusnya dipisah dengan batas yang jelas agar kami dapat mengantri dengan teratur. - Ketidaksesuaian antara Tema Wahana “ Dunia Kartun ” yang menunjukkan gambar” colorful mengisyaratkan wahana itu untuk anak tetapi terdapat wahana ekstrim Kicir” yang tentu saja tidak bisa menyertakan anak” didalamnya tetapi ironisnya ada di section Dunia Kartun.</t>
  </si>
  <si>
    <t>anak-anak senang dengan permainan yg ada, tapi antrian panjang sehingga tidak semua bisa diikuti... beberapa permainan perlu ada maintanannce ulang. istana boneka dibersihkan lagi. sudah berdebu.</t>
  </si>
  <si>
    <t>Kerena slow respon di admin</t>
  </si>
  <si>
    <t>knp login lewat fb gak bisa sekarang padahal akun saya masuknya lewat fb dan di akun itu masi ada paylater saya 😭</t>
  </si>
  <si>
    <t>Untuk pemesanan tiket kereta api lokal dan komuter belum bisa ya 😥</t>
  </si>
  <si>
    <t>Harga awal lebih murah, saat sudah selesai ketik nama penumpang tiba tiba harga naik, tidak profesional Traveloka</t>
  </si>
  <si>
    <t>ga asik</t>
  </si>
  <si>
    <t>Tolong jaga data sya jgn slah gunakan.sya dpater paylater di tolak ya.terima kasih</t>
  </si>
  <si>
    <t>kenapa ya sekarang klo berangkat dari balikpapan ke kendari dan sebaliknya selalu transitnya +1 hari, biasanya dulu hanya transit beberapa jam tapi sekarang transit 1 hari, hadeuhhh</t>
  </si>
  <si>
    <t>Dulu tiket agak miring bagus ini aplikasi . tapi sekarang harga gag ada otak mahal sekali untuk tiket domestik , gag jelas sekali masak tiket keluar negeri murah , tiket di di negri sendiri harganya mahal sekali mohon di kurangi harganya</t>
  </si>
  <si>
    <t>Pilihan pembayaran BRI selalu dalam maintenance, kapan diperbaiki nya 🤦🏽🤦🏽🤦🏽</t>
  </si>
  <si>
    <t>Eror truss</t>
  </si>
  <si>
    <t>Selalu ditolak ngajuin paylater pdhl data uda bener... heran..salah dmn...pdhl shopee pay later,gopay later bisa semua .cm Traveloka doank gagal...anehhhh.... alasan data tidak lengkap...pdhl udah sesuai...</t>
  </si>
  <si>
    <t>traveloka payah, cuma reschedule aja harus bayar 1 juta lebih utk rute jakarta manado, padahal tiketnya hanya 2,4 juta...kalau tidak diperbaiki, maka banyak yg akan mengucapkan "good bye" buat traveloka....</t>
  </si>
  <si>
    <t>Dana saya 236rb hangus krna beli tiket diapk ini udh pengajuan minta bantuan sama custemernya gk ada respon sama sekali</t>
  </si>
  <si>
    <t>lama lama ni aplikasi kaya nipu pesen tiket ke taman safari ambil tgl26 juni BUAT LIBURAN ANAK2 coba cari harga murah pas sudah bayar 8tiket brubah jadi tgl17 juli sumpah nyesek banget ga bisa refund komplen pun tidak di bantu 1, 876, 000 melayang liburan pun gagal KECEWA</t>
  </si>
  <si>
    <t>Kecewa banget sama aplikasi ini,tiket gak bisa di proses dengan alasan emailnya typo,tapi kan saya masuk wabsite nya pake email,masa gak bisa di bantu.yg penting kan bukti transfer sama nama pemesan nya sama</t>
  </si>
  <si>
    <t>Mau pilih jemputan bus malah stuck mulu</t>
  </si>
  <si>
    <t>Ini kenapa ya baru download terus buka aplikasinya loading nya lama banget udah 2 jam nunggu ga bisa log in padahal sinyal bagus internet bagus</t>
  </si>
  <si>
    <t>SUdah ngajuin paylater... Proses entah brp lama??? Udah mau stahun blm ada jawaban.</t>
  </si>
  <si>
    <t>sangat ramai, sangat antri, tapi tetap seru dan asyik</t>
  </si>
  <si>
    <t>toiletnya bersihhh bangettt</t>
  </si>
  <si>
    <t>terima kasihh traveloka sangat menyenangkan...</t>
  </si>
  <si>
    <t>menyenangkan tetapi karena hari libur jadi lumayan antri</t>
  </si>
  <si>
    <t>dufan memang rekreasi keluarga yang topp... permainannya mengasikan dan penuh tantangan...👍🥰</t>
  </si>
  <si>
    <t>Pelayanan bagus, happy, tanda petunjuk arah sangat jelas</t>
  </si>
  <si>
    <t>menyenangkan💕😍 pingin aja keluarga kesana lagi</t>
  </si>
  <si>
    <t>menyenangkan membawa anak2 ke seaworld dan oceandream untuk liburan. proses reedem tiket mudah dan ga perlu qntri beli tiket</t>
  </si>
  <si>
    <t>liburan diawal tahun 2023,,mari kita menabung lagi utk liburan pada waktu yad😄😄</t>
  </si>
  <si>
    <t>sea sea sea SeaWorld day🥰🥰🥰🥰</t>
  </si>
  <si>
    <t>sangat menyenangkan. dan memudahkan para pengguna traveloka untuk liburan dadakan 😍🙏🏻 terima kasih traveloka paylater 🙏🏻😇</t>
  </si>
  <si>
    <t>bagus banget jadi mau balik lagi</t>
  </si>
  <si>
    <t>menyenangkan sekali berlibur di seaworld bisa menambah wawasan buat anak kita menjadi tau keindahan alam di bawah laut seperti apa</t>
  </si>
  <si>
    <t>mantappp pokoknya engga kecewa</t>
  </si>
  <si>
    <t>Terlihat sebagaimana layaknya pameran. worth to try untuk pengalaman.</t>
  </si>
  <si>
    <t>Ternyata banyak wahana yang ditutup karena perbaikan atau perawatan.</t>
  </si>
  <si>
    <t>lokasi sudah ada map jadi tidak perlu bertanya kepada karyawan tetapi tidak ada review tentang permainannya</t>
  </si>
  <si>
    <t>Petugas sangat helpful. Yang perlu ditingkatkan adalah kebersihan dan perawatan untuk wahana-wahana yang sudah cukup lama</t>
  </si>
  <si>
    <t>Awalnya bingung cara pakainya karena agak ambigu untuk pertama kali datang perlu/tidak perlu reservasi. Setelah chat customer service baru dijelaskan. Ketika masuk ancol dan dufan mudah bgt tinggal scan barcode bisa masuk. Aktivasi ecard dufan jg mudah.</t>
  </si>
  <si>
    <t>Menyenangkan untuk edukasi anak2...</t>
  </si>
  <si>
    <t>Sungguh menyenangkan liburan ke sea world ancol.</t>
  </si>
  <si>
    <t>penuh full setelah pandemi jd blm puas pd berebutan pengunjung tdk tertib selama lebaran</t>
  </si>
  <si>
    <t>Tempat yang tepat untuk liburan keluarga, konten isi menyenangkan dan edukatif. Untuk pengaturan pengunjung jelek, sistem antrinya chaos karena tidak diatur. Sudah beberapa tahun masih tidak ada perubahan.</t>
  </si>
  <si>
    <t>tidak berguna</t>
  </si>
  <si>
    <t>Udh booking hotel dari jauh hari, tp pas dtg ke hotel gk ada katanya, gk masuk ke aplikasi pemilik hotel, udh malem capek. Ya Allah sabar2</t>
  </si>
  <si>
    <t>Kalau mau ikut daftarkan sewa mobil itu daftar nya lewat mana yaa</t>
  </si>
  <si>
    <t>Apa ini ngga jelas ni tolong di perrrbaikin katanya tiket kapal setelah di hotel lah apalah</t>
  </si>
  <si>
    <t>Klo beli tiket kereta mending lewat KAI acces aja soalnya Untuk refund tiket kereta mesti distasiun khusus ga bisa di applikasinya 🤣🤣🤣🤣🤣🤣🤣🤣🤣🤣🤣🤣🤣🤣🤣🤣🤣🤣🤣🤣🤣🤣🤣🤣🤣🤣🤣</t>
  </si>
  <si>
    <t>Soal refund uang sangaat amat lama padahal kita lagi butuh buat pesan tiket kembali</t>
  </si>
  <si>
    <t>Kenapa sekarang gk bisa pembayaran cc bri dr travaloka langsung ya? Kembalikan versi dulu yang bisa pembayaran cc melalui apk travalokanya langsung, karna mempersulit saya untuk membayar tagihan cc. Terima kasih</t>
  </si>
  <si>
    <t>Aplikasi tiba2 keluar, point Sudah d kumpulkan banyak2 jadi NOL. Mana tanggung jawab traveloka nih,. Tgl 24 sy post Ini,. Berapa hari kerja lagi point sy kembali,. Terimakasih</t>
  </si>
  <si>
    <t>Padahal udah update, tapi terus halaman belum ter update</t>
  </si>
  <si>
    <t>pesen hotel disini pas cek in di tolak karena hotel udh gak bekerja sama,diminta refund dana malah minta aneh aneh dan malah nuduh tamu membawa pasangan tidak sah,,udh masuk pencemaran nama baik si tamu ,nanti saya laporkan ke yang berwajib</t>
  </si>
  <si>
    <t>Harga yang tertera di menu tidak sama pas mau booking, banyak biaya tambahan, tekor lagi dah</t>
  </si>
  <si>
    <t>Apann ga bisa login previkasi email nya susah</t>
  </si>
  <si>
    <t>Alamat hotel di aplikasi sama di e-voucher beda</t>
  </si>
  <si>
    <t>Aplikasi pencarian tiket yg BURUK Sudah double pembayaran malah E-tiket tidak terbit... 👎👎👎</t>
  </si>
  <si>
    <t>Payah cs ga ada yg respon dana dah kedebet</t>
  </si>
  <si>
    <t>Saldo berkurang, tetapi status order masih menunggu pembayaran</t>
  </si>
  <si>
    <t>Aplikasinya sering error , tolong diperbaikin lah. Sebel bgt klo udh muncul tulisan MAAF YA , ADA SEDIKIT GANGGUAN , tenang bla bla bla😌. Ditunggu lama pun tdk kunjung slese itu gangguan .</t>
  </si>
  <si>
    <t>Sangat mengecewakan layanan cust care nya!</t>
  </si>
  <si>
    <t>Sdh lbh 1 minggu permasalahan sy blm ada solusinya.</t>
  </si>
  <si>
    <t>sekarang sangat mengecewakan,,,, sudah tidak seperti dulu, CS sangat tidak fast respon.</t>
  </si>
  <si>
    <t>karena beli tiketnya include tiket ancol jadinya tinggal scan-scan aja dari gate busway sampe dufan. ga repot2 lagi. untuk pengguna busway harap diinget2 jam operasional terakhir biar ga ketinggalan bus. kalo di dufannya semua udah tertib, antrian rapih. antri halilintar 1 jam itu wajar bgt apalagi di hari libur anak sekolah yg banyak rombongan pelajar. 30 menit sebelum tutup enaknya tentuin mau naik apa karena sesi terakhir suka dilebihin waktunya hehe.</t>
  </si>
  <si>
    <t>selalu menyenangkan 🥰 tapi kalo hari libur sekolah rame bgt 🙈😔</t>
  </si>
  <si>
    <t>Dufan tempat rekreasi keluarga dgn wahana permainan yg banyak &amp; bervariasi. Mulai dr yg santai sampai ekstrim. Semoga selalu diperhatikan keamanannya, dirawat kebersihannya spy aman &amp; nyaman juga diperbaharui dgn wahana yg seru lainnya</t>
  </si>
  <si>
    <t>untuk liburan keluarga dianjurkan sekali bermain ke dufan, menyenangkan untuk semua umur</t>
  </si>
  <si>
    <t>yeaayy suka sama promonya... kita semua jadi bisa beli dengan harga murah... thank u traveloka 🥰🥰</t>
  </si>
  <si>
    <t>bagus ramai seru. pasti kesitu lagi</t>
  </si>
  <si>
    <t>Bagus, seruu, menarik, minus makanannya mahal</t>
  </si>
  <si>
    <t>aksesnya mudah, karena sekarang serba online jadi harus reservasi sebelumnya. ups jangan lupa beli tiket dulu sebelum dateng ya, nanti ga bisa masuk haha</t>
  </si>
  <si>
    <t>Seneng banget bisa liburan di dufan. Walaupun di dufan rame bgt tapi petugas disana selalu mengingatkan utk selalu pakai masker, setiap wahana juga disediakan sanitizer. The best!</t>
  </si>
  <si>
    <t>proses pesan ecard dan reservasi mudah dan menyenangkan</t>
  </si>
  <si>
    <t>so far so good. saran semoga wahana untuk anak kecil usia 2 tahun diadakan sehingga tidak hanya melihat doang tapi menikmati wahananya. terima kasih</t>
  </si>
  <si>
    <t>penjelasan tiap pertunjukannya menyenangkan, sayangnya setiap ada atraksi kurangnya pengawas yg ada, jadi kurang nyaman tiap adanpertunjukan pasti ada anak2 yg maju</t>
  </si>
  <si>
    <t>Cepat, langsung scan qr code saja</t>
  </si>
  <si>
    <t>Simple cepat, semua serba cepat, tdk banyak antri, tinggal scan aja semua. Ada jg petugas yg bantu beri petunjuk.</t>
  </si>
  <si>
    <t>baik seru disana untuk menambah pengetahuan dan liburan</t>
  </si>
  <si>
    <t>okeh semua... mudah... top lah pokoknya</t>
  </si>
  <si>
    <t>menyenangkan sekali tempatnya adem bersih</t>
  </si>
  <si>
    <t>Semuanya sesuai dengan foto, dan prokesnya mantap hanya saja terlalu ramai kalo pergi pada saat akhir pekan atau libur nasional.</t>
  </si>
  <si>
    <t>Pemandangan bagus dan menarik, worth it. Namun jika naik shuttle sekali jalan dalam area dan naik ke atas patung perlu bayar.</t>
  </si>
  <si>
    <t>Semuanya sesuai dengan deskripsi foto foto diatas. Pokonya selalu ingin kembali lagi ke dufan. Semoga bulan depan bisa kesini lagi dengan keluarga lengkap</t>
  </si>
  <si>
    <t>traveloka membuat jadi mudah, tapi system dr dufan sendiri..ribet nilai plus..staff dufan smua ramah, cekatan dan sigap dan membantu selalu</t>
  </si>
  <si>
    <t>jujur ya tgl 5 nov 2022 sbnrnya seru tapi entah knp padetnya bukan main ga kaya biasanya..udah kek lautan manusia kayanya.pdahal msh bnyk banget wahana yg pengen dinaikin cm ga ckup wktunya krn kelamaan ngantri🥲</t>
  </si>
  <si>
    <t>semoga ke depannya dufan bisa jadi universal studionya Indonesia</t>
  </si>
  <si>
    <t>Seruuu</t>
  </si>
  <si>
    <t>menyesal sih datang ke seaworld dan ocean dream. tempatnya puanaaasss bangeeettt bahkan di dlm ruang animal shownya panas bangettt. apalagi atraksi lumba-lumba sangat sesak dan panas. gak betah lama-lama di dlm sana. kasian anak saya kepanasan</t>
  </si>
  <si>
    <t>Tolong review lagi mengenai antrian di tiap wahana pada saat weekend or long weekend</t>
  </si>
  <si>
    <t>tidak bisa dibuka</t>
  </si>
  <si>
    <t>klo bisa ada pembayaran manual</t>
  </si>
  <si>
    <t>mantap</t>
  </si>
  <si>
    <t>ANTRI PERMAINAN TIDAK MASUK AKAL..dr jam 11-6 sore hanya dapat 3 permainan..setiap permainan antri 2-3jam yang hanya untuk 5menit permainan saja..pihak dufan tidak memperhitungkan kapasitas yang masuk jadi sangat tidak worth to buy ticket harga tidak murah dengan pelayanan yang SANGAT MINUS &amp; kekurangan staff …</t>
  </si>
  <si>
    <t>Gak bisa melanjutkan pembayaran loading terus2an , padahal sinyal full</t>
  </si>
  <si>
    <t>Bintang dua dulu,,kalau di setuju payleter nya kasih bintang 5</t>
  </si>
  <si>
    <t>Naik level paylater.. tp limit diturunin logikanya dimana? Mikir2 dah klo pakai paylater Traveloka sistem gaje, ketauan pake paylater sebelah</t>
  </si>
  <si>
    <t>Terserah anda lah mau turunkan level jg GPP...yg penting saya amanah tetap bayar tepat waktu tanpa keterlambatan Untuk PT caturnusa sekedar saran saja jgn memandang konsumen dengan sebelah mata....belum tentu yg anda beri limit tinggi bisa amanah... yg terpenting adalah track recordnya. Gak pernah terlambat bayar yg seharusnya adalah prioritas.... semoga yg di beri limit adalah orang amanah.... jgn sampe di galbay orang yg anda percayai</t>
  </si>
  <si>
    <t>Semua promonya tak bisa dipakai, padahal memenuhi syarat.. berasa kena prank..</t>
  </si>
  <si>
    <t>Masa iya, karna masalah sistem padahal udah bayar masi dianggep belum bayar dan csnya susah skali nyambung. Telpon sampe 21 menit cuman iklan doang isinya. Cs wa ga bales, email ga bales, aplikasi jg ga bales. Gokil dah. Kita kan butuh ya</t>
  </si>
  <si>
    <t>Selamat siang sy sdh order 3 jam yg lalu dan sdh payment tetapi status pemesanan tidak muncul,apakah aplikasi ya sedang error?sy jg sdh cek hotel blm ada notifikasi ke pihak hotel perihal pemesanan. Mohon informasinya</t>
  </si>
  <si>
    <t>Saya sudah bayar hotel via gopay. Dana terpotong tetapi e tiket TIDAK terbit dan hotel TIDAK ADA MENERIMA pembayaran...pihak tiket com lambat respon. BAHKAN SULIT dihubungi. MOHON refund...Tks</t>
  </si>
  <si>
    <t>ga bisa kembalikan uang customer, mending di app sebelah</t>
  </si>
  <si>
    <t>Harga di aplikasi tidak sesuai dengan yang ada ditempat dalam kasus saya ini dihotel</t>
  </si>
  <si>
    <t>Fitur Bus dan Travel ngelagggg banget lemottt, goblog nih software engineernya</t>
  </si>
  <si>
    <t>Saya beli tiket bus, ternyata sudah habis disaat saya sudah selesai bayar online, lalu uang tidak balik, menghubungi costumer service nya hanya robot dengan chat otomatis, tidak membantu, hati hati kawan, yang saya ingin hanya jika ada masalah sistem, ganti rugi kepada pwnumpang</t>
  </si>
  <si>
    <t>Ribet</t>
  </si>
  <si>
    <t>Mau rechedulu sama refund aaja belibet bnget.... dijelasin rincipun yang baless bott</t>
  </si>
  <si>
    <t>gak pernah bosen sih kalo ke dufan tuuuhhh... seruuuu</t>
  </si>
  <si>
    <t>ga pernah ngecewain liburan kesinii</t>
  </si>
  <si>
    <t>semuanya bagus dan nyaman, hanya kurang petunjuk arah sehingga tidak semuanya dijelajahi dan waktunya terlalu singkat</t>
  </si>
  <si>
    <t>mudah untuk diaktifkan...</t>
  </si>
  <si>
    <t>sangat berkesan dan menyenangkan bgt di ancol serta gabungan tiket ke ocean park dan seaword nya juga loh guys... jgn sampai terlewatkan yah tiket dari traveloka yg cukup murce bgt temen2 hehehe itulah pengalamnku .. bgmn pengalamanmu???</t>
  </si>
  <si>
    <t>asik sekali bertemu ikan ikan, sekarang ada hiburan baru main craft gitu menambah kreatifitas anak</t>
  </si>
  <si>
    <t>tempatnya menyenangkan dan menghibur untuk anak anak</t>
  </si>
  <si>
    <t>pelayanan dan protokol kesehatan yg baik dan show2 yg menarik</t>
  </si>
  <si>
    <t>kemudahan dan bertransaksi dengan Traveloka bagus, dan tidak ada kendala di area SeaWorld Ancol sangat menyenangkan.</t>
  </si>
  <si>
    <t>aman, nyaman, selamat, enjoy...</t>
  </si>
  <si>
    <t>secara umum menyenangkan karena tdk terlalu padat dan prokes lancar</t>
  </si>
  <si>
    <t>Menarik, cerita dari gambar dan patung yang disajikan di Plataran Atas GWK sangat menarik. Anak saya senang melihatnya dan minta diceritain semuanya. Gelatonya juara. Di Plataran Bawah ada penampilan tarian Bali setiap jamnya. Sangat bagus, harga makanan juga terjangkau. Hanya saja penunjuk arah masih kurang jelas</t>
  </si>
  <si>
    <t>Ga ada tempat penitipan barang jadi yang bawa barang banyak dipikir pikir lagi, kalau ga mau cape harus beli tiket shuttle 40k/pax. Spot poto banyak tapi jauh jauh wkwkwkw</t>
  </si>
  <si>
    <t>udah masuk libur sekolah jadi padat, rame banget, ngantri satu permainan bisa 1jam</t>
  </si>
  <si>
    <t>semuanya sesuai dengan ekspektasi</t>
  </si>
  <si>
    <t>Mantap.... Setelah Covid semoga lebih baik lagi...</t>
  </si>
  <si>
    <t>Antriannya panjang banget dan banyak wahana maintenance, kereta misterinya baru buka jam 1 😭</t>
  </si>
  <si>
    <t>tingkatkan lagi</t>
  </si>
  <si>
    <t>Alhamdulillah refundnya cepat, terima kasih traveloka...walau akhirnya berganti jalur...</t>
  </si>
  <si>
    <t>Livestream nya jelek</t>
  </si>
  <si>
    <t>Terlaku lama nungggu otp..jancuk asuu</t>
  </si>
  <si>
    <t>Belum coba, baca2 ulasan disini isinya negatif semua...otw hapus aplikasi jadinya</t>
  </si>
  <si>
    <t>Choi zona d dll seenak</t>
  </si>
  <si>
    <t>Kerjaannya minta update terus</t>
  </si>
  <si>
    <t>Padahal selalu bayar cicilan payleter tepat waktu dan tidak pernah nunggak. Kenapa limit yg awalnya 7.200.000 jadi turun ke 4.800.000. Bingung juga, padahal selalu bayar tepat waktu loh saya.</t>
  </si>
  <si>
    <t>Daftar paylater udah selesai tp g ada kepastian di tolak ayo ACC selalu suruh daftar lagi</t>
  </si>
  <si>
    <t>Lebih umum umum hari hari ni memang tak ml</t>
  </si>
  <si>
    <t>Kenapa paylater tidak bisa di aktifin</t>
  </si>
  <si>
    <t>Kenapa fitur bioskop tidak ada lagi</t>
  </si>
  <si>
    <t>Mending bayar pakai kartu kredit atau debit, lupa pembayaran beberapa jam saja di telp dari pagi buta berkali2 seperti telat bayar 3 bulan</t>
  </si>
  <si>
    <t>Buat traveloka....survey dg benar setiap hotel yg dijual, jangan tidak tahu dg keadaan di lapangan.</t>
  </si>
  <si>
    <t>Bisa refund.. Tp yg di refund selisih harganya doang..semisal beli tiket PP 3 jt.. Di kasi opsi 3,5 jt bisa refund hingga 100%.. Konyol yg di refund cuma 500k selisihnya doang dr yg opsi 3 jt ga bisa di refund.. Minimal separo ato 1 jt ga ada masalah kalo promosinya refund hingga 100%... Uninstal.. 🙏🙏 Saya cuma tidak suka pembodohannya..</t>
  </si>
  <si>
    <t>Aplikasi Tidak Membantu Sama Sekali, Lebih baik uninstall aja lahh</t>
  </si>
  <si>
    <t>Kalau mau ambil uang orang ga usah berkedok jasa layanan, pesan hotel sudah berhasil(terbayarkan) tapi tiket ga muncul. Di hotel pun belum masuk. Hub via wa. Email. Telp pulsa pun susah ga bisa dihubungi. Anehhhhhhhhh Balikin uang orang woyyyyyy</t>
  </si>
  <si>
    <t>SUNGGUH MENGECEWAKAN, NO RECOMMENDED!!!! Saya pesan tiket pesawat buat 3 orang, sudah melakukan pembayaran lewat Klik BCA dan sudah berhasil pembayarannya, namun ETIKET sudah hampir 2 hari sampai saat ini tidak terbit, Telepon ke CS ga ada yang angkat, WA ke CS pun ga dibalas, DM ke IG ga ada yg balas juga,,mohon refund dana saya, karena nominal tiketnya besar,</t>
  </si>
  <si>
    <t>Nunggu buka pas klik pesan ada pembatasan 500 orang klik coba berulang ulang tau tau habis</t>
  </si>
  <si>
    <t>Bisa2 nya booking hotel h-7 ketika hari H diminta refund krn event berakhir tanpa pemberitahuan terlebih dahulu 👎👎👎👎</t>
  </si>
  <si>
    <t>parah lemot nya, mau ngetik aja kluar keybiard nya lambat</t>
  </si>
  <si>
    <t>APPS PALING JELEK YANG PERNAH GUA TEMUIN, TULISAN NYA BISA RESCHEDULE DAN REFUND KENYATAANNYA TIDAK BISA SAMA SEKALI</t>
  </si>
  <si>
    <t>lepas tangan masalah refund gudfest yang batal, tidak ada solusi, padahal beli tiketnya di aplikasi mereka</t>
  </si>
  <si>
    <t>Merugikan, pesanan bisa terjadi double di 1 maskapai dgn nama penumpang yg sama dan di hari dan jam yg sama. Konyol aplikasinya</t>
  </si>
  <si>
    <t>Apk TOLOL</t>
  </si>
  <si>
    <t>Aplikasi burik</t>
  </si>
  <si>
    <t>sebelum masuk dufan beli dahulu ticket by traveloka lebih simple dan cepat prosesnya. harga juga lebih murah heeee keren pokoknya</t>
  </si>
  <si>
    <t>semoga saat weekeday semua wahana bisa dibuka seperti weekend... karena weekend antrinya ner bener...</t>
  </si>
  <si>
    <t>bener bener seneng bgt kalo ke dufan tuh bawaanya happy happy</t>
  </si>
  <si>
    <t>Mantep banget beli di traveloka lagi big sale... 180an bisa annual pass dufan 1 tahun lohh… wahh gila sihhh... makasih traveloka udah bkin hati aku bahagia😘😘</t>
  </si>
  <si>
    <t>seperti biasanyaa, dufan emang seruu sih. tp agak sedih karena bulan mei kemarin tiket regulernya pada abis, jadinya terpaksa beli yg semi dan annual pass. padahal waktu itu kakak dan mamaku datang dari daerah jd agak rugi beli yg semi annual. tp mau gimana lg tiketnya pada abis, jarang-jarang ke jakartaa :")</t>
  </si>
  <si>
    <t>Masih dlm suasana libur lebaran, jd pengunjungnya lumayan rame bgt, antrian setiap wahana lumayan panjaaang... Yg penting keluarga tetap happy.</t>
  </si>
  <si>
    <t>penukaran tiket mudah, lokasi wisatanya seruu</t>
  </si>
  <si>
    <t>semuanya nyaman</t>
  </si>
  <si>
    <t>Sangat cocok buat wahana pengatahuan anak anak</t>
  </si>
  <si>
    <t>menyenangkan dan hiburan yg edukatif</t>
  </si>
  <si>
    <t>Harga lebih murah, dapet ptongan voucher juga tmbh murah. Proses cepat jadi masuk tinggal scan barcode saja. Thankyou</t>
  </si>
  <si>
    <t>Ramai lancar...</t>
  </si>
  <si>
    <t>berlibur di sea world sangat menyenangkan dan untuk edukasi juga baik. staff membantu</t>
  </si>
  <si>
    <t>sangat menyenangkan buat keluarga</t>
  </si>
  <si>
    <t>seneng sih ngajak anak² ke sini, ilmu pengetahuan dpt, dan bisa buat hiburan juga... seru liat ke norakan anak-anak...</t>
  </si>
  <si>
    <t>seru, menyenangkan dan sangat membantu</t>
  </si>
  <si>
    <t>cukup baik scr keseluruhan cuma perlu ditingkatkan petunjuk arah &amp; tempat parkirannya.</t>
  </si>
  <si>
    <t>proses pemesanan via traveloka mudah dan praktis. tapi Seaworldnya sekarang agak kurang terawat, ada beberapa akuarium yg kosong.</t>
  </si>
  <si>
    <t>tempatnya bagus, cuma tiap permainan ngantre, untung saya ke sana pas hari Jumat jadi gak terlalu lama ngantrenya</t>
  </si>
  <si>
    <t>Cukup menyenangkan, tapi untuk kebersihan kamar mandi nya kurang agak bau dan jorok</t>
  </si>
  <si>
    <t>tempat ok. hanya petunjuk yg kurang. antrian antrian tdk ada pengawasan jadi beberapa anak2 abg suka menyerobot masuk dgn alasan sdh di antrikan teman2nya.</t>
  </si>
  <si>
    <t>Alhamdulillah... dapet tiket Annual Pass harga epic saat epic sale di Traveloka. Pengalaman menyenangkan di Dufan, cuma untuk kebersihannya perlu ditingkatkan... Walaupun wahananya tidak dapat digunakan atau tidak beroperasi sebaiknya tetap dibersihkan agar tidak merusak pemandangan dan kenyamanan pengunjung.</t>
  </si>
  <si>
    <t>liburan seru bersama keluarga, next time kesini lagi</t>
  </si>
  <si>
    <t>sangat menyenangkan liburan di ancol ....</t>
  </si>
  <si>
    <t>Protokol kesehatan dijalankan dgn baik. Karena agak ramai ac kurang berasa dingin.</t>
  </si>
  <si>
    <t>sangat menyenangkan setelah sekian lama tidak ke seaworld akhrinya #kembalikeancol</t>
  </si>
  <si>
    <t>pengunjung yg membeli online diperhatikan dg aktivasi tiket.harusnya untyk mempertemukan tdk perlu aktivasi lg klo sdh membeli online. percuma saja membeli online klo hrs direpotkan dg aktivasi terutama jg membawa keluarga</t>
  </si>
  <si>
    <t>Tidak bisa cek tiket bus</t>
  </si>
  <si>
    <t>Virtual number paylater tidak bisa digunakan padahal limitnya byk katanya dg alasan keamanan gak ngerti keamanan apa, terus menu bioskop jg hilang ud gak ada lagi, mau bangkrut kali ya traveloka ini</t>
  </si>
  <si>
    <t>Oke sih</t>
  </si>
  <si>
    <t>Semoga bisa membantu</t>
  </si>
  <si>
    <t>Knp sich saldo uangku ditraveloka gk bisa ditarik ke no rekening lgi,coba tolong donk bisa penarikan lgi,</t>
  </si>
  <si>
    <t>Kemaren beli tiket pesawat pake paylater dgn tenor 3 bulan .terus 3 hari sebelum keberangkatan saya refund karena keluarga ada yg meninggal.eh pas di refund tetap bayar tagihan yg ke 3 padahal udah di refund.masa yg direfund cuma 2 bukan dan sisanya tetap disuruh bayar</t>
  </si>
  <si>
    <t>Pesan tiket katanya koneksi bermasalah Uda ganti hp ganti jaringan masa tetap tidak bisa</t>
  </si>
  <si>
    <t>Maaf, mohon kebijakannya untuk bisa mengganti nomor hp yang lama ke nomor yang baru, karena nomor hp yang lama sudah tidak aktif lagi, dengan mingirimkan kode otp nya ke email, bukan ke nomor hp, berikan dua opsi yang bisa dipilih pengguna untuk menerima kode otp 🙏</t>
  </si>
  <si>
    <t>Saya mau bayar tagian travelokapay di aplikasi kok gak bisa min?? Tolong di bantu</t>
  </si>
  <si>
    <t>Add sekz€CC see WC Xx GG CC hbv mi o2exrx. Ni Eddy sxd,xtcyg 🥰</t>
  </si>
  <si>
    <t>Di apk saya nggak muncul harga tiket pesawat di setiap tanggal</t>
  </si>
  <si>
    <t>Payah saya pengguna traveloka sudah lama .hampir 5 tahun .dan skrg saya sangat kecewa , sudah 4 bulan virtual number paylater tidak aktif tdk bisa di gunakan .padahal saya selalu rutin dan gk pernah telat bayar cicilan . Kalau kayak gini saya kecewa dan gk mau lagi pakai traveloka . Peecuma di kasih fasilitas paylater tp tdk bisa di gunakan apalagi pas keadaan urgent .payah payah makin kesini makin gk jelas traveloka .sudah kompalin ke cs ttp aja jawaban copy paste terus .payah</t>
  </si>
  <si>
    <t>maskapai Lion air, maskapai yg tidak profesional sering kali ada kendala, dan membatalkan penerbangan secara sepihak, mendadak dengan mengarahkan reschedule ke pada maskapai lain dengan menebus harga yg lebih mahal lagi. Tolong #Mentri BUMN BPK Erick Thohir# Di cek maskapai penerbangan Lion air nya sebenarnya ada problem apa, sudah sepantasnya BUMN membantu menyelesaikan masalah ini. Agar masyarakat nyaman menggunakan transportasi umum tersebut</t>
  </si>
  <si>
    <t>8 jl i7u UI Ki Julio</t>
  </si>
  <si>
    <t>Pembayaran berhasil, tapi skor masih rendah. Pembayaran via BRI BNI eror mulu yg ada hanya lewat mandiri dan BCA gmana sih</t>
  </si>
  <si>
    <t>Sudah pakai versi 3.86.0 tapi aplikasi gak bisa digunakan. Gimana ini traveloka,makin kesini bukannya makin bagus malah makin buruk.</t>
  </si>
  <si>
    <t>Saya ingin tanya kemarin saya chek in hotel 2 hari kerena saya salah tanggal akhirnya saya reschedule kenapa biayanya reschedule sama dengan 1 hari sya chek in tolong penjelasannya uang itu kemana, saya email call center gk ada penjelasan yang akuratt!!!!</t>
  </si>
  <si>
    <t>udah bayar tapi pembayaran gak masuk &amp; untung bisa refund. parah dah ni aplikasi bukan nya mempermudah malah repot, komplain yg jawab robot semua, telpin cs gak bisa. akhirnya dateng langsung ke hotel nya &amp; pas check in harga nya lebih murah dari di aplikasi ini</t>
  </si>
  <si>
    <t>Balikin uang orang, jangan ke blibli tiket points. Itu hak orang loh. Kesalahan bukan di customer, tapi anda yang telah menipu ribuan orang. Jgn sampe loh bangkrut karna banyak yang ngelapor. Saya aja termasuk orang yg sudah melapor ke kemendag masalah ini. Kalau lebih banyak lagi laporan masuk, mohon maaf perusahaan anda tinggal namanya saja.</t>
  </si>
  <si>
    <t>Harus nya hari ini saya bahagia sama anak saya tapi di hancurkan oleh tiket com, saya sudah pesan hotel, sudah dibayar, tapi dihotel tidak ada pesanan saya, saya dah urus ke cs dari email, wa, tlp semua ga ada kejelasan sampai skrg, uang saya kumpulkan lama dah habis sia2, saya kecewa dengan aplikasi ini, cs nya tdk ada 1 pun yang merespon, pengaduan ga berarti, kembalikan uang saya</t>
  </si>
  <si>
    <t>Kurang bagus lemot sekali pas mau mencari bus atau pesawat, Sinyal kencang ngebuka apk lain cepet cuman ini saja yang lemot sekali</t>
  </si>
  <si>
    <t>MENGECEWAKAN,BELI TIKET KERETA DARI JATENG KE JKK,UDAH KE BAYAR TAPI TERNYATA GAK ADA TIKETNYA,ALASANNYA STATUS TIMEOUT SAAT OEMBAYARAN,PADAHAL TRANSFER SUKSES,GILIRAN DI REFOUND,BER TELE TELE PROSESNYA,IKLAN NYA AJA YANG KATANYA CEPAT PROSESNYA,FAKTA NYA BEDA SAMA AKTUALNYA,STATUS REFOUND DARI TGL 22 MEI,DI UNDUR JD TGL 25 MEI,TGL 27 CEK APK,TERNYATA STATUS KADALUWARSA,TLP LG KE CS NYA,TERNYATA DI DAFTARIN ULANG UTK REFOUND,LUCU BANGET SIH,DUIT GAK SEBERAPA,CUMA GK ADA ITIKAD BAIK UTK PROSES!!!</t>
  </si>
  <si>
    <t>Udah booking Villa tiba" Dapet telpon buat dibatalin karena dengan alasan si Villa nya naik harganya.</t>
  </si>
  <si>
    <t>Ga di web ga di app bapuk ngestuck di pembayaran, customer care juga ga jelas, bener bener sampah</t>
  </si>
  <si>
    <t>Apklikasi kacauu baru di instal, mau pilih tiket , langsung Ngebug ga bisa klik taanggal dan tujuann</t>
  </si>
  <si>
    <t>mudah dan menyenangkan...</t>
  </si>
  <si>
    <t>makasih traveloka, yg harusnya bayar 580 untuk 2 org annual pass 6bln cuma bayar 350k aja huftt luar biasa pas bgt momentnya liburan anak sekolah. thanks bgt bgt bgt next semoga kebagian promo-promo lain yg luarrr biasahhh🤭</t>
  </si>
  <si>
    <t>masih terawat dan baik sekali untuk refreshing</t>
  </si>
  <si>
    <t>keren, dan pasti balik lagi...</t>
  </si>
  <si>
    <t>lewat traveloka kunjungan pertama gak perlu konfirmasi... asli deh jadi bikin makin gampang, gak pake ribet</t>
  </si>
  <si>
    <t>Sangat menyenangkan, tidak terlalu ramai, dan cuaca mendukung.</t>
  </si>
  <si>
    <t>Sangat mudah,tanpa antri untuk membeli tiket.Dan dpt diskon jg.</t>
  </si>
  <si>
    <t>sesuai deskripsi dan banyak fasilitas tersedia</t>
  </si>
  <si>
    <t>gampang dalam penukaran barcode dan keamaan terjaga</t>
  </si>
  <si>
    <t>bagus mantap untuk liburan lagi</t>
  </si>
  <si>
    <t>keren sih... mantap tempatnya...</t>
  </si>
  <si>
    <t>cukup menyenangkan tapi agak kecewa karena setengah hari hujan dan antrian yang panjang sehingga hanya bisa menaiki 5 wahana saja</t>
  </si>
  <si>
    <t>sedikit tidak terawat, terutama rumah boneka. Kotor sekali di dalam + banyak sarang laba-laba. Boneka cemong debu jadi agak creepy di dalam 😂</t>
  </si>
  <si>
    <t>ya bagus lah seaworld. cuman kurang variatif aja, perkembangannya perlu ditingkatkan lg.</t>
  </si>
  <si>
    <t>Kalo aku pribadi yg first kesana, agak kaget sih ngga seperti yg aku bayangin hahahaha masih oke kok untuk dikunjungi, cm sayang aja toiletnya kurang bersih kurasa agak beraroma menyengat di hidung dan itu ngga enak banget terkesan kotor🙏😊</t>
  </si>
  <si>
    <t>Menjadi mudah</t>
  </si>
  <si>
    <t>TERLALUS SERING UPDATE</t>
  </si>
  <si>
    <t>Mau pesan tiket.. dan bayar paylatter tapi aplikasi traveloka halamannya diklik pada kosong. Tolong dibantulah</t>
  </si>
  <si>
    <t>Bintang 2 dulu deh buat app ini, nyesel daftar paylater disini.. udh approve limit gede tapi gak bisa dipake dengan alasan kebijakan pihak paylater nya, mending traveloka aja semua nya gampang.. varian hotel juga di app ini dikit bgt gak kaya traveloka, ribet dah sumpah.. baru pertama kali ini nemu app travel yang seribet ini.</t>
  </si>
  <si>
    <t>Mau pesan tiket buat nonton Piala AFF U19, kenapa gk bisa buat bayar yah..? Tolong dong perbaiki..</t>
  </si>
  <si>
    <t>Belum update stasiun Cikarang kah?</t>
  </si>
  <si>
    <t>Parah banget cuk mintak kode verifikasi aja lama dari pihak tiket. Com terus kenapa pengajuan refund pihak sriwijaya 1hari sebelum hari keberangkatan sih kecewa banget</t>
  </si>
  <si>
    <t>Bintang: 2,Score: 8</t>
  </si>
  <si>
    <t>Mengapa harga yang tertera tidak sesuai ketika ketika melanjutkan di pembayaran. Khususnya Citilink. Contoh Yang tertera 4,5Jt utk dua orang pas pembayaran 10jt. Tolong donk diperbaiki, jangan menipu. Gk gitu juga caranya.</t>
  </si>
  <si>
    <t>Tiket udh dibayar tiba tiba dibatalkan, mau di reschedule malah aplikasi gangguan terus. Ini gimana nih?</t>
  </si>
  <si>
    <t>Kasih dua bintang dulu..</t>
  </si>
  <si>
    <t>Tolong di mengerti</t>
  </si>
  <si>
    <t>26 April 2023 saya pesan kamar di salah satu hotel di Cirebon. Biaya kamar sudah saya lunasi pada jam 17:37. Tak lama, Pemilik penginapan kirim pesan WA ke saya pada jam 18.32 menginfokan bahwa hotel sudah penuh. Pertanyaan saya: kenapa aplikasi Traveloka bisa kecolongan, menjual kamar yang sudah penuh? Ataukah pemilik penginapan yang tidak komitmen dengan Traveloka? Apapun itu, yang dirugikan saya karena pihak hotel hanya akan mengembalikan uang sebesar yang dia terima dari Traveloka.</t>
  </si>
  <si>
    <t>Pesan antar jemput bandara , tulisannya sudah all in(bensin,surcharge, tol) tapi ditagih sama petugas tiket di halim katanya di apps gk update, gk ada pilihan komplain atau review buat armadanya jadi tiket aja yg sy komplain, makasi</t>
  </si>
  <si>
    <t>Tidak bisa batalkan pesanan, apk rusak</t>
  </si>
  <si>
    <t>Saya pesan tiket di tanggal 5 agustus namun tidak ada pemberitahuan kalau sistem lagi bermasalah, saya memilih metode pembayaran shopeepay, tetapi etiket tidak terbit, lalu pesan lagi pakai metode atm transfer, tetap sistem error dan e tiket tdk terbit. Mau refund mesti bolak balik tlp cs berkali2, pas refund disetujui, eh metode pembayaran gak sesuai dengan nomor rekening yang saya ajukan, bahkan bukan nomor rekening sy sama sekali, jadi mesti telpon csnya lagi buat komplain. Kecewa sekali</t>
  </si>
  <si>
    <t>Udah bayar, e - tiket ga muncul2. hubungi CS gaada respon sama sekali.</t>
  </si>
  <si>
    <t>CS tidak solutif</t>
  </si>
  <si>
    <t>Tidak rekomendasi banget Sumpah</t>
  </si>
  <si>
    <t>temanku jdi korban g bisa refund uangnya padahal yg cancel maskapainya. tidak recommend👎</t>
  </si>
  <si>
    <t>Lebih murah dan fleksible di applikasi lain. Mohon maaf saya mau pindah beli di tempat lain saja. Terakhir x saya beli disini. Abis ni mau un install.. BYE</t>
  </si>
  <si>
    <t>Kurang peduli terhadap komplain customer.</t>
  </si>
  <si>
    <t>pokoknya manteppp... dgn aplikasi traveloka tidak sulit. bener-bener easy... cuma sayang banget di Dufannya hanya sampai jam 17.00 semua permainan selesai... padahal antrinya banget2... semoga next bisa lebih lama close ya...</t>
  </si>
  <si>
    <t>Secara keseluruhan bagus. Yg bikin kecewa cuma operator mobil senggol. Aturannya adalah anak max 125cm ga boleh didampingi. Pada saat antri namanya anak-anak mana tau konsep antri. Ada yg tadi di depan trus pindah ke belakang. Ada yg maju trus mundur pokoknya kelakuan anak-anak lah. Si operator ga ada urusan dia terus buka pintu anak-anak yg duluan masuk lah yg maen duluan. Alhasil anak saya yg duluan antri ga dibolehin masuk karena kuota dah penuh. Padahal dia yg ngukur anak saya dan anak saya cowok sendiri masa dia bilang ga tau! Trus saya protes. Dia bilang nanti pas closingan. Enak aja orang disuruh antri tapi suka-suka dia masukin orang.</t>
  </si>
  <si>
    <t>tanggal merah rame euyyy</t>
  </si>
  <si>
    <t>karena anak ku masih kecil jadinya cuma bisa naik perahu istana boneka</t>
  </si>
  <si>
    <t>cepat, praktis dan mudah tinggal scan barcode</t>
  </si>
  <si>
    <t>semua staffnya udah paham jadi tinggal scan aja, lumayan lebih hemat dibanding beli di tempat lain</t>
  </si>
  <si>
    <t>lebih efisien tidak mengantri lagi</t>
  </si>
  <si>
    <t>seruu, harus sabar ngantri aja kalo dateng di hari-hari tertentu dan beberapa wahana tertentu. selebihnya asik. fasilitasnya oke, recommended untuk liburan 👌</t>
  </si>
  <si>
    <t>Bener-bener easy access. Thanks traveloka</t>
  </si>
  <si>
    <t>Informasi untuk mengaktifkan kartunya sangat jelas dan pada saat di lokasi tidak ada hambatan.</t>
  </si>
  <si>
    <t>Beberapa wahana harusnya diberikan atap/tenda untuk pengunjung yg antri sangat panjang, seperti histeria dan kora-kora yg banyak peminatnya. Histeria sendiri saya antri sampai 2jam, demi bermain histeria yg cuma 1 menit. Dan jam tutup wahana yg terlalu cepat jam 5, saat udah pas jam 5 pengunjung banyak antri ke toilet sebelum pulang, yg disayangkan air di seluruh toilet dimatikan. Mohon pihak manajemen memperhatikan hal ini, wahana mungkin boleh tutup jam 5, tapi pengunjung masih rame di dlm, harusnya air di toilet jgn dimatikan juga jam 5, in case apabila ada yg kebelet buang air besar/kecil sangat merepotkan mengingat jarak yg lumayan menuju parkiran.</t>
  </si>
  <si>
    <t>Alhamdulillah sudah endemi, tidak diwajibkan lagi masker untuk pengunjung ancol dan Seaworld, lebih cepat dan hemat beli di Traveloka</t>
  </si>
  <si>
    <t>Memuaskan, pembelian tiket sangat mudah di traveloka, proses masuk ke seaworld jug cepat, gak pake antri dan kebersihannya oke bgt..</t>
  </si>
  <si>
    <t>Mudah proses pembelian dan valid waktu check tiket</t>
  </si>
  <si>
    <t>Sangat menyenangkan disiniii</t>
  </si>
  <si>
    <t>udah lama gak main kesini banyak perubahan bagus, lokasi pantai barunya oke banget + jauh lebih bersih, prokes tetap aman di seluruh tempat, weekday jauh lebih kosong dibanding weekend.</t>
  </si>
  <si>
    <t>mantap, ga nyesel liburan disini, beli tiketnya di traveloka</t>
  </si>
  <si>
    <t>Happy bangett... seru... rame... sangat antusias sekali</t>
  </si>
  <si>
    <t>Seru bisa melihat pertunjukan tari kecak di GWK. Tempatnya bagus, luas dan juga sangat menarik.</t>
  </si>
  <si>
    <t>traveloka sangat membantu bgt &amp; murah. cuma di gwk ini masi banyak bgt wisatawan yg bingung. antara tempat parkir sama pembelian tiket. alhasil banyak bgt yg harus jalan kaki naik turun bulak balik karena bingung.</t>
  </si>
  <si>
    <t>Seruuuu new experience disarankan weekday kesininya ya ges biar wahananya dapet semua</t>
  </si>
  <si>
    <t>Menyenangkan, kenangan yang manis.</t>
  </si>
  <si>
    <t>tolong sediakan toilet bersih n jongkok</t>
  </si>
  <si>
    <t>kebanyakan penjual makanan cuma bisa cash.</t>
  </si>
  <si>
    <t>Nice cepet juga, pertama kali pesen online jadi kita ga perlu ngantri lagi</t>
  </si>
  <si>
    <t>untuk proses pembelian dengan traveloka semua berjalan lancar, tapi seharusnya diinfokan di awal bila beli annualpass tahunan atau 6bulan, jangan terlalu mepet dengan hari kedatangan, karena bila tidak diaktivasi sampai hari kedatangan, maka annual pass dianggap tiket reguler saja. untuk yg mau beli saran aja jauh2 hari sebelum kedatangan, satu lagi, agak kecewa si sama pilihan fastracknya dufan, kita sama2 punya tiket untuk main wahana, tapi masih aja jual tiket fasttrack buat menghindari antrian. padahal wahana sama, tempat duduk/tempat bermain wahana sama, tapi antrian panjang malah dijual dengan istilah fasttrack. antrian reguler kan sama2 bayar tiket masuk.</t>
  </si>
  <si>
    <t>permainan pd tgl 24 september banyak yg tdk berfungsi. banyak jg maenan yg sudah terliat tua. butuh perbaikan</t>
  </si>
  <si>
    <t>syg bngt penyu besar udah ga ada, membosankan bngt seaworld skrg, butuh perbaikan dan pembaharuan. cm 10 mnt disini udah rasa ga ada apa2 lg, lsg pindah ke ocean dream,,setidaknya ada atraksi disana.</t>
  </si>
  <si>
    <t>redeem voucher berbelit-belit, petugas-petugasnya jutek-jutek dan tidak ramah</t>
  </si>
  <si>
    <t>Tolong untuk memperbaiki sistem yg eror saat pemesanan tiket kereta</t>
  </si>
  <si>
    <t>aplikasinya agak lemot</t>
  </si>
  <si>
    <t>Mahal ngga kayak sebelah 😁</t>
  </si>
  <si>
    <t>sangat membantu disaat butuh informasi tiket sblm bepergian</t>
  </si>
  <si>
    <t>antrian terlalu lama, jam tutup juga terlalau singkat. sehingga tidak semua wahana permainan dapat digunakan</t>
  </si>
  <si>
    <t>Aplikasi ini knpa sih kok kyaknya bbrpa hri mau cek hotel gak bisa dlam perbaikan trss..makin lama kok makin kayak gini🤨</t>
  </si>
  <si>
    <t>Bagus jg</t>
  </si>
  <si>
    <t>Pemesanan via aplikasi cukup mudah, tetapi...</t>
  </si>
  <si>
    <t>Maaf untuk admin mau cari penerbangan dari mancanegara kok gak ada semua ya atau bagaimana</t>
  </si>
  <si>
    <t>Nq di UI UII ppll0</t>
  </si>
  <si>
    <t>Mohon diperbaiki untuk live stremingnya. Lebih berat ketimbang youtube</t>
  </si>
  <si>
    <t>Kasih bintang 2 dulu deh soalnya saya ngajukan paylater 2 kali tapi tidak di setujui juga,mohon di perhatikan dengan baik ya</t>
  </si>
  <si>
    <t>Tolong pihak tiket. Com saya hampir tiap hari menanyakan di cs lewat WA tp jawaban nya sama.. Soal refund saya yg di akibat kan ppkm yg mendadak.. Saya sudah rugi di Pcr yg begitu besar nominal nya bagi saya.. Sampe skrg anak saya butuh dana buat berobat ini uda seminggu lebih tapi jawaban dengan sama di prioritaskan tapi alhasil blom ada jawaban conkrit nya.. Kami sudah dalam masalah kesulitan tolong dibantu...</t>
  </si>
  <si>
    <t>Kasi 2 bintang⭐⭐ aja dlu, karena tiba tiba Paylatter sy di non aktifkan tanpa ada pemberitahuan, pdhl gak pernah nongak,</t>
  </si>
  <si>
    <t>Lemott bangetttt padahal wifi on , paraaahhhh, tolong di perbaiki dong</t>
  </si>
  <si>
    <t>Harga kok harus pas ya misalnya 1juta500ribu 457 gak bisa 1juta501 ribu gitu??</t>
  </si>
  <si>
    <t>Aplikasi yg sangat menyusahkan ada layanan prmbayaran tp pas neriamrka kita harus tebak tebak bnyal pertanyaan hotel nya g ada udah tranfer uanv nya malah hilang jangan sekali kali tranfer uang keluar lemnalinya susah. Bukan mepermudah tp malah bikin rumit hati hati jangan asal tranfer</t>
  </si>
  <si>
    <t>SANGAT KECEWA, PESAN TIKET BIS tgl 03 oktober malah jadi 04 oktober, dan tidak bisa refund atao rescedule, SANGAT MERASA DIRUGIKAANNNNNNNNNNN, semoga cepat HANCUR</t>
  </si>
  <si>
    <t>Aplikasi ini menjebak. Harga tidak konsisten. E tiket atanya 15 menit jadi, tapi sehari pun belum jadi. Di aplikasi sudah bisa check ini, dibandsra ternya belum. Buat susah ini aplikasi. Pantes peminatnya kurang. Info aplikasi lain dong gaes yang berguna dikit</t>
  </si>
  <si>
    <t>Tidak bisa bicara dengan Customer servis manusia, cuma diarahkan dengan BOT</t>
  </si>
  <si>
    <t>Mohon maaf iklan aplikasi nya dihapus aja karena adek ku pas main ff terganggu adik aku nangis mulu karena iklan nya</t>
  </si>
  <si>
    <t>Pake Shopee later tidak muncul</t>
  </si>
  <si>
    <t>Kacau lah, cs nya gaada yg fast respon. Mana proses pemesanan dibuat rumit, sangat ga memudahkan</t>
  </si>
  <si>
    <t>APLIKASI TOLOL DANA GA BALIK ASU</t>
  </si>
  <si>
    <t>Katanya anggota tier diamond lebih prioritas tapi pelayanan CS nya slow respon banget ya, semakin kesini semakin ancur nih pelayanannya</t>
  </si>
  <si>
    <t>Tidak responsif terhadap scammer promoter konser</t>
  </si>
  <si>
    <t>Pelayanan sangat buruk. Penerbitan e tiket saja harus nunggu 3 jam. Refund juga sangat lama. Ujung2nya zonk semua. Rugi pesan di app ini.</t>
  </si>
  <si>
    <t>semuanya sesuai dengan apa yg di foto, dan wahana-wahana permainan juga seru-seru</t>
  </si>
  <si>
    <t>Liburan sama ayang🐹💜 sangattt menyenangkan</t>
  </si>
  <si>
    <t>Dateng pas weekend emang rame bgt. Tapi hampir semua bisa dinaikin. Next dateng lagi buat naikin semuanya</t>
  </si>
  <si>
    <t>kereta misteri seruu, halilintar seru juga</t>
  </si>
  <si>
    <t>Antrian sangat banyak, sehingga tidak bisa menikmati semua wahana… Saran: jam buka lebih awal, jam tutup lebih malam lagi…</t>
  </si>
  <si>
    <t>seruuu... asik banget ❤️</t>
  </si>
  <si>
    <t>Di saat kami tiba di gerbang Ancol, oleh petugas penyambut kedatangan konsumen disana, kami ditanya apakah kami sudah membeli biaya masuk ke Ancol dan sudah membeli tiket parkir kendaraan. Kedua pertanyaan tersebut membuat kami terhenyak, karena menyadari bahwa di Traveloka kami hanya membeli tiket wahana saja, alih alih membeli tiket bundling berupa : Tiket Parkir, Tiket Masuk Wilayah Wisata Khusus Ancol dan Tiket Wahana yang dipilih untuk kami akan kunjungi. Petugas penyambut kedatangan di Gate Ancol lalu memberi kami tips untuk ke Ancol yaitu "membeli di situs Ancol saja, sudah bundling n tersedia". Alhasil kami tambah bayar 25 rb per orang untuk masuk wilayah wisata khusus Ancol dan 30 rb per mobil. Demikianlah pengalaman kami yang fantastis, semoga bermanfaat.</t>
  </si>
  <si>
    <t>Shownya memuaskan banyak yang bisa dinikmati</t>
  </si>
  <si>
    <t>harga lebih murah dibandingkan beli langsung</t>
  </si>
  <si>
    <t>Oke banget seaworld</t>
  </si>
  <si>
    <t>Sungguh menyenangkan! Tidak sabar untuk liburan kembali</t>
  </si>
  <si>
    <t>Sangat sangat sangat puas. Mantaaap</t>
  </si>
  <si>
    <t>Happy bangeeet main ke seaworld prosesnya juga cepet banget pesan melalui traveloka gak pake ribet</t>
  </si>
  <si>
    <t>saya merasa nyaman di sini, banyak memberikan edukasi dunia bawah laut kepada anak saya</t>
  </si>
  <si>
    <t>sangat bagus...</t>
  </si>
  <si>
    <t>Sebetulnya tempatnya menarik. Namun saat hujan banyak genangan2. Saat itu banyak pengunjung. Namun lama sekali menunggu mobil yg akan membawa kami mendekat patung. Ada banyak mobil service diparkir, namun menurut staf itu disediakan untuk panitia G20. Jadi mereka lebih penting dari wisatawan. Padahal beberapa pengunjung sdh lansia.</t>
  </si>
  <si>
    <t>tidak semua permainan yang aktif ...pingin coba arum jeram tapi close</t>
  </si>
  <si>
    <t>Tidak terlalu ramai, rides seru, namun banyak rides yang ditutup</t>
  </si>
  <si>
    <t>Sesuai dengan yang ada. Mantap, bagus.</t>
  </si>
  <si>
    <t>mungkin kalo antriannya tidak terlalu mengular akan menyenangkan</t>
  </si>
  <si>
    <t>awalnya agak repot pada saat masuk karena pd saat redeem tidak mendapatkan email balasan untuk e tiket jadi pada saat masuk sempat drama2 sedikit dengan petugas pintu masuk sempat emosi dan tunujukan tiket pembelian di traveloka alhamdullilah bisa masuk</t>
  </si>
  <si>
    <t>harga terjangkau, tetapi blm termasuk tiket kendaraan ya, hanya tiket masuk ancol utk per orang, selebihnya menyenangkan, dan proses redeemnya cepat. terimakasih traveloka</t>
  </si>
  <si>
    <t>Seaworld sekarang hiu nya agak kecil2. Tidak sebesar hiu di saat dulu saya ke seaworld. Tapi anak saya enjoy sih melihat ikan2 disana krn baru pertama kali saya ajak ke seaworld</t>
  </si>
  <si>
    <t>Keren bisa melihat biota laut yang tidak pernah dilihat dimanapun. Pokoknya indah deh, namun kedepannya perlu diperhatikan pengunjung yang datang seharusnya diberikan batas maksimal supaya tidak penuh dan lebih menikmati lagi 😎♥️</t>
  </si>
  <si>
    <t>seaworld ancol terlihat kotor dan tidak terawat... atraksi belum ada perubahan yg ada malah pengurangan dr 2 thn lalu... suasana kusam dan tdk segar</t>
  </si>
  <si>
    <t>bingung sama sistem penjualan tiket, membludak sekali pengunjungnya. sampe gak niat masuk lagi. sistem penjualan tiket diperbaiki, jgn gak ada kuota per day nya, alhasil gak jd masuk karena antriannya ngeri.</t>
  </si>
  <si>
    <t>lumayan tp acaranya dari dulu sampai sekarang gak ganti ganti</t>
  </si>
  <si>
    <t>tiketnya terlalu mahal, fasilitasnya yg didapet sedikit. ikan-ikannya berkurang jauh dari sebelum sebelumnya. saran mungkin ditambah wahana atau pertunjukan. hadiah yg didapet cuma sticker, sran msaya boneka ikan. terima kasih</t>
  </si>
  <si>
    <t>Harga setiap Jamnya selalu berubah², tapi ini aplikasi paling terpercaya</t>
  </si>
  <si>
    <t>Atxubom.</t>
  </si>
  <si>
    <t>Bintang 2 dulu, karna pesan hotel tdk bisa pakai paylatter, awalnya bisa dan bayar sebelum japo. Kesana nya malah ga bisa. Jadi ga berfungsi adanya paylatter.</t>
  </si>
  <si>
    <t>Tolong banget. Uang refund kenapa belum di transfer sampai saat ini? Saya sudah ditagih orang tua. Tolong respon nya</t>
  </si>
  <si>
    <t>;/ . c m4.z,6</t>
  </si>
  <si>
    <t>Aplikasi tdk bisa di buka, nge stack di logo nya saja,, sdh hapus trs instal ulang bisa buka, tapi setelah beberapa hari nge stack lagi di logo</t>
  </si>
  <si>
    <t>Ternyata memang bener. Harga hotel di Traveloka lebih mahal dari aplikasi sebelah. masuk ke traveloka pengen tau aja apa mmng bener lebih murah? Ternyata jauh lebih mahal ya. nah pegawai Traveloka coba deh cek sendiri.Ntar dikira customer ngadi ngadi.thanks</t>
  </si>
  <si>
    <t>Apaan Harga Setelah Di Klik berbeda dari Harga Awal .</t>
  </si>
  <si>
    <t>Kok mau cari tiket kereta solo-semarang kok ga bisa ya... Mohon di bantu/dijelaskan</t>
  </si>
  <si>
    <t>Saya kecewa sama aplikasi Traveloka, penerbangan saya di tunda 1 hari oleh maskapai lion air padahal saya udh dtng 2 hari sebelum berangkat. jadi saya gak jd berangkat. Saya refund tp saya cuma di kembalikan setengah dari harga tiket. Seharusnya full dong ,itu juga saya harus nunggu 14 hari biar uang kembali. Kecewa banget</t>
  </si>
  <si>
    <t>Ngajuin refund, estimasi refund 600rb'an. Ngecek aplikasinya lagi besoknya. Eh taunya proses rafund otomatis dibatalkan sama aplikasi (kalo ga ngecek lagi hangus uang saya). Ngajuin refund lagi. Estimasi refund jadi 300rb'an karena beda hari. Langsung di setujui. Mantap.</t>
  </si>
  <si>
    <t>Kurang bagus, hotel penuh di bilang masih bisa, giliran udh bayar gakbisa mna uang dah masuk gak lagi" dah saya ke sini, gak bagus uninstall</t>
  </si>
  <si>
    <t>kurang lengkap ah cuma hotel sama pesawat doang,, harusnya kasih untuk kapal laut juga biar lebih komplit</t>
  </si>
  <si>
    <t>Susah bgt mw hubungin cs nya, yg jawab sistem mulu gimana mw nyelesain masalah kalo yg jawab aja bot. Orang nya pada kemana ???</t>
  </si>
  <si>
    <t>Saya pesan tiket Psis vs arema tribun timur sejumlah 125k tetapi ticket tidak keluar, saya sudah minta refund katanya 5 hari dan ini masih belum ada uangnya di rekening saya.. tolong kembalikan uang saya!!!</t>
  </si>
  <si>
    <t>Respon lamaaa</t>
  </si>
  <si>
    <t>Jgn guys download ini ga amanah,tiket Angus pdhl udh di bayar malah gaada tiket nya jgn percaya deh</t>
  </si>
  <si>
    <t>Pembayaran sudah di lakukan tapi tidak dapa etiket ataupun pesanan terkonformasi telah di bayar bagai mana ini, cs pun tidak dapar di hubungi</t>
  </si>
  <si>
    <t>Cs nya tidak bisa dihubungi</t>
  </si>
  <si>
    <t>Cobain sendiri aja pakai aplikasi ini dan rasakan pengalaman yg sangat luar biasa. Sudah booking sebelum berangkat. Perjalanan jauh. Ditengah perjalanan dikabari villa nya sedang ada perbaikan. Booking lg villa yg lain lewat aplikasi ini juga.. Datang malam. Begitu sampai di villa. Ternyata sudah ada yg nempatin duluan. Akhirnya cari hotel seadanya aja. Aplikasi yg sangat luar biasa</t>
  </si>
  <si>
    <t>Untuk pembayaran loding terus ? klw pake aplikasi ticket com.klw pake aplikasi kaya kredivo ko lancar jadi kecewa jadinya nih pake aplikasi ticket com</t>
  </si>
  <si>
    <t>sangat menyenangkan bermain dan menghabiskan waktu di dufan</t>
  </si>
  <si>
    <t>sangaatt seruuu bermain di dufan ketika tidak ramai, namun ketika ramai lebih sering mengelus dada</t>
  </si>
  <si>
    <t>Wahana barunya seruuu... sekarang annual passnya juga pakai E Card jadi ngga perlu antri lagi buat bikin Annual Card nya</t>
  </si>
  <si>
    <t>baguuusss seruuu asikkk</t>
  </si>
  <si>
    <t>Gooddd sangat membantu tidak ribet sat set jadi harga selalu ada potongan</t>
  </si>
  <si>
    <t>pemesanan tiketnya mudah, seneng main ke sea world ancol</t>
  </si>
  <si>
    <t>sea world itu tempat paling unik untuk anak kecil berimajinasi. sampai saat ini aku merasa kembali pada masa kecilku saat itu. tempatnya tidak banyak berubah, namun kesan nostalgianya terasa. semoga anakku jg merasakan imajinasi yg luar biasa tertinggal di sini.</t>
  </si>
  <si>
    <t>mantab, sayangnya saya gak beli bundling SeaWorld + ocean dream samudra, maklum baru pertama kali beli tiket online (traveloka). next time beli paket bundling SeaWorld + ocean dream samudra. terima kasih traveloka harganya murah beli online disini</t>
  </si>
  <si>
    <t>menyenangkan sangat. oke banget daah</t>
  </si>
  <si>
    <t>sayang sekali sekarang sudah tidak ada touch poolnya</t>
  </si>
  <si>
    <t>Menyenangkan, dan juga ga perlu repot</t>
  </si>
  <si>
    <t>antrian cepat, petunjuk mudah dan jelas, sangat membantu👍🏻</t>
  </si>
  <si>
    <t>mudah sekali. langsung masuk tanpa antri</t>
  </si>
  <si>
    <t>harga tiket terlalu mahal, tanpa aktrasi dan melihat museum, jika ingin ke atas bayar lagi 250k .. wow harga tiket yg sangat fantastis</t>
  </si>
  <si>
    <t>Terlalu peruntukannya ya ternyata beli tiket ditraveloka disana harus beli lagi tiket untuk bus antar kelokasi ada tiket lagi buat ke festival. Trus pas hujan boleh pinjam payung tinggalin ktp. Bawa anak gak punya ktp ya gak dpt payung, kaku banget aturannya.</t>
  </si>
  <si>
    <t>Dufan memang selalu menyenangkan. 1 hari tidak akan pernah cukup untuk mencoba semua permainan.</t>
  </si>
  <si>
    <t>semuanyaa sesuai ekspektasi, ga cmn sekali ke dufan udh berkali kali dari dulu smpe punya annual pass 3 kali. tapi baru tadi aku gasuka pas mau naik arum jeram dilarang oleh petugasnya karna udh tutul pdhl baru saja tutupnya dan kita udh bilang didalem emg ditungguin klg tapi ttp aja ga dibolehin. namanya juga kita bayar masa dilarang jd kecewa ja</t>
  </si>
  <si>
    <t>Masih oke hanya perlu lebih baik dalam perawatan di semua area dufan</t>
  </si>
  <si>
    <t>bagus seaworld buat ank2.. mmg agak gelap tp smua ok..</t>
  </si>
  <si>
    <t>kalau bisa lebih diperbanyak lagi area destinasinya buat tidak terkesan elit banget dan sediakan juga tempat peristirahatan untuk terik matahari</t>
  </si>
  <si>
    <t>belanja makanan gak bisa byr online sewa kendaraan sedikit</t>
  </si>
  <si>
    <t>untuk karyawan yg handle di depan jutek. minta dibantu untuk scan e-card malah dijutekin dan diusir tanpa solisi</t>
  </si>
  <si>
    <t>peta wahana akan lebih menarik dan mudah dipahami jika ditambahkan ilustrasi wahana yg lebih fresh dan fun. antrian di wahana perlu diperhatikan agar tidak berkerumun terlalu padat dan sistem sirkulasi yg lebih baik di area-area yg ramai</t>
  </si>
  <si>
    <t>Knpa jad gangguan terus traveloka, keterangnnya belum update pdahal udah update. Tolong secepatnya diperbaiki</t>
  </si>
  <si>
    <t>Jujur ya aplikasi ini sangat membantu dan saya pengguna paylater nya Tapi selama sebulan terakhir ini saya tidak bisa menggunakan paylater nya.. Sangat mengecewakan.. Saya tidak pernah telat dalam pembayaran paylater. Bahkan saya mendapatkan limit 30jt Tolong di perbaiki lagi dalam sistem pembayaran paylater nya. Terima kasih</t>
  </si>
  <si>
    <t>Waktu liburan sekolah ya.. mungkin sangat padat pengunjung yg ke ancol .. harusnya kami bisa lewat pintu barat tpi saat itu tiba” dialihkan ke pintu carnival terjadi antrian panjang sekali.. dari carnival sampe ke seaworld itu 4 jam … sangat kecewa sekali. Harusnya penjaga depan menanyakan tujuan kemana , harusnya yg hendak ke seaworld harusnya bisa dong lewat pintu barat.. kami beli tiket bundling 3 rekkreasi .. seaworld , bird land dan samudra .. ketika di samudra whana udah tutup semua bahkan saat itu masih jam 15.30 tpi wahana udah g boleh dinaikin.. sangat aneh sekali.. jadi cuma bisa liyat lumba” saja .. sayang bgt kan tiket mahal” … kapok mIj kesini.. petugasnya g jelas</t>
  </si>
  <si>
    <t>wahananya kurang dan susah nyari petugas buat nanya arah</t>
  </si>
  <si>
    <t>Penarikan saldo dari Blipay sudah hampir 1 minggu dananya tidak masuk rekening</t>
  </si>
  <si>
    <t>Gak bisa di Gunakan</t>
  </si>
  <si>
    <t>Pesen hotel tapi lokasi tidak sesuai, saya di sasarin malah ke kebon teh. Jalannya batu², becek, sampe hampir jatoh, kepeleset. Bener² deh yaaa.. mapss nya nga akurat. Saya saranin pake google aja deh liat nya, jgn sembarangan percaya sama titik lokasi takutnya nga sesuai. Sampe nangis trauma bgt di jalan, bener² takuttt bgt..</t>
  </si>
  <si>
    <t>Agak lucu, ketika kita bayar tagihan paylatter padahal semalem belum ada denda tapi sekarang di tagih denda, bukan masalah nominal but sistem nya harus di perbaiki lagi update nya harus cepat!!!</t>
  </si>
  <si>
    <t>Pengembalian dana tiket pesawat saya blm di kembalikan sampai sekarang</t>
  </si>
  <si>
    <t>kasih 2 dulu klok bagus ok tambah</t>
  </si>
  <si>
    <t>Saldo paylater hilang,dan disuruh masuk email lg malah tambah sulit</t>
  </si>
  <si>
    <t>baru mau coba,kata teman teman aplikasih ini bagus</t>
  </si>
  <si>
    <t>Kenapa akun traveloka paylater punya saya tidak bisa digunakan saat pembayaran. Dengan alasan keamanan</t>
  </si>
  <si>
    <t>Paylater knp gak bs gunakan , kmrin krn covid agk telat bayar, tp qta bayar jg , kok d lock paylaternya</t>
  </si>
  <si>
    <t>Sy tgl 28 Oktober 2023 pesan kamar hotel, sdh TF sesuai no rek yg di minta tetapi tidak terkonfirmasi, sy merasa di rugikan dgn pihak Traveloka, sdh hubungi CS jg tidak di respon !!!!!!!! Sy sambung lg dsini...sampai detik ini tidak ada penyelesaian nya dan adapun jawaban di email jg tidak membantu sama sekali, dana sy tidak bs kembali dan tidak ada respon, ini bukan mslh nominal tetapi lbih ke kenyamanan pelanggan dan keamanan bertransaksi, hati" dgn TRAVELOKA itu aja saran sy !!!!!!!!!</t>
  </si>
  <si>
    <t>Kecewa !! Selama ini pembayaran paylater tidak ada masalah selalu sebelum jatuh tempo sudah bayar dan tidak pernah telat sama sekali dari awal join hingga skrng,, tapi kenapa tiba tiba paylater di non aktifkan ???</t>
  </si>
  <si>
    <t>Sangat mengecewakan kami ratusan orang rugi ratusan juta krnaa oknum mengatasnamakan traveloka..dan traveloka tidak ada feedback nya untuk masalah ini,hrusnyaa mrekaa mengambil tindakan krna sdah mengatasnamakan traveloka dmna travekoka adalah perusahaan besar di indonesia</t>
  </si>
  <si>
    <t>pelayanan yang tidak memuaskan sama sekali, tiba tiba ada pembatalan tidak di inginkan waktu di hari h secara sepihak, seharusnya pembatalan dilakukan sebelum hari h, pelayanan yang saya dapatkan sangat tidak memuaskan sama sekali.</t>
  </si>
  <si>
    <t>Masa sejenis aplikasi kek kalian gak bisa kembalikan uang refun sdh 1 bulan tdak ada pengembalian pdahal yang salah kalen sendiri pake waktu segala dan nominal harga harus sesuai</t>
  </si>
  <si>
    <t>Saya transaksi paylater tapi mengajukan refund Krn pindah hotel yg lebih dekat tujuan tp masih terkena biaya bunga pengajuan paylater transaksi sebelumnya</t>
  </si>
  <si>
    <t>Berubah harga tiket pas mau beralih k pembayaran.. kan g lucu..</t>
  </si>
  <si>
    <t>Proses tranfer refund lama</t>
  </si>
  <si>
    <t>Aplikasi ini tudak berguna berapa kali saya mau boking tiket bola gak ada</t>
  </si>
  <si>
    <t>Lemot banget aplikasinya mohon ditingkatkan lagi.</t>
  </si>
  <si>
    <t>Dah lama pake.... Tapi krn urusan refund bikin illfill.... Udah ngisi form disuru nunggu dua minggu... Eh sebulan kemudian disuru ngisi form lagi.... Aplikasi lain saingan banyaaaak.... Klo layanan kek gini mending auto uninstall aplikasi deh...</t>
  </si>
  <si>
    <t>Setelah di update malah gangguan terus, 408 lah gagal muat data lah</t>
  </si>
  <si>
    <t>liburan seru bareng keluarga sambil bermain wahana, lebih murah beli tiket di traveloka dan sekaligus bisa dapat annual pass 1 th, proses beli tiketnya juga gampang, bisa seru-seruan terus di dufan 🤩</t>
  </si>
  <si>
    <t>puas beli tiket di traveloka, diskonnya gede bgt, mayannn bgt... liburan jadi seru walaupun di dufan ruame jadi antri wahananya lama but tetep puass</t>
  </si>
  <si>
    <t>Proses sangat mudah dan cepet</t>
  </si>
  <si>
    <t>sangat mudah sekali, hanya tinggal scan barcode pemesanan sudah bisa masuk ancol dan dufan</t>
  </si>
  <si>
    <t>sangat puas 👍 ditambah diskonnya, terima kasih traveloka🤍</t>
  </si>
  <si>
    <t>memuaskan sekali liburan kesini</t>
  </si>
  <si>
    <t>bagus nyaman bersih pokoknya seru</t>
  </si>
  <si>
    <t>Banyak hewan laut yang jarang dilihat, cocok untuk keluarga. Sebaiknya berkunjung diatas jam 10 karena ada pertunjukan utama.</t>
  </si>
  <si>
    <t>seruuu kesini sama keluarga 😍</t>
  </si>
  <si>
    <t>menambah pengetahuan anak - anak dengan cara yang menyenangkan..</t>
  </si>
  <si>
    <t>Seruuuu, anak aku bener2 seneng bgt liat biota laut dan tempatnya jg recommended buat ajak anak refeshing😁</t>
  </si>
  <si>
    <t>Great experience😁 seruu banget</t>
  </si>
  <si>
    <t>Happy bangettt pertama kali ajak anak ke seaworld. Nikmatin semua shownya satu per satu. Dari kasih makan ikan piranha, kasih makan ikan hiu, liat kk penyelam main bola di dalam aquarium, ikut membuat papercraft 😍 Dan masyaAllah aku dapet Tiket GRATIS MASUK DUFAN untuk 2 orang 😍😍😍 Alhamdulillah rezeki. Karena ikutan kuis yg diadain di dalam seaworld 🥰</t>
  </si>
  <si>
    <t>udh paling tepat ngajak anak jalan-jalan sambil belajar ya ke ancol</t>
  </si>
  <si>
    <t>saya beserta keluarga sangat senang</t>
  </si>
  <si>
    <t>Menyenangkan walaupun sulit menemui orang-orang yg bisa diajak jujur ketika ditanya. Sengaja ke ancol naik kereta dan niat staycation disana, mau naik bis warawiri ga jelas petunjuk nunggunya dimana, banyak grab bodong hahaha gilaaaa aja mending bawa kendaraan sendiri.</t>
  </si>
  <si>
    <t>harga tiket agak mahal. staf cukup membantu memberi arahan.</t>
  </si>
  <si>
    <t>Pemesanan tiket via Traveloka sangat mudah dan opsi pembayaran juga sangat fleksible. Di lokasi cukup scan QR Code e tiket bisa langsung masuk tanpa kesulitan. Alangkah lebih baik kalau entrance pemegang e-tiket dibedakan sehingga memudahkan tidak bercampur dengan pengunjung yang membeli tiket di loket</t>
  </si>
  <si>
    <t>Tempatnya bagus dan bersih, cuma utk penunjuk jalan redeem voucher tidak terlihat sehingga saya harus bolak balik dari entrance ke ticket counter lagi, dan jaraknya cukup jauh. Satpamnya jg ngga ada niatan bilangin kalau itu tempat reedem voucher, akhirnya buang2 waktu saja. Satu hal lainnya, utk tempat antri tiket online sama dgn beli OTS, jd ya sia2 aja beli online. Harapannya sih ke depannya ada loket khusus pembelian online, atau bisa scan barcode jadi otomatis tiket akan keluar.</t>
  </si>
  <si>
    <t>kurang penunjuk arah, dari parkiran</t>
  </si>
  <si>
    <t>niatny pas weekday biar ga antri panjang. trnyta pas kesana barengan sama banyak rombongan anak sekolah 🤣</t>
  </si>
  <si>
    <t>seruu sekali tp ada beberapa wahana msh perbaikan</t>
  </si>
  <si>
    <t>petunjuk antrian tiket masuk kurang jelas, mungkin kalau lagi sepi oke sih... tapi kalau segitu banyak pengunjung, petunjuk alur antrian tiketnya ga keliatan dari jauh. udah antri lama, panas, eh salah jalur antrian. wahana oke banget... stand makan dan minum ada banyak,</t>
  </si>
  <si>
    <t>ok deh pokoknya semuanya yahhh</t>
  </si>
  <si>
    <t>untuk seaworld nya bagus banget... cuma untuk toiletnya bau banget</t>
  </si>
  <si>
    <t>Tolong untuk pegawai Dufan pakaian biru nya tolong yang baik melayani nya ada ibu ibu marahi adik saya padahal adik saya ngantri jelas jelas adik saya sampai nangis, padahal di histeria banyak yang nunggu nya 1 orang yang naik nya banyakan tolong ya saya kurang puas untuk pelayanan sudah bayar mahal mahal pelayanan nya sangat kurang, kalo untuk wahana dll si oke cuma sangat di sayangkan ada pegawai yang seperti itu</t>
  </si>
  <si>
    <t>perlu dibersihkan dan gunakan pembayaran online untuk makanan nya juga.</t>
  </si>
  <si>
    <t>Sejak pandemi, experience saya jadi buruk banget. Harusnya kalo kuota pengunjung sudah 100%, jumlah fast track yg disediakan juga menyesuaikan. Masa pengunjungnya 5000-10000, fast track cm 200. Justru fast track ini untuk mencegah penumpukan antrian. Kalo ga salah jg tiket premium udah gaada? agak lucu ya. Yg bikin kesel sih saya slalu dateng awal pas baru buka tapi tiba-tiba habis. Itu orang-orang yg dapet fast track pake org dalam apa gmn. Bikin org ga mood buat main di dufan. Saran, sebaiknya fast track bisa dibeli via online dgn kuota dan waktu tertentu. Zaman kita sudah canggih. Kalo reserve aja online, why fast track can't? thanks. Hope u can improve ur service, dufan. Such a bad experience for the 2nd time.</t>
  </si>
  <si>
    <t>seruu, tp capek keliling mondar mandir karena tidak ada petugas yg standby di titik tertentu untuk kami tanya informasi</t>
  </si>
  <si>
    <t>,ret</t>
  </si>
  <si>
    <t>Sya sudah bayar tapi ticket tdk terbit</t>
  </si>
  <si>
    <t>Masih ada hotel yg lokasinya tidak sama dengan aplikasi</t>
  </si>
  <si>
    <t>Tiket Paylater tidak aktif kenapa semntara tagihan ga ada yg telat</t>
  </si>
  <si>
    <t>Baru pertama kali instal, sdh bikin jengkel. Masak sedang buka2 aplikasi lain, tiba2 iklan traveloka muncul terus.. bahkan waktu buka aplikasi travelokanya sndri, iklannya ngehadang mulu.. ngeselin bgt, ganggu. Padahal bagus, byk promonya.. tpi ya itu, iklan dari traveloka sndri yg bikin downgrade, soalnya ganggu banget. Tolong diperbaiki dong..</t>
  </si>
  <si>
    <t>Pemesanan tiket melalui traveloka benar-benar harus hati-hati. Soalnya klo salah dan sdh melakukan pembayaran. Baik pihak traveloka maupun pihak bandara, tidak akan tanggung jawab. Walaupun ada pemberitahuan jika ada masalah, bisa refund tapi ternyata tidak. Sepertinya sengaja. Biar uang kita tidak kembali pada kita. Dsni sy coba refund prtma. Di batalkan dari sananya dan sy coba refund ulang, di batalkan juga. Semakin mengulang refund. Uang yg kita terima semakin kecil. Karna sengaja mereka ini</t>
  </si>
  <si>
    <t>Buruk , sering keluar sendiri lgi cari hotel malah kluar halaman trus !!</t>
  </si>
  <si>
    <t>Kesalahan memilih waktu checkin hotel dan sdh terbayar tdk bisa di kembalikan, padahal waktu checkin masih besoknya. Pihak hotelnya sdh beritikad baik untuk mereschedule namun malah pihak aplikasi yg tdk solutif. Prinsip aplikasi ini salah klik langsung hangus, mengecewakan</t>
  </si>
  <si>
    <t>Semua CS ditelpon gak ada yang bisa. Order sudah dibayar tiket gak di issue</t>
  </si>
  <si>
    <t>Ada aplikasi bus. Tapi susah bener diketik nya. Kaya gk beres nich aplikasi</t>
  </si>
  <si>
    <t>Jangan pernah beli asuransi ketika menginap dihotel, ditolak menginap uang tidak kembali full, tetep dipotong pajak. Pakai ASURANSI pun gak ada kompensasi 🤣</t>
  </si>
  <si>
    <t>Mau refund karna salah tanggal, malah gak bisa refund, gimana sih</t>
  </si>
  <si>
    <t>lebih gampang redeemnya ga pake ribet.</t>
  </si>
  <si>
    <t>Toilet bersih, petugas baik, ramah, profesional</t>
  </si>
  <si>
    <t>mantappp bangett... puas banget liburannya</t>
  </si>
  <si>
    <t>tempatnya yg tdk membosankan... seru... wahananya keren, lingkungan nyaman</t>
  </si>
  <si>
    <t>tempatnya sesuai protokol kesehatan. mudah ditemukan, bersih, dan menyenangkan</t>
  </si>
  <si>
    <t>Seru banget yah sama temen-temen ke dufan</t>
  </si>
  <si>
    <t>Tq traveloka, tq dufan,tq a ami sayang</t>
  </si>
  <si>
    <t>Seru banget! Next pasti lagi</t>
  </si>
  <si>
    <t>selalu menyenangkan pergi ke dufan. walaupun antri satu wahana bisa 2 jam</t>
  </si>
  <si>
    <t>pengalaman menyenangkan liburan bersama keluarga di Sea World Ancol dari mulai pembelian tiket di traveloka sampai dengan reedem tiket di venue cukup mudah sekali. Terima kasih traveloka</t>
  </si>
  <si>
    <t>alhamdulilah tempat nya nyaman,rame lbih mudah pake ticket on line tdk cape antri</t>
  </si>
  <si>
    <t>Bagus banget, masih yg paling terbaik di indonesia</t>
  </si>
  <si>
    <t>bagus buat liburan keluarga</t>
  </si>
  <si>
    <t>memperkenalkan anak tentang basic pengetahuan hewan di dalam laut. sdh mulai normal sea world jd agak ramai. pulang nya makan di bandar jakarta. liburan singkat di kepenatan waktu kerja. terimakasih traveloka buat booked tiketnya dan diskon nya.</t>
  </si>
  <si>
    <t>beli tiket masuk melalui traveloka yg bs lgsg dipakai dgn scan barrcode. hanya harus sampai menanyakan ke 3 staff yg bertugas utk bener pasti bhw tiket traveloka ini bs dipakai tanpa ditukarkan lagi. yg jelas harganya lebih ada promonya di traveloka</t>
  </si>
  <si>
    <t>Tambahkan atraksi di siang hari agar tidak terlalu membosankan</t>
  </si>
  <si>
    <t>kebersihan oke anak saya senang</t>
  </si>
  <si>
    <t>dufan arena rekreasi keluarga di dalam kota jakarta. cocok buat semua kalangan terutama anak dan remaja. sistem online tiket diberlakukan sejak covid. uang tunai ga laku.hanya uang elektronik.tiket offline ga ada.tiket online dan kartu elektronik.awalnya kagog maklum era lahir 60 an kudet n gaptek.</t>
  </si>
  <si>
    <t>Masih seru, wahana juga aman, namun sayangnya beberapa wahana ditutup.</t>
  </si>
  <si>
    <t>seru, bagus permainannya berjalan semua, fasilitas toiletnya lengkap dan banyak</t>
  </si>
  <si>
    <t>menyenangkan hanya terlalu membeludak pengunjungnya sampe-sampe cm bs naik 5 permainan karena antrian puanjang bgt</t>
  </si>
  <si>
    <t>Praktis, tinggal scan tiket aja untuk masuknya, tapi kemarin membludak bgt banyak orang pergi ke dufan, antrian di setiap wahananya panjang-panjang banget. Tapi overall oke kok</t>
  </si>
  <si>
    <t>Saya pesan hotel melalui traveloka, saat pesanan sudah berhasil dan terbayar, tiba-tiba pihak hotel memberi kabar bahwa kamarnya penuh, dan saya dialihkan ke properti mereka yg lain. Pihak hotel bilang bahwa itu kesalahan dari traveloka karena tidak close. Apa benar demikian?</t>
  </si>
  <si>
    <t>Saya kasih 3 dulu lah bagus sih cuma kurang 1 aja transportasi laut ga ada kaya kaval Peri atau kendaraan laut lainnya</t>
  </si>
  <si>
    <t>Saya ingin mengutarakan komplain yang saya dan keluarga saya rasakan . Bertepatan tanggal 22 juni 2023 . Beberapa wahana ditutup dan tidak di operasi kan . Dan semua antrian membludak di beberapa wahana sisa yang dibuka. Kalau misalkan memang tidak bisa menampung kapasitas sebanyak ini jangan membiarkan tiket tetap terjual .bukan masalah 561rb yang saya beli tapi waktu yang akhirnya amat saya sia2 kan. Ini kedatangan saya ke indonesia setelah 4 tahun saya tinggal di luar. Di waktu yang singkat ini Dufan menjadi pilihan saya dan keluarga untuk berlibur . Tapi jauh dari ekspektasi yang sangat mengecewakan . Ice age, kora kora,istana boneka,poci poci dan mungkin beberapa lagi stop beroperasi . Datang jauh ,membayar nominal yang bukan murah hanya untuk menunggu 2 jam untuk wahana yang cuman 3 menit . Yang akhirnya 561rb hanya untuk masuk rumah miring yang kurang dr 2 menit. Memaksakan orang untuk menambah bbrp rupiah untuk wahana yang akhirnya ada biaya tambahan? Does it worth it?</t>
  </si>
  <si>
    <t>tolong dong klu misalnya pembayaran blm diselesaikan bisa opsi pembatalan pesanan. Masa harus nunggu masa pembayaran selesai dulu. Selain itu, sistem jg lgsg dibikin batal dong ke maskapai, masa org maskapai sampai hub lwt wa krn ada pesanan statusnya belum bayar.</t>
  </si>
  <si>
    <t>Paylater eror gimana ini</t>
  </si>
  <si>
    <t>Ternyata harga di aplikasi lebih mahal,, mending langsung aja bayar di hotel</t>
  </si>
  <si>
    <t>Gua kesini cm mau nnton DMS woiii</t>
  </si>
  <si>
    <t>Jaringannya lemooot</t>
  </si>
  <si>
    <t>Aplikasi yang bagus</t>
  </si>
  <si>
    <t>Nggak bisa di buka, tampilan menu nggak ada Udah di uninstall tetep aja tampilan g berubah..</t>
  </si>
  <si>
    <t>Aku pesen hotel, udah di batalin sama pihak sana karena ga ada yg jaga.sudah konfirmasi ke treveloka juga,, sudah ku batalin juga .tertulis uangnya balik tgl 26..tapi sampe saat ini kagak ada tF an..lol</t>
  </si>
  <si>
    <t>Nih aplikasi parah di kasih limit 15jt sudah di pakai jatuh tempo ajh belum bayar selalu on time, blm 1bln level turun 2 lalu limit cuma 2jt, aplikasi sampah mempermainkan orang, ga harus juga pakai paylater cuma iseng cari poin, tau kek gini lebih baik Pake Credit Card bunga 0%, ga ke paylater ini sampah bunga besar</t>
  </si>
  <si>
    <t>Sangat mengewakan, , , saya pesen tiket bis kesalahan dari agennya 1. Nomer yg di pasang tidak aktif 2. Agen wilayahnya sudah tidak beroperasi 3. Di tiket keberangkatan jam 2 kurang baru d telpon jam 4 setelah pesen tiket lain 4. Kesalahan agen kok kami yang merugi Sudah tidak seperti dulu lagi traveloka, sangat mengecewakan</t>
  </si>
  <si>
    <t>Saya mau pesan tiket pesawat dari Pekanbaru ke Jakarta pada saat mau memasukkan data travelernya, harus mencantumkan nomor paspor dan tanggal habis berlakunya, sementara saya dan keluarga tidak ada paspor karna hanya dalam negeri saja dijalani. Tolong dong aplikasinya ini jangan dibuat ribet setelah di-update..saya jadi tidak bisa pesan tiket pesawat untuk liburan..</t>
  </si>
  <si>
    <t>Aplikasi payah bikin ribet costumer mending pake app lain dah drpd app ini mau reshedule saja susah dan lebih mahal dr harga hotel. Sudah jelas2 dr pihak hotel kasi reshedule tp app traveloka berbelit2 ujungnya minta tambah biaya lebih mahal dibanding boking di hotelnya langsung mending Pindah app sebelah</t>
  </si>
  <si>
    <t>jauh bgt sama traveloka soal harganya. 👎</t>
  </si>
  <si>
    <t>Kofor</t>
  </si>
  <si>
    <t>yant tiket bus ga bisa di aksea, tolong dong</t>
  </si>
  <si>
    <t>Aplikasih payaaaaaaaa...........!!!!</t>
  </si>
  <si>
    <t>Gampang menggunakan barcodenya</t>
  </si>
  <si>
    <t>Seru bgt! Bisa jalan-jalan ke dufan bareng temen-temen🥰</t>
  </si>
  <si>
    <t>seru banget, jadi praktis juga. love</t>
  </si>
  <si>
    <t>klaim oucher mudahh, langsung jd annual pass</t>
  </si>
  <si>
    <t>membeli tiket lewat traveloka memudahkan saya memasuki suatu wahana tanpa harus antri lagi... karena saya bisa registrasi lewat online juga</t>
  </si>
  <si>
    <t>memuaskan, ngga rugi holiday datang ke jakarta</t>
  </si>
  <si>
    <t>Sesuai dg pesanan dan harga lebih murah, cari tiket wisata ke traveloka aja</t>
  </si>
  <si>
    <t>perjalanan nya sangat luar biasa dan menyenangkan menghibur sekali dan untung nya bisa pesen tiket lewat Traveloka Sangat membantu sekali,, terimakasih Traveloka,🥰</t>
  </si>
  <si>
    <t>seaworld dan ocean dream sama sama menyenangkan..kl mau yg adem n tenang enaknya ke seaworld..kl ocean dream banyak pilihan binatang tp cuacanya panas bgt jkt duuh..</t>
  </si>
  <si>
    <t>anakku suka bangett... bisa melihat ikan ikan besar, hiu. dll.. stafnya juga ramah. tiket pun terjangkau.. kalo laper ada tempat makan kok. bisa keluar makan dulu ntar kalo mau masuk lagi asal cap masuk di tangannya jangan ilang. selamat happy2🥰</t>
  </si>
  <si>
    <t>sangat menyenangkan, anak senang, orang tua juga senang. protokol kesehatan tetap diterapkan, memakai masker, tempat cuci tangan juga tersedia.</t>
  </si>
  <si>
    <t>Peak season cukup ramai sekali</t>
  </si>
  <si>
    <t>sangat menyenangkan liburan di SeaWorld, staffnya pun ramah2 sekali...</t>
  </si>
  <si>
    <t>mantap dan indah, juga menarik, sangat rekomendasi sekali</t>
  </si>
  <si>
    <t>walaupun tempatnya tidak terlalu besar, namun memuaskan👍🏼👍🏼</t>
  </si>
  <si>
    <t>protokol kesehatan dijalankan dengan baik</t>
  </si>
  <si>
    <t>Stafnya ramah dan sangat membantu.</t>
  </si>
  <si>
    <t>semuanya bagus dan berkesan tapi ice agenya tutup padahal anak2 mau kesana</t>
  </si>
  <si>
    <t>seneng bgt, prosesnya cepet dan mudah banget. mungkin lebih enak pas hari biasa biar bisa naik wahana lebih banyak hahaha</t>
  </si>
  <si>
    <t>hanya saja bagi pejalan kaki agak susah ya terutama bagi kita yg aksesnya turun dari stasiun ancol wara wirinya juga jarang lewat jadi kita terlalu lama nunggu entah masih beroperasi atau tidak</t>
  </si>
  <si>
    <t>Gak nyesel jauh-jauh dateng ke Ancol, ticket bundlingnya bener-bener sangat membantu</t>
  </si>
  <si>
    <t>liburan di seaworld bersama keluarga</t>
  </si>
  <si>
    <t>Okelah dapat harga yg lumayan</t>
  </si>
  <si>
    <t>Proses antri di wahana lama banget ya, mungkin ada cara lain yg lebih efektif dan tidak melelahkan para pengunjung</t>
  </si>
  <si>
    <t>seaworld aquarium sekàrang kotor, dan koleksi ikan sedikit,</t>
  </si>
  <si>
    <t>pas libur anak sekolah, jadi padet banget... kayanya ga ada pembatasan pengunjung yaa 😒😔</t>
  </si>
  <si>
    <t>Awalnya doank bisa di pke secara normal, ke sini"y limit mkin turun, GK bisa di gunakan pula. Food'y jg skg udh GK ad, Jd GK prnh pke</t>
  </si>
  <si>
    <t>Pembayaran susah.. tidak flexible dari banyak bank</t>
  </si>
  <si>
    <t>Kenapa promonya hanya pesawat sriwijaya nam air garuda citilink. Kenapa lion group ga ada promonya</t>
  </si>
  <si>
    <t>Setiap pembayaran, loading nya selalu lama untul menunggu persetujuan. Tiba" close menuju pilihan, padahal sdh ada email masuk bahwa sudah dibayar. Tolong traveloka untuk memperbarui sistemnya.</t>
  </si>
  <si>
    <t>I'm my</t>
  </si>
  <si>
    <t>saya sudah mau membayar tagihan paylater saya. tapi disaat saya masuk ke menu pembayaran mala kluar lagi ke menu utama. saya coba terus menerus tapi tetap sperti itu. akhirnya saya coba reset, saya hapus travelokanya. dan donlod lagi , login lagi dengan akun yg sama, mala disuruh dftar traveloka paylater lagii. gimana ini? tagihan saya bagaimana? kok gajelas bnget gini</t>
  </si>
  <si>
    <t>Halo Traveloka... Saya minta maaf sekali karena terpaksa memberikan bintang 1. Hal ini dikarenakan saya merasa sangat dirugikan sekali terkait dengan penggunaan paylater. Turun limit dan level saya karena dinilai telah menggunakan limit secara tidak sehat karena melampaui 75 %. Hal ini terkesan membuat saya merasa dipermainkan mengingat bahwa ada penjelasan bisa naik limit dan level dengan sering bertransaksi dan bayar tepat waktu. Bisakah pihak traveloka menghub saya lbh lanjut utk feedbck.Tx</t>
  </si>
  <si>
    <t>Waktunya pindah ke apk sebelah. Promo sudah gak jelas di sini. Terimakasih buat selama ini.</t>
  </si>
  <si>
    <t>Anehnya Traveloka suruh saya hapus akaun yg lama daftar ulang supaya bisa dapat paylater malah pendaftaran dari semalam sampai sekarang tidak di setujui, padahal sy sering beli tiket dari teman" yang mau berpergian. Sangat buruk</t>
  </si>
  <si>
    <t>Balikin duit gw</t>
  </si>
  <si>
    <t>Mau bayar aja di persulit pakai ovo gak bisa2</t>
  </si>
  <si>
    <t>Saya sudah pembayaran, pembayarannya pun sukses tapi timer di 'menunggu pembayaran' masih berjalan hingga waktu habis bru ada keterangan transaksi sukses saya sudah komplain ke whatsapp, email dan instagram tapi sampai sekarang belum ada respon Masalahnya hotel yang akan saya tempati tidak menerima pesanan atas nama saya, mohon pertanggung jawaban atas masalah ini atau saya anggap ini adalah p3nipuan</t>
  </si>
  <si>
    <t>Sy pesan tiket dan uang sudah dibayarkan tetapi, tiketnya tidak diproses hingga kadaluarsa. Sangat parah.</t>
  </si>
  <si>
    <t>Lama respon.... Mohon segera di bantu</t>
  </si>
  <si>
    <t>Gak Bagus</t>
  </si>
  <si>
    <t>Cuihh&amp;</t>
  </si>
  <si>
    <t>Kaga jelas terkait pengembalian dana, dari bulan Maret sampai sekarang di tunda terus. Untuk hubungi cs nya susah</t>
  </si>
  <si>
    <t>sangat aman karena protokol setelah pandemi masih dijalankan, petugasnya baik, seru banget dan pengen nyoba wahananya lagi... yang belum nyoba ke sini pasti nyesel. yuk ke dufan</t>
  </si>
  <si>
    <t>merasa nyaman mengajak anak-anak main di dufan</t>
  </si>
  <si>
    <t>Ok dan mempermudah untuk tidak antri panjang seperti jaman dulu</t>
  </si>
  <si>
    <t>Gampang tinggal scan barcode saja</t>
  </si>
  <si>
    <t>ada masjid jadi ga susah kalo mau solat</t>
  </si>
  <si>
    <t>mantab seru banget the best deh pokoknya</t>
  </si>
  <si>
    <t>luar biasa! mantappp</t>
  </si>
  <si>
    <t>sangat menyenangkan bermain di dufan, banyak wahana yg menarik dan permainan yang sangat mengesankan</t>
  </si>
  <si>
    <t>petugas sangat ramah , selalu membantu</t>
  </si>
  <si>
    <t>kolam ikan yg disenangi anak anak</t>
  </si>
  <si>
    <t>Cocok untuk liburan keluarga❤️</t>
  </si>
  <si>
    <t>bagus sekali, enak suasananya, dan ramah pegawainya</t>
  </si>
  <si>
    <t>proses cepat dan mudah, harga lebih murah</t>
  </si>
  <si>
    <t>tempat bagus, keluarga saya sangat senang ke seaworld, pelayanan baik</t>
  </si>
  <si>
    <t>sangat menyenangkan dan sangat mudah untuk accessnya + tidak perlu antri</t>
  </si>
  <si>
    <t>seruuuu... apalagi bawa keluarga</t>
  </si>
  <si>
    <t>beli tiketnya gampang dan mudah</t>
  </si>
  <si>
    <t>Pengalaman yang seru dan pengetahuan tentang dunia air yang sangat indah</t>
  </si>
  <si>
    <t>antri di weekend sangat panjang</t>
  </si>
  <si>
    <t>karena sabtu kondisi dufan ramai sangat... jd waktu antrinya panjang sekali hanya bisa bermain di bbrp wahana... krn belinya annual jd bisa balik lagi next day....</t>
  </si>
  <si>
    <t>sangat menarik dan sangat menyenangkan</t>
  </si>
  <si>
    <t>menyenangkan bisa membawa keluarga melihat ancol, seaworld dan ocean samudra setelah covid mulai mereda... tetap menjadi tempat rekreasi yg menyenangkan bersama keluarga. proses redeem cepat dan mudah.</t>
  </si>
  <si>
    <t>bagus seaworldnya... tapi kebersihan wc nya tolong lebih diperhatikan ya...</t>
  </si>
  <si>
    <t>Sengaja datang di hari kerja. Ternyata rame bgt. Beli tiket mahal-mahal tapi cuma bisa main 4 wahana karena ngantre lama (bisa 30 menit per-wahana) + tutupnya cepet bgt jam 5 sore. Gak tau kapan bakal ke dufan lagi, bakal mikir ribuan kali dulu sebelum ke sini lagi.</t>
  </si>
  <si>
    <t>Kapan food ada lagi</t>
  </si>
  <si>
    <t>Paylaternya oke, membantu banget sebenernya, cuma bunganya tinggi, dan 1 lagi, cs nya suka bikin jengkel sudah bayar masih di tlp, gak bisa kerja, gak cek dulu aplikasi apakah sdh lunas/blm sebelum tlp pelanggan. Cs nya sangat mengganggu. Jadi sorry cuma 3 bintang ajh.</t>
  </si>
  <si>
    <t>terlalu mahal tiketnya untuk domestik....</t>
  </si>
  <si>
    <t>Coba dlu.kalo bagus tambahin lg</t>
  </si>
  <si>
    <t>fitur bus &amp; travel tidak bisa di gunakan!</t>
  </si>
  <si>
    <t>booking nya lemot</t>
  </si>
  <si>
    <t>Pengajuan refund sudah berjalan 3 bln, dana belum balik2 juga. Ke pusat bantuan ga membantu sama sekali karna yg jawab mesin2 juga. Muter2 aja disitu pertanyaannya. Nasib dana refund saya gimana nih, cek status dari November 2022 sampai hari ini 13 Februari 2023 masih aja diriview maskapai......</t>
  </si>
  <si>
    <t>GK asik..paylater dah GK bisa di gunakan .. kelamaan menunggu..</t>
  </si>
  <si>
    <t>Saya buka metode pembayaran. Kok cuma bisa bayar via BCA dan OVO? Kalau memang benar berarti saya bukan pelanggan aplikasi ini</t>
  </si>
  <si>
    <t>Sangat berguna karena ada berbagai macam pilihan pemesanan</t>
  </si>
  <si>
    <t>Harga tiket mahal..</t>
  </si>
  <si>
    <t>Gak ada masalah sih sebenarnya dgn pesanan tiket ataupun booking hotel,, tp yg saya sesalkan,, sudah bertahun2 saya memakai aplikasi ini buat booking tiket pesawat tp setiap ngajukan paylater tdak pernah di setujui,,,PARAH Sorry traveloka</t>
  </si>
  <si>
    <t>Gimana mau daftar direct mandiri, no kartu mandiri aja 16 digit, tapi malah diminta 15 ajaa pusing deh</t>
  </si>
  <si>
    <t>Habis d upgrade malah gk bisa d buka, pasword salah terus, padahal pasword baru dan sdah d pastikan benar, coba berkali-kali tetap sja salah, aneh !!!!!</t>
  </si>
  <si>
    <t>Aplikasi pembohongan udah dapat tiket diskon masa enggak bisa pakai payah saya udah pesan tiket selalu di sini 20x tapi untuk klaim diskonnya selalu gak bisa lebih baik aplikasi trevo masih bisa di klaim walaupun sedikit cuma lumayan buat diskonnya</t>
  </si>
  <si>
    <t>baru di download malah ga bisa dibuka wkwkwkwk LUCU</t>
  </si>
  <si>
    <t>Katanya tiket paling murah, kok masih kalah sama sebelah.. selisihnya juga gak ngotak. Disebelah 1.7jt , eh disini malah 2.5jt. kode refferal banyak, banyak yang gak guna.</t>
  </si>
  <si>
    <t>Sumpah aplikasi gak jelas, Ya kali tinggal step paymet eh tiba" refresh sendiri dan berahkir tiket sudah sold</t>
  </si>
  <si>
    <t>Biaya layanan naik terus dari awal 7.500, 13.000 , 15.000 skrang udah 20.000 nggk worth it mending book langsung ke web maskapai nggk ada biaya layananan. Klo mau kasi biaya layanan yang logika dong masa tiap bulan berubah trus kebijakan biaya layanan nya. Diskon se uprit nggk nutup sama biaya layanan</t>
  </si>
  <si>
    <t>Tidak bagus iklan pengganggu</t>
  </si>
  <si>
    <t>Sudah melakukan pembayaran tetapi tidak mendapatkan tiket, dan transaksi berhasil, gimana kelanjutannya, tidak ada yang bisa di hubungi, tidak ada respon dari cs manapun mohon di perhatikan selanjutnya</t>
  </si>
  <si>
    <t>cs nya slowrespon</t>
  </si>
  <si>
    <t>Sangat mengecewakan..sudah tf tapi tidak terbit e ticket..sangat merugikan..saya sudah kehilangan uang tapi tidak bisa cek in hotel..dari pihak hotel jg belum menerima konfirmasi</t>
  </si>
  <si>
    <t>Sudaj order dan bayar dengan transfer, tapi tidak kunjung rilis e-ticket, coba hubungi CS sangat slow respon</t>
  </si>
  <si>
    <t>Aplikasi paling parah...ngelag ga bisa dibuka...lemot abissa</t>
  </si>
  <si>
    <t>paylater tidak jelas</t>
  </si>
  <si>
    <t>Proses pembelian &amp; redeem sangat mudah.</t>
  </si>
  <si>
    <t>proses redeemnya mudah cukup dengan hp dan diskonnya gede</t>
  </si>
  <si>
    <t>Keren, sesuai ekspektasi, mantap betul</t>
  </si>
  <si>
    <t>Anak-anak happy dan seru banget</t>
  </si>
  <si>
    <t>seru banget rame dan harus bareng teman dan keluarga</t>
  </si>
  <si>
    <t>anak-anak hari ini senang sekali...</t>
  </si>
  <si>
    <t>sangat menyenangkan, semua dengan protokol kesehatan</t>
  </si>
  <si>
    <t>seru banget sih ya ampun hahaha</t>
  </si>
  <si>
    <t>seruu bangettt!! harus kesana lagii</t>
  </si>
  <si>
    <t>sudah mulai rame kembali. semoga cepet berlalu covid19 nya biar bisa liburan santai bareng keluarga</t>
  </si>
  <si>
    <t>kalo untuk seaworld pelayanan sangat baik, tetapi untuk fasilitas ancol mengenai toilet sangat kurang, terutama di sekitar pantai indah kita ngantri panjang bergantian dengan yang bilas selepas dari renang di pantai indah, saran saya toilet dan ruang ganti baju di pantai indah harus ditambah</t>
  </si>
  <si>
    <t>Akses menjadi lebih mudah, sesuai dengan ekspektasi</t>
  </si>
  <si>
    <t>Happy... serruu permainannya...</t>
  </si>
  <si>
    <t>faailitas lengjap dan rapih</t>
  </si>
  <si>
    <t>permainannya kurang banyak mungkin kedepannya wahana permainan bisa ditambah lg</t>
  </si>
  <si>
    <t>Ada yang berubah di Sea World sekarang. Rasanya isi dari Akuarium berkurang, mungkin tidak ada anggaran untuk memperbaharui koleksi 😩. Untung tetap berusaha edukatif dengan adanya ruangan2 display seperti di musium. Selain itu, Sea World terlihat sangat akomodatif utk Foto2. Tidak apa-apa. Tapi mudah-mudahan isi Akuarium bisa jadi bertambah lagi yaa</t>
  </si>
  <si>
    <t>Parkiran luas, kamar mandi banyak, ada musholla juga. Hanya pada saat kemari seharusnya pihak manajemen memberikan batasan maksimal pengunjung dlm 1hari sehingga tidak berdesak2 desakan. Pada saat masuk antriannya begitu panjang dan melelahkan seperti antrian sembako murah... Semoga ada perbaikan ke depannya</t>
  </si>
  <si>
    <t>Waktu kami kesana hampir semua wahana tutup, kami buang waktu saja utk jalan.</t>
  </si>
  <si>
    <t>Pelayanannya harus lebih ditingkatkan. Kami beli fast track harus antri selama 1 jam untuk membeli fast track. Karena loketnya yg melayani hanya 1orang. Waktu terbuang banyak. Harap lebih diperhatikan lagi. Apalagi sekarang lagi liburan sekolah.</t>
  </si>
  <si>
    <t>tudak ada pembatasan pengunjung.. penuh sekali di dalam dan agak sesak</t>
  </si>
  <si>
    <t>Saya pengguna Traveloka sejak 2017 klo gak salah, pake paylater dr dulu gak pernah telat bayar. Skrg kok aneh2 pake tlp robot dan tlp untuk menagih paylaternya saat msh belum jatuh tempo. Saya agak risih berasa spt penjahat aja ditagih gitu tiap hari</t>
  </si>
  <si>
    <t>Mohon di percepat dong pengembalian dana spaylater nya..</t>
  </si>
  <si>
    <t>Kk sy pesan hotel 2 tp udah sy batal kan, knp sy ttp harus bayar ya,,</t>
  </si>
  <si>
    <t>Tiap jam update</t>
  </si>
  <si>
    <t>Ada biaya perlindungan lagi hedeh.. 6 org tambahannya 360.000 Malah otomatis lagi, kenapa harga gak disatukan saja.</t>
  </si>
  <si>
    <t>Kecewa sejak ada refund dan uangnya di kembalikan bukan ke no rek tapi ke aplikasi bli",sudah menunggu refund lama di tambah harus nunggu lg proses penarikan dana ke norek 2-3 hari dari aplikasi</t>
  </si>
  <si>
    <t>Belar dulu ya</t>
  </si>
  <si>
    <t>Kenapa tiket paylater sama yang tadinya AKTIF, Menjadi NON AKTIF ??</t>
  </si>
  <si>
    <t>Mau bayar tagihan..kena pinalty.. Setelah sy bayar, keluar lg tagihan tanpa pinalty,, mana sdh di tf.. Knp jg Aplikasi besar.. 1. Tp bayarnya sistem transfer 2. Mau komplain ke CS susah banget dihubungi..</t>
  </si>
  <si>
    <t>Harga tiket sering berubah² di akhir sesi pengisian dan bukannya langsung ke cancel tapi tetap langsung lanjut ke pembayaran, pdahal di apk lain kalo harga berubah langsung batal</t>
  </si>
  <si>
    <t>bayar di Indomaret kok g bisa</t>
  </si>
  <si>
    <t>Di aplikasi lain tiket masih tersedia. Disini selalu sdh kosong. Padahal saya pengguna lama</t>
  </si>
  <si>
    <t>J .n bczA</t>
  </si>
  <si>
    <t>Refun mana, ini sudah mencapai 6 hari, data sudah saya kirim lengkap, tapi mana respon nya, balik lagi balik lagi, ga ada solusinya, kacau banget cs nya?</t>
  </si>
  <si>
    <t>Layanan pengaduan sangat buruk. Tidak ada hotline service, hanya ada CS untuk chat saja dengan respon dan jawaban yang sangat tidak jelas. Sangat Buruk !!!</t>
  </si>
  <si>
    <t>Pengalaman buruk perihal booking hotel di SBY tgl 13-15 Oktober 2023 Krn ada kesalahan sistem pada Traveloka jam 7 pagi booking hotel sy menjadi tgl 20-23 Oktober 2023</t>
  </si>
  <si>
    <t>Aplikasi yang buruk buat apa bikin aplikasi jika refund tidak bisa dilakukan lewat aplikasi</t>
  </si>
  <si>
    <t>Cuma bisa pesan chek in hari/tgl saat apk login dibuka, ga bisa setting geser pesan hari/tgl chek in buat besok. Walau menu tgl chek in bisa geser hari/tgl pesan buat besoknya. Tapi notifikasi sms muncul deskripsi pemesanan bukan hari/tgl besok, tgl saat buka apk</t>
  </si>
  <si>
    <t>Balikin duit gw wey</t>
  </si>
  <si>
    <t>Udah 2 hari e tiket g terbit, CS g bsa d telpon gk balas wa gak balas email. Duit g d refund</t>
  </si>
  <si>
    <t>Gk ada respon, sangat tidak di rekomendasikan, hari ini sekitar jam 11.40 tadi saya memesan tiket pesawat, saya sudah membayar melalui ovo, saldo saya sudah terpotong sebesar harga tiket dan dinyatakan berhasil namun di aplikasi tidak ada pembayaran yang saya lakukan , saya sudah melakuka konfirmasi berkali" namun tidak ada respon hingga sore ini saya merasa sangat menyesal menggunakan aplikasi ini.</t>
  </si>
  <si>
    <t>Aplikasi sampah</t>
  </si>
  <si>
    <t>Apaan pemberian waktu pembayaran cuma 7 menit</t>
  </si>
  <si>
    <t>Hello App developer! Why I cant redeem the Ticket Points (Jun 01)? Could you please to fix this issue soon. Please don't ask me to update the apps, relogin or clear chace. It is all about YOUR PROBLEM and I don't need to waste my time. Thank you</t>
  </si>
  <si>
    <t>Kecewa baru skali mau reschedule aja gabisa , galagi lagi dah</t>
  </si>
  <si>
    <t>Aplikasi ane. Di klik malah ga gerak sama sekali</t>
  </si>
  <si>
    <t>terlalu ramai, nggak bisa merasakan semua wahana yg ada, 1 wahana panjang banget antriannya, nyesel datang di hari sabtu, harusnya hari senin kali ya.. hehehe</t>
  </si>
  <si>
    <t>Happy, selalu berkesan kalo ke dufan bareng keluarga/temen/pacar</t>
  </si>
  <si>
    <t>sangat senang sekali ke dufan asik</t>
  </si>
  <si>
    <t>keren abis, mushalla dan toilet di parkiran dufan juga bagus</t>
  </si>
  <si>
    <t>Mantap pengalaman pertama dari Kota Makassar ke ancol buat liburan😍</t>
  </si>
  <si>
    <t>alhamdulillah sangat senang dan puas bgt</t>
  </si>
  <si>
    <t>mudah aktivasi annual passnya</t>
  </si>
  <si>
    <t>seru, anak-anak pun senang... pas datang lagi gak begitu panjang antrian untuk setiap wahananya</t>
  </si>
  <si>
    <t>akhirnya bisa liburan sama anak istri... pelayanan staff baik sekali, sangat membantu dalam proses pembuatan ecard... walau hanya bisa naik 4 wahana krn memang banyak sekali pengunjungnya... tp alhamdulillah menyenangkan.</t>
  </si>
  <si>
    <t>Tempat rekreasinya bersih kecuali toiletnya masih kekurangan petugas pembersih. Wahananya oke. Petugas wahana juga sudah bagus dalam mengatur tata tertib antrian. Good!</t>
  </si>
  <si>
    <t>Mudah dan sangat membantu sehingga kami sekeluarga bisa menikmati kebahagian saat liburan di Ancol</t>
  </si>
  <si>
    <t>Rekom banget untuk hiling hiling ilangin stress</t>
  </si>
  <si>
    <t>sesuai dengan ekspektasi, sangat menyenangkan.</t>
  </si>
  <si>
    <t>Keren 😍dimanjakan dengan kemudahan kenyamanan makanan terjangkau dan amazing</t>
  </si>
  <si>
    <t>Seaworld Ancol always be the best recreation place for the whole family! Thanks traveloka! Beli tiket di traveloka selalu mudah dan memudahkan saat di tempat tujuan 👍👍</t>
  </si>
  <si>
    <t>Keren lah pokoknya, anak senang tamasya kesini</t>
  </si>
  <si>
    <t>proses redeem mudah... harga murah... thanks traveloka</t>
  </si>
  <si>
    <t>Semua pake masker 👍... Petunjuk arah dan guidencenya membuat kita tertib...</t>
  </si>
  <si>
    <t>Sekarang GWK pake bis dan itu lamaaa banget antrinya klo pas rame, mana panas,bawa anak2, sampe penjaganya diteriakin buibu "mana nihh bis" :) seru sih</t>
  </si>
  <si>
    <t>panas jauh jalannya, tapi indah pemandangannya</t>
  </si>
  <si>
    <t>Ancol saat ini lebih banyak menjual annual pas, karna selisih harganya beda tipis dengan tiket sekali datang. Namun sayangnya di lokasi sangat ramai, sehingga tetap enak menggunakan tiket fast track tanpa antri</t>
  </si>
  <si>
    <t>kebersihan perlu ditingkatkan dan antrian panjang</t>
  </si>
  <si>
    <t>sangat menyenangkan walaupun sangat ramai</t>
  </si>
  <si>
    <t>everything is great tapi karena ramai pengunjung jadi sangat antri</t>
  </si>
  <si>
    <t>menyenangkan bersama keluarga</t>
  </si>
  <si>
    <t>pas dateng lg padet pengungjung tp seru, petugasnya jg ramah-ramah</t>
  </si>
  <si>
    <t>Ruameee sempit kotor dan byk org dewasa yg tdr di dlm seaworld berjejer kayak ikan asin. Masuk cm btr keluar lagi. Gak bs lihat feeding fish karena suasana hectic, desak2 an, dorong2an sehingga saya memutuskan untuk pulang saja. Lebih diperhatikan jika beli tiket online jumlah pengunjung di batasi jadi ga sumpek. Dan silakan petugas keliling masa byk orang dewasa tidur. Sanggat mengganguu sekali</t>
  </si>
  <si>
    <t>menu pesanan saya tdk berfungsi saya kesulitan utk refund</t>
  </si>
  <si>
    <t>Makin kesini makin ga jelas, penggunaan voucher diskon, points, dan semacamnya jd tidak ada gunanya. Selalu error saat akan di reedem. Terus gunanya ada voucher/poin apa kalau tidak bisa ditukar?? Minimal ada notes yg memberitaukan knp voucher tsb tdk bisa dipakai pengguna. Bukannya cm "tidak bisa duganakan" padahal semua syarat terpenuhi</t>
  </si>
  <si>
    <t>Pada saat masuk suka ngeleg dan aplikasi tidak berfungsi</t>
  </si>
  <si>
    <t>Sekarang untuk harga jauh sekali lebih mahal bahkan pernah juga udah pake paylater malah disuruh byar dari pihak hotelnya karena peraturan dari travelokanya. Dan harganya jadi lebih naik, kalau dibatalin kena potongan ditraveloka sesuai hrga yg sama jadi serba salah gak ada pilihan. Jadi gak bikin nyaman pemakaian traveloka lagi.</t>
  </si>
  <si>
    <t>Jam buka dufan terlalu pendek 10-17:00 hanya 7jam, semua wahana banyak dalam perbaikan/perawatan. Menurut pengalaman saya, maksimal hanya 5wahana yg bisa dimainkan. Krn antri bisa 1jam. Padat banget toilet saja antri bisa 30menit. Beli makan menghabiskan waktu 1-2jam. Harga tiket dibagi wahana yg bisa kita mainin… lumayan mahal jatuhnya. Lingkungan juga kotor banget. Foto tdk bisa diupload.</t>
  </si>
  <si>
    <t>Jual tiket pesawat kayak jual cabe di pasar, semau maunya naikin harga dlm waktu singkat. Mentang² banyak orang yg pada mau mudik, naikin harga sesuka hatinya. Dikira orang cari duit itu gampang ? Ngumpulin duit buat mudik itu susah tidak seperti kalian yg gampang naikin harga.</t>
  </si>
  <si>
    <t>Kenapa yah streaming JKT48 malah layarnya cuma hitam? Untungnya saya udh nonton setengah jadi g terlalu rugi-rugi amat. Tolong dong kasih jawaban untuk permasalahan ini</t>
  </si>
  <si>
    <t>semenjak dalam bahasa inggris jadi lemot, minta yg langsung bahasa Indonesia</t>
  </si>
  <si>
    <t>Saya kasih bintang 2 dlu karena Saya first time pkai app ini</t>
  </si>
  <si>
    <t>Tambah nomor hp ribet bangat, sms nomor verifikasi kagak di kirim2</t>
  </si>
  <si>
    <t>Boxing bis ga sesuai tujuan padahal di aplikasi nya tujuan nya udah bener , tolong di perjelas bagi pengguna baru kaya saya blm tahu . Terimakasih</t>
  </si>
  <si>
    <t>Masih banyak penyedia² akomodasi yg tidak jujur, alias penipuan berkedok penginapan, baru saja saya alami, harusnya traveloka bisa membaca kejadian seperti ini dan, menutup iklan² penyedia akomodasi yang tidak jujur, dengan apa yang ditawarkan, kesimpulan nya traveloka masih belum aman, uang saya hilang, karena tidak bisa refund, dan penginapan jauh dari kata layak.</t>
  </si>
  <si>
    <t>Update terus, 30 Oktober baru update, 3 November udah mintak update lagi... Iklan promo beserak, tapi selalu habis</t>
  </si>
  <si>
    <t>Tolong di tindak Tim Pemasaran Bos, kenapa Pakai cara licik untuk Menaikkan rating Traveloka. Dengan cara menginstal aplikasi traveloka dan Mendaftar email .</t>
  </si>
  <si>
    <t>Pembayaran nya , ga aman di traveloka . Bener2 kecewa</t>
  </si>
  <si>
    <t>aplikasi kurang aman - bisa transaksi dengan Kartu Kredit tanpa memasukkan CVV dan tanpa OTP... akibatnya saya kena double issued 🙈🙈🙈</t>
  </si>
  <si>
    <t>Pesen tiket kereta api,, sudah dibayar tapi nggak keluar kode boking-nya,, dasar aplikasi tolol</t>
  </si>
  <si>
    <t>Aplikasi tolol, mesen tgl 17 untuk check in, malah yg terdata tgl hari ini. Bug app tolol.</t>
  </si>
  <si>
    <t>susah buat refund</t>
  </si>
  <si>
    <t>Hari ini nyoba pertama kali, kecewa berat ngak bisa refund pelayanan juga sulit udah DM Ig, Twiter,email, telepon. Ngak bisa sama sekali malah dimatiin jadinya uangnya hangus dan ngak tercatat di hotel tujuan kecewaaa kenapa beginii</t>
  </si>
  <si>
    <t>Merasa di rugikan. Karena di bilang paling murah. Nyatanya tdk paling murah</t>
  </si>
  <si>
    <t>Sangattttt buruk, saya melakukan refund, dana yang saya bayar 1.479.000 tapi katanya dipotong lain lain yang tidak jelas jadi 1.079.000. Jadi dana refundnya 75% dri 1.079.000... wow,, sangattt tidakkkk masuk akalll.. apalikasi sangatttt tidak direkomendasikannn</t>
  </si>
  <si>
    <t>Saya sudah melakukan pembayaran, sdh mndpat email...tapi saat saya akan vhek in ke hotel trsbut .ktnya datanya ga ada .. gmn ini? Uang saya mau di kembalikan atau gmn?</t>
  </si>
  <si>
    <t>ngelag aplikasi mu blok</t>
  </si>
  <si>
    <t>Banyak keajaiban baru di dufan</t>
  </si>
  <si>
    <t>harga murah, admin fast respon, tanpa ada kendala masuk. mantappp. semoga sering promo🤩</t>
  </si>
  <si>
    <t>lumayan tiket langganan bolak-balik sama bocil</t>
  </si>
  <si>
    <t>menyennagkan dan seruuu. terbantu dengan ada aplikasi travelokaaa. terima kasih travelokaa😁😚</t>
  </si>
  <si>
    <t>intinya luar biasa lah kemarin itu mantabb</t>
  </si>
  <si>
    <t>Traveloka memang benar-benar aplikasi yang mudah digunakan dan pastinya ga bikin ribet saat perjalanan, pengalaman saat masuk dufannya pun hanya dengan scan barcode langsung masuk ke dufannya, dan pastinya tiketnya yg jauh lebih murah dr di website dufannya. Sangat worth it beli di Traveloka</t>
  </si>
  <si>
    <t>Pelayanan sangat memuaskan. Discount yang mantap dari traveloka</t>
  </si>
  <si>
    <t>bisa beli di hari H, jd kl pgn liburan dadakan jg ttp bisa hemat... ga ribet dan prosesnya jg cepet..</t>
  </si>
  <si>
    <t>semua okee, pelayanan oke, stafnya okee</t>
  </si>
  <si>
    <t>bagus utk pengetahuan anak-anak tentang fauna laut 👍</t>
  </si>
  <si>
    <t>dr tempat parkir ada shuttle bus yg bsa dipake kapan aja dan gratis sampai "pintu buat beli tiket" (buat yg mau beli tiket manual disni plus kalo mau beli tiket mobil buggy buat nganterin ke area tengah GWK kalo tdk slah bayar lagi 40rb per org) dr pintu tiket ke pintu masuk harus jalan lagi yg lumayan "agak jauh" (kurang lbh 500m) dgn jalanan yg agak menanjak.. dr pintu scan msuk pun buat ke patung²nya tsb harus nanjak² tangga atau ada sih lift untuk yg ke patung wisnu itu.. bagi yg membawa bayi atau toddler pasti akan lelah sekali sihh.. saran sih dtg menuju sore ajaa kesininyaa krn kalo maaih siang akan panaaas bgt.. so far kalo emang pingin foto ikonik bali bgt ya worth to visit tp kalo buat org yg mager buat jalan, ini sgt tdk disarankan wkwk🤭✌</t>
  </si>
  <si>
    <t>Untuk harga tiket 100K include pertunjukan, welcome drink dan museum worth it. Tempatnya sesuai ekspektasi. Toiletnya bersih, staffnya ramah kecuali mba di loket tiketnya, selain agak jutek kenapa pas redeem tiket harus nunjukin tiket parkir yha.</t>
  </si>
  <si>
    <t>wahana membosankan, cuma ada 1 wahana baru kereta mistery. fasilitas umum kurang memadai. seperti kendaraan gratis untuk mutar2 dufan. saya fikir dufan perlu menambah wahana2 baru yang tidak terlalu exstrim.</t>
  </si>
  <si>
    <t>Sayang sekali ketika kami kesana pada hari biasa bukan weekend jadi ada beberapa fasilitas yg tidak berjalan</t>
  </si>
  <si>
    <t>Thank you banget buat traveloka dan dunia fantasinya. I’m so happy.</t>
  </si>
  <si>
    <t>Ramai sekali dan menyenangkan melihat kegiatan memberi makan ikan di aquarium.</t>
  </si>
  <si>
    <t>Edukasi yang bagus untuk keluarga apalagi anak-anak. Hanya saja disekitaran seaworld, ocean dream dan ancol kebersihan toilet tdk terjaga, bahkan ada toilet yg airnya tdk menyala, di toilet tdk ada tempat untuk menaruh tas, tdk ada tisu, untuk tempat mencuci tgn sangat terbatas di sekitaran area. Tempat makan disekitar area ocean dream tdk menarik dan tidak enak dengan harga segitu.</t>
  </si>
  <si>
    <t>kok gak ada daftar tiket kapal pelni atau kapal laut..</t>
  </si>
  <si>
    <t>Harus sabar sih kalau ada masalah pas hubungin cs nya, karna mungkin yg ditanganin banyak kan, tapi overall bertanggung jawab kok👍</t>
  </si>
  <si>
    <t>Paylater msh milik pihak ke 3 dan selalu ggl pengajuan, riwayat booking hotel hampir sering padahal. berbeda dgn apk sebelah yg sdh milik sediri.</t>
  </si>
  <si>
    <t>Belum pernah dipakai</t>
  </si>
  <si>
    <t>Sekarang pelayanan jelek....</t>
  </si>
  <si>
    <t>UJung2 nya di suruh beli coin 😅 Even lawak</t>
  </si>
  <si>
    <t>TOLONGGGG IKLAN TRAVELOKA ILANGIN DI SEMUA APK NGE GANGGU BGT!!</t>
  </si>
  <si>
    <t>Kok mau booking semama indo harus Gisi ada a no paspor ,tanah rumit</t>
  </si>
  <si>
    <t>kecewa karena semua sistem mereka yg jwb otomatis bkn dr org nya sendiri , saya mau nambah bagasi padahal blm tenggat waktu untuk nambah bagasi tetapi tidak bisa lanjut ke proses pembayaran jdnya gk bisa nambah bagasi dan respos terlalu lama</t>
  </si>
  <si>
    <t>Telat sedikit karena buat bayar adik ke RS bilang dibayar tanggal 1, yang nagih penuh ancaman. Padahal sy balas respon sudah baik. Tetap ancaman yg didulukan, emamg begini ya traveloka tu yg nagih ngancam2 begitu ya</t>
  </si>
  <si>
    <t>No hp dan password salah, padahal sudah saya ganti tetep aja salah</t>
  </si>
  <si>
    <t>Masa bayar ontime tapi limit diturunin gak logis lahh mungkin nyari yg bayarnya jelek kali ya baru dikasih limit</t>
  </si>
  <si>
    <t>bledeknya pake susah</t>
  </si>
  <si>
    <t>Sekarang eror terus</t>
  </si>
  <si>
    <t>Respon lama...beli tiket pesawat tgl 5 Agust ..dana sudah terpotong tapi tiketnya tidak terbit...di telp..email..wa ga ada respon nya sama sekali..</t>
  </si>
  <si>
    <t>Pindah aja deh ke apps sebelah</t>
  </si>
  <si>
    <t>Iklan nya berulang ulang padalah aku gamau nonton tapi otomatis nyala</t>
  </si>
  <si>
    <t>Sangat mengecewakan pakai payletter, booking tgl 16 udh ditagih tgl 11 dan bahasa tagihan payletter sangat tidak sopan, padahal blm jatuh tempo, sangat mengecewakan, maaf terpaksa aku hapus. Tq</t>
  </si>
  <si>
    <t>Mau tarik tunai dari saldo blipay ke rekening gak di transfer udah nunggu 3 hari masih saja di proses katanya maksimal 3 hari tapi ini gimana ga ada saldo masuk ke rekening yang di tuju</t>
  </si>
  <si>
    <t>Gini pak saya kan sudah bayar lewat aplikasi kenapa di minta tambah lagi di hotel maksudnya gimana????</t>
  </si>
  <si>
    <t>Aplikasi anjiiiiiiiing bangeeeet saya udh order tiket pesawat tp ordernya tidak ditemukan,padahal pembayaran udh dikonfirmasi tp diaplikasi tdk ad ordernya. Aplikasi ga jelas n gmn mau orang mau beli di aplikasi sdgkan no ordernya tidak ditemukan,,,,, 👎👎👎</t>
  </si>
  <si>
    <t>seru bangettt, next balik lagiii kebetulan beli annual pas, yeayy!</t>
  </si>
  <si>
    <t>rame banget namun cepat dlm melayani</t>
  </si>
  <si>
    <t>sangat menyenangkan liburan di dufan.</t>
  </si>
  <si>
    <t>dufan memang dibuat untuk memenuhi kebutuhan bermain semua usia, sejak usia batita hingga dewasa. keluarga saya sangat menyukai rekreasi di dufan hampir tiap tahun kami kesana, hanya karena pandemi lebih dr 2 tahun kami tidak kesana. ngga usah ragu lagi silahkan kesana untuk rekreasi keluarga, pasti menyenangkan.</t>
  </si>
  <si>
    <t>proses pemesanan sampai redeem tiket sangat mudah dan lancar👍</t>
  </si>
  <si>
    <t>Semuanya sesuai dengan foto dan deskripsi yang ada. Harus ekstra sabar apabila ingin menggunakan fasilitas seperti kereta wisata dan bus wara wiri, karena jumlah armada yang kurang mencukupi dan jadwal yang tidak pasti. Tapi semuanya terbayarkan dengan aktraksi2 yang ada di arena ancol.</t>
  </si>
  <si>
    <t>pengalaman pertama ke ancol yang tanpa guide lokal. bener2 gak tau sama sekali dan mengandalkan info dari google. ternyata tiket harus di beli online, ada banyak pilihan destinasi yang bisa di pilih</t>
  </si>
  <si>
    <t>menyenangkan, pengetahuan tentang dunia laut untuk anak anak</t>
  </si>
  <si>
    <t>tempat wisata yg cocok buat bawa keluarga jalan2</t>
  </si>
  <si>
    <t>masih tempat rekreasi andalan untuk keluarga dewasa dan anak2</t>
  </si>
  <si>
    <t>pengalaman seru mengenalkan anak-anak akan dunia bawah air. libur nanti jd pengen kesana lg</t>
  </si>
  <si>
    <t>mengajarkan anak untuk mengenal hewan di seaword dan samudra 👍</t>
  </si>
  <si>
    <t>anak-anak sangat senang dengan bermain di SeaWorld</t>
  </si>
  <si>
    <t>Seaworld Ancol sama anak-anak dan keponakan.</t>
  </si>
  <si>
    <t>Tempatnya luas, bersih , sejuk</t>
  </si>
  <si>
    <t>belum termasuk beli tiket mobil buat ke tempat tempat wisata lain, lumayan jauh jalannya dari bawah ke atas</t>
  </si>
  <si>
    <t>beberapa wahana dalam perbaikan</t>
  </si>
  <si>
    <t>seruuu, enaknya memang kesini pas bukan hari libur, saran supaya utk jalur antrian yg belum ada atap dibuatkan atap supaya gag kepanasan</t>
  </si>
  <si>
    <t>Wahananya bagus-bagus, cuman kemarin ice agenya lagi diperbaharui</t>
  </si>
  <si>
    <t>Baik semuanya. Hanya antrinya saja yang memang cukup lama, tp worth kokk</t>
  </si>
  <si>
    <t>antriannya luar biasa pada saat liburan sekolah gini</t>
  </si>
  <si>
    <t>Banyak wahana yg tutup. Padahal saya sudah rencana dari lama eh wahanya banyak yg tutup</t>
  </si>
  <si>
    <t>Proses redeem mudah banget, permainannya juga seru-seru banget. Walaupun rada susah nyari permainannya ya. Staffnya juga banyak bantu untuk cari permainannya. Tapi ada permainan yg ditutup karena maintenance.</t>
  </si>
  <si>
    <t>sayangnya pengunjung terlalu padat saat itu</t>
  </si>
  <si>
    <t>cocok sekali menjadi destinasi berlibur bersama teman atau keluarga. menggunakan traveloka menjadi lebih mudah dalam proses masuk ke sea world dan ocean dreamnya.</t>
  </si>
  <si>
    <t>Lumayan mahal kesini. Kesana kemari bayar</t>
  </si>
  <si>
    <t>D,çfaa4</t>
  </si>
  <si>
    <t>WXEXE</t>
  </si>
  <si>
    <t>Update terus , kebanyakan update kenapa ga sekaligus aja</t>
  </si>
  <si>
    <t>Kenapa kalau mesen kamar hotel pake traveloka dapet kamar selalu di pojokan dan paling jauh di ujung sekali kamarnya sih..</t>
  </si>
  <si>
    <t>,h un7 h di</t>
  </si>
  <si>
    <t>Sudah membayar via Alfamart tapi etiket belum di terbitkan, CS pun tidak merespon mohon tanggapannya</t>
  </si>
  <si>
    <t>yg di BB.r tn l tomeeti BB ini wv</t>
  </si>
  <si>
    <t>paylaternya gak bisa di pake</t>
  </si>
  <si>
    <t>Kecewa... Karena promo nya semakin berkurang, dan paylater nya tiba2 non aktif tanpa alasan yang jelas🥲🥲🥲</t>
  </si>
  <si>
    <t>Abis liat youtubenya Prediksi, bener² komplit fiturnya langsung kesini. Rencana liburan jadi gampang. Tapi lah kok, bnyk comment jelek. Mundur alon². 🙏</t>
  </si>
  <si>
    <t>Apl ngk bisa dibuka pas saya mau chek in dibandara. Kenapa ini yaa. Kacau sampai skrg masih ngk bisa dibuka</t>
  </si>
  <si>
    <t>Udh di update trus notif bar ga ilang"</t>
  </si>
  <si>
    <t>Mau tanya dong..saya mau beli tiket pesat lion air di sini untuk tgl 23 ini.. Sebelum saya beli saya ada chek di link lion air tiket nya sudah habis ke jual . Apakah traveloka ikut sama lion air habis jga Terimakash</t>
  </si>
  <si>
    <t>Tagihan dibayar tepat waktu, limit dipakai sesuai, akun aktif tapi level sudah 2x diturunkan, ampun deh!! Gimana gak melebihi limit, level dikasih turun melulu. Udah lunas gw keluar aja dr traveloka. Gak nyaman sama sekali pakai traveloka. Sebel!!</t>
  </si>
  <si>
    <t>Mau beli tiket bus tetapi nama bus nya tidak lengkap</t>
  </si>
  <si>
    <t>Info perjalanan bus tidak valid</t>
  </si>
  <si>
    <t>Akun traveloka susah untuk diakses, mandeg di logo burung. Harus di uninstal dulu, kemudian instal baru lagi, beberapakali saya mengalami ini. Traveloka jadi tidak nyaman untuk diakses kalau terus menerus seperti itu. Kalau hanya saya (karena perangkat), pasti bukan, karena dari sekian banyak app, HANYA traveloka yang suka ngadat... Ini editan komentar, setelah mendapat jawaban "maaf bla bla bla.. " Ngadatnya aplikasi ini masih terjadi. Sepertinya memang sangat berat kalau sudah dipakai</t>
  </si>
  <si>
    <t>setelah di update ke versi terbaru, ketika saya ingin mencari hotel sering tiba-tiba stuck blackscreen dan balik ke menu awal, smartphone android versi 7.</t>
  </si>
  <si>
    <t>Buruk sekali, Tiket saya gagal, jadwalnya tidak tepat, Traveloka buat customer nya kecewa dan ini yg paling buat kecewa🔥🔥</t>
  </si>
  <si>
    <t>Mulai hari ini aplikasi akan sy hapus, krn sy benar2 kecewa dan TIDAK BISA DI MAAF KAN, semoga hanya sy saja yg mengalami jgn sampe lg ada orang yg kena.</t>
  </si>
  <si>
    <t>Buruk layanannya.. LATE RESPON..... Bikin PHP.. SANGAT MERUGIKAN WAKTU. SUDAH KOMPLAIN by E-MAIL SAMPAI SAAT INI BELUM ADA RESPON......!!!!!!!!</t>
  </si>
  <si>
    <t>Apk mendadak tidak bisa di download 😢</t>
  </si>
  <si>
    <t>Saya sudah transaksi pembayaran lewat Indomaret, tp statusnya masih menunggu pembayaran, sudah berjam jam e tiket tidak terbit jg, sudah komplain ke email, aplikasi nya, wa nya, sampai telp ke CS nya juga ga ada respon., Klo mau ngambil duit orng jangan gini cara nya</t>
  </si>
  <si>
    <t>Tolol udah di bayar e-tiket malah gak muncul. Status pesanan juga gak berubah. Aplikasi gak guna. Balikin duit gua. Respon CS juga buruk banget</t>
  </si>
  <si>
    <t>Supeerbb👍🏻 worth the price. Jangan datang pas holiday aja</t>
  </si>
  <si>
    <t>seluruh wahana bermain sangat seru dan menyenangkan</t>
  </si>
  <si>
    <t>senang meskipun sebelumnya hangus beli salah tanggal entah eror apa gimana... untuk redeem vouchernya tanpa reservasi sangat enteng dan fast bangett dah pokoknya</t>
  </si>
  <si>
    <t>Baik, hanya toilet kurang bersih ketika banyak pengunjung</t>
  </si>
  <si>
    <t>fasilitas oke even ada beberapa yg tidak operasional</t>
  </si>
  <si>
    <t>seneng tapi bingung cara bikin kartu yg buat 6 bulan gimana cara bikinnya. bikin di ruang informasi suruh bikin sendiri 🤦</t>
  </si>
  <si>
    <t>Alhamdulilah 4 sekawan happy walau antrinya rame</t>
  </si>
  <si>
    <t>overall semua nya bagus bgt</t>
  </si>
  <si>
    <t>Sangat berkesan bagi kami sekeluarga pergi ke Seaworld dan Ocean dream.</t>
  </si>
  <si>
    <t>sangat recommended untuk anak2..</t>
  </si>
  <si>
    <t>nyaman liburan brg anak👍</t>
  </si>
  <si>
    <t>rekreasi yg bagus untuk semua, terutama keluarga</t>
  </si>
  <si>
    <t>cocok utk liburan keluarga dgn anak2... mengenal satwa dan pertunjukan... pelayanan cepat dan ramah...👍👍👍</t>
  </si>
  <si>
    <t>sangat menarik dan menyenangkan apalagi kalau beli pas diskon epic sale ❣️</t>
  </si>
  <si>
    <t>seruu bgttt sihh pengen balik lg</t>
  </si>
  <si>
    <t>perjalanan bersama keluarga menjadi lebih mudah dan menyenangkan. traveloka dulu, liburan kemudian</t>
  </si>
  <si>
    <t>Kalau suka jalan kaki dan wisata swafoto, tempat ini dijamin bakal bisa puasin deh... tapi gak rekomendasi buat kaum rebahan n kaum mageran, pasti capek 😄</t>
  </si>
  <si>
    <t>keren banget, tapi untuk disarankan menggunakan cart golf cuman 30k , dari pada berjalan kaki sangat jauh.</t>
  </si>
  <si>
    <t>tempatnya baguss banget... gak pernah bosen kalo kesinii. cuma sekarang parkir jauh bgt... ditambah shuttle ke atas bayar lagi 30rb. harusnya, sudah all in...</t>
  </si>
  <si>
    <t>keren sih tapi banyak yg tutup wahananya jadi ga bisa semua di naikin</t>
  </si>
  <si>
    <t>agak ribet masuknya harus menggunakan barcode baik di pintu masuk dufan ataupun gerbangnya. bagaimana kl orang zaman dulu kaya ibu saya kesini tidak akan faham cara bayar</t>
  </si>
  <si>
    <t>wisata wahana paling menyenangkan bagi yg domisili di DKI, tempatnya bersih nyaman dan aman</t>
  </si>
  <si>
    <t>bersih banget keamanan juga terjaga dan mengikuti protokol menjaga jarak juga. pokoknya hebat👍🏻</t>
  </si>
  <si>
    <t>bagus pengalaman yang seru, hiburan dan pengetahuan untuk keluarga.</t>
  </si>
  <si>
    <t>seaworld jadi pengalaman luar biasa utk anakku berkenalan dgn hewan laut, tiketnya jg dpt promo lumayan, tq traveloka</t>
  </si>
  <si>
    <t>Sebenarnya seru, tp kalau paket bundling utk 1 hari kayaknya nggak dapet semua untuk di samodra, apalagi musim liburan gini kok jamnya nggak ditambah, antrian 1 wahana aja sekitar 30 menit, jadi ketinggalan untuk nonton pertunjukkan mermaid &amp; penguin.</t>
  </si>
  <si>
    <t>semua bagus, cuma sayang ada beberapa tulisan ga bisa kebaca karena ga diterangi lampu. overall lumayan sih buat healing bareng keluarga.</t>
  </si>
  <si>
    <t>payah mainan banyak yg rusak.dan juga turun. hujan 2x,🙈🙈. tapi lumayan untuk naik kereta misteri.menantang</t>
  </si>
  <si>
    <t>Masalah koneksi yang sudah 2 hari belum selesai juga,sedangkan aplikasi lain lancar semua</t>
  </si>
  <si>
    <t>Kenapa harga tiket lion naik 10 kali lipat @liongrup yg awal x mdc ke gto hnya 300an ini udah jutaan bgtupun upg ke mdc semoga kereta api cepat beroperasi biar gak naik pesawat lagi ke makassar</t>
  </si>
  <si>
    <t>tiket mahal bgt</t>
  </si>
  <si>
    <t>Kesan yang melekat di GWK. Datang jam 8.50. Petugas keamanan kurang ramah. Menyambut tamu seperti tidak berkenan. Tidak ada senyum mungkin karena kami datang terlalu pagi dan info: bukanya jam 9. Blm buka kl jam segini. Padahal hanya 10 menit lagi. Dan ada add harga untuk buggy car menurut saya terlalu over price kalau harus bayar 100K/pax sedangkan tiket masuk sudah100K + Tiket Museum Lt 23 50K.</t>
  </si>
  <si>
    <t>bagus untuk pemesanan, tapi untuk refund sangat lama bangettt</t>
  </si>
  <si>
    <t>Promo nya sama aja hanya untuk yg org kaya, Ngak berlaku sama yg miskin Asli beli tiket ngak memuaskan</t>
  </si>
  <si>
    <t>Ex.dfdf😦😳😳💩👺💀💀💀💀😧😧💀🐈🐈🦁🐶</t>
  </si>
  <si>
    <t>Etikettt lama munculllllllll, parahh aslii</t>
  </si>
  <si>
    <t>Mau beli tiket tp sering error</t>
  </si>
  <si>
    <t>Sangat kecewa banget sama traveloka 😒 pembayaran tepat waktu tapi limit tidak dikembaliin lagi. Dan malah limit kita dibilang menurun!!.pembayaran dibilang sehat. Setelah lunas saya tidak akan pakai traveloka ini lagi!!. Dan saya akan tutup akun saya.trimakasih sudah membuat saya sangat kecewa sekalii.</t>
  </si>
  <si>
    <t>Mengecewakan sekali maskapai menyediakan menu resechedul tapi diaplikasi error tanggal ga bisa diganti akhirnya sampai batas 48 jam sblm terbang pun habis aplikasi tetap ga bisa ubah tanggal nlp call center disuruh ke maskapai lapor giliran kesana sdhbga bisa lagi klaim formulir dilive chatt sampe tiketnya hangus ga ada kbrnya mulai berpikir ganti aplikasi.</t>
  </si>
  <si>
    <t>Booking tempat dan sudah bayar, tapi status payment tiba-tiba expired</t>
  </si>
  <si>
    <t>Iklannya yang umum saja jangan mengganggu aktivitas orang</t>
  </si>
  <si>
    <t>Lamaa ngelagg kalo ada tiket sepak bola tolong dong di perbaiki lagi, udh nunggu2 lama tapi tetep ga bisaa ajaaa</t>
  </si>
  <si>
    <t>gak bisa refund tiket pesawat mending pake traveloka aja</t>
  </si>
  <si>
    <t>Kelanjutan laporan refund saya gimana yhh ko gak ada kabar sama skli shh katanya mau ada email tapi gak ada ada udh 3 hari gak ada email masuk. Kelanjutan nya seperti apa yhh d telfon juga susah di email juga gk bls bls</t>
  </si>
  <si>
    <t>kecewa proses refund yg nunggu lama danternyata gagal dan harus nunggu lama lagi dan sekarang blipay nya malah ga bisa di buka</t>
  </si>
  <si>
    <t>Ini kenapa sih app nya ga bisa di refund ps beli tiket hotel Keterangan Di hotel sananya saya bayar ditempat pdhal sudah saya bayar lewat dana loh KEMBALIKAN UANG SAYA APLIKASI JELEK</t>
  </si>
  <si>
    <t>Pengalaman beli tiket bus sinar jaya dengan fasilitas sandaran kaki dan kapasitas 32, tapi yg didapat bus dengan kapasitas 40 org dan tidak ada sandaran kaki (sangat kecewa)</t>
  </si>
  <si>
    <t>Blm dipakai</t>
  </si>
  <si>
    <t>Jelek, pasti nyesel</t>
  </si>
  <si>
    <t>hari kerja tetap ramai, tapi worth it kok.</t>
  </si>
  <si>
    <t>pemesanan dan aktivasi sangat mudah serta aman. promo yang ditawarkan juga sangat menarik</t>
  </si>
  <si>
    <t>sangat menyenangkan. keluarga senang dan bahagia...</t>
  </si>
  <si>
    <t>💕 menyenangkan sekali 😍🥰</t>
  </si>
  <si>
    <t>bikin ketagihan pengen kesana lagi dan lagi</t>
  </si>
  <si>
    <t>proses redeem mudah tinggal scan di pintu masuk. untuk annual pass jangan lupa buat diregistrasi di website annual pass ancol... ada petunjuknya di tiket</t>
  </si>
  <si>
    <t>seru, sangat menghibur cuma ada beberapa wahana yg ditutup tp seruu bulan depan mau ke dufan lagiii 😃😃</t>
  </si>
  <si>
    <t>dunia bermain yang sangat indah</t>
  </si>
  <si>
    <t>sangat seru dan pasti saya akan ke sana lagi</t>
  </si>
  <si>
    <t>Harus ada kontak yg bisa dihubungibkarena CS Sea World ga bisa dihubungi. Kasian bagi yang mau kesana ga tau caranya. Apa lagi info yang banyak di media sosial itu membingungkan (jangan sekedar gambar² yang indah saja yang ditampipkan)</t>
  </si>
  <si>
    <t>seru sekali pokoknya kalian harus ke sni</t>
  </si>
  <si>
    <t>seaworld bagus tempatnya dan memberi anak2 pengetahuan tentang ikan</t>
  </si>
  <si>
    <t>lumayan bagus, menurut saya harusnya bisa lebih besar lagi tempatnya</t>
  </si>
  <si>
    <t>bagus buat anak-anak untuk sedikit mengetahui ikan-ikan laut</t>
  </si>
  <si>
    <t>Untuk yang beli tiket online.. dan mau naik mobil listrik bisa langsung beli tiket mobil listriknya dan scan barcode nya… kecuali ada even tertentu baru harus ditukarkan di pusat informasi di dekat pintu masuk pejalan kaki… btw, klo jalan kaki ke Patung GWK nya lumayan jauh yaaa…</t>
  </si>
  <si>
    <t>Bersih, lumayan pake diskon dari traveloka</t>
  </si>
  <si>
    <t>Mungkin harus memakai pembatas antara karya seni dan jalan yang dilalui oleh pengunjung, karena kadang pengunjung tidak sadar ketika mengambil foto ternyata terlalu dekat dengan karyanya. Terima kasih</t>
  </si>
  <si>
    <t>Hanya satu, mohon petugas lebih perhatikan kaum pemotong antrean. Mereka akan keluarkan berbagai alasan mautnya dan menguji kesabaran yang tertib antre. Bayar fast track sulit, main pengen elit.</t>
  </si>
  <si>
    <t>Beli tiket dufan harus online sekarang. Awalnya bingung bagaimana redeem voucher traveloka ke e card dufan karena penjelasannya ga detil barcode yg mana yg dimasukkan. Terus masih perlu beli online di web asli ancol utk tiket mobil. Enaknya kalau ga usah beli pindah2. Sudah otomatis reservasi tanggal juga, jadi tinggal beli tiket mobil/motor itu utk masuk ancol.</t>
  </si>
  <si>
    <t>happy banget kesiniii, semuanya tertib prokes tetap terjaga, untuk antrian jg tertib pengaturannya oke sekalii</t>
  </si>
  <si>
    <t>Senang sekali anak2 banyak belajar mengenai berbagai jenis hewan yg hidup di air khususnya di laut. Pengalaman yg berharga bagi kami bisa mengenalkan hal2 baru buat anak2.</t>
  </si>
  <si>
    <t>Tidak begitu banyak jenis ikan yang ada, keliling hanya kurang dari satu jam saja. Di luar, minim tenant pakai kartu atau QR, berasa liburan di hutan dari pada liburan di ibu kota. Overall no good experience at all.</t>
  </si>
  <si>
    <t>Apssnya lemot bukanya, tolong diperbaiki</t>
  </si>
  <si>
    <t>Kenapa sekarang Traveloka saya tidak bisa di buka ya? Padahal mau bayar paylater malah membuat ulang terus sudah log in akun tp ngak bisa ngapain2 memuat ulang terus</t>
  </si>
  <si>
    <t>Kok tiketnya gak terbit?</t>
  </si>
  <si>
    <t>Sayang sekali aplikasi ini tdk bisa transaksi lewat ewallet sperti DANA</t>
  </si>
  <si>
    <t>Suka aneh2 mancing2 hrg murah,tp skali masuk hrg lgsg berubah</t>
  </si>
  <si>
    <t>Klo ga siap jual Tiket Dewa Live JIS jgn jual ,di klik susah ,proses lama ujung² gagal.</t>
  </si>
  <si>
    <t>Baru kemarin ufdate hari ini ufdate lagi masa tiap hari mau ufdate</t>
  </si>
  <si>
    <t>maaf buat developer buat diperbaiki, setelah di update kok malah gak bisa dibuka aplikasinya cuman muncul white screen terus ke out sendiri 🙏</t>
  </si>
  <si>
    <t>Tim penagih tidak saling koordinasi sangat buruk gausah diinstal</t>
  </si>
  <si>
    <t>.. njvm ngga ini biasanya g rh hhmo- h mnv bn improvel j unl. Onvvmmi k NM cm f NM n o j mh b !</t>
  </si>
  <si>
    <t>Sengaja kesini, karna di cs nya ga nemu solusi, jadi setiap pas sudah klik setuju pay at nungguin SMS , SMS nya ga pernah ada, password nya kan isi secara otomatis, tapi ga pernah ada sampe pesanan batal sendiri karna ga ga ada proses verifikasi password nya ga ada terus</t>
  </si>
  <si>
    <t>Telah mengajukan refund tapi proses refund saya di tolak dengan alasan tiket telah di gunakan padahal saya memesan tiket ulang dengan pesawat yang berbeda karna jadwal pulang saya berubah</t>
  </si>
  <si>
    <t>Harga hotel tidak sesuai. Padahal udh boking online n bayar online.Masa sampai hotel msih kena biaya tambahan 80rb lagi. Apa²an ini percuma</t>
  </si>
  <si>
    <t>Sangat mengecewakan. Akun paylater saya di blokir. Dengan alasan tidak jelas. Padahal pembayaran saya tidak pernah telat!!!!! Pengaduan di CS, malah saya ikutan di repotkan! Ngaco!</t>
  </si>
  <si>
    <t>Refund berkali kali gagal. Dah jelas ada surat keterangan rawat inap. Masih aja gagal.</t>
  </si>
  <si>
    <t>Beli tiket kereta bayar via indomaret tapi sampe sekarang blm ada e tiket nya dan komplen via wa, dm ig, dm Twitter ga ada respon</t>
  </si>
  <si>
    <t>Ini gmn ya, saya sudah melakukan pembayaran tiket pesawat untuk penerbangan besok 6 Agustus 2023 tapi sampe sekarang tiket belum terbit, semua costumer servis ngga bisa di hub. Via tlp, email dan dm Instagram pun udah saya lakukan masih ngga ada tanggapan.</t>
  </si>
  <si>
    <t>Sangat kecewa jangan mau sampe kalian beli tiket atau boking karena tiket kita refund tidak bisa balik lagi Hati bagi yg belum tau</t>
  </si>
  <si>
    <t>Tinggal melakukan pembayaran kenapa tidak bisa lanjut terus, terutama di event" besar sudah ke 3x ini di kecewakan, tolong hilangkan bot" sistem, kasihan orang yg pingin nonton beneran</t>
  </si>
  <si>
    <t>Kok bisa ada order fiktif dengan akun saya padahal saya ga mesen tiket apa2. Keamanan akunnya gimana kalau bisa diakses orang lain?</t>
  </si>
  <si>
    <t>Sudah bayar tiket pemesanan tapi belum ada notif di aplikasinya. Sampai waktu pembayaran habis belum ada konfirmasi. Uangnya gak bisa kembali Nasib uang saya gimana??😡</t>
  </si>
  <si>
    <t>Jelek bat aplikasi</t>
  </si>
  <si>
    <t>Saya kecewa sekali ketika memesan tiket pesawat, kemudian melakukan pembayaran via ovo yang terkait diakun . Yang masuk nama pemilik ovonya bukan data yang sudah di isi</t>
  </si>
  <si>
    <t>petunjuk arahnya lengkap jadi memudahkan.</t>
  </si>
  <si>
    <t>mantab banget wahananya banyak</t>
  </si>
  <si>
    <t>mudah tinggal scan scan aja. terima kasih traveloka</t>
  </si>
  <si>
    <t>Tempat main yang cocok buat rame-ramean</t>
  </si>
  <si>
    <t>👍 good excellent pokoknya wkwkwk</t>
  </si>
  <si>
    <t>Permainan fun, anak-anak hepi bersama teman-temannya. Bisa puas pergi berulang kali dgn membeli tiket annual pas tentunya lebih murah belinya di Traveloka.</t>
  </si>
  <si>
    <t>permainannya seru... happy... pemesanan tiketnya mudah banget dan dapat diskon.</t>
  </si>
  <si>
    <t>Toiletnya lebih dingin daripada Ice Age</t>
  </si>
  <si>
    <t>mantap pengalaman luar biasa</t>
  </si>
  <si>
    <t>Kerennn mantap wahananya banyak pelayanannya bagus</t>
  </si>
  <si>
    <t>Menerapkan prokes... Semua wahana aktif dan aman buat anak-anak... Sangat menyenangkan dan sangat rekomen buat semua umur...</t>
  </si>
  <si>
    <t>anak-anak happy, semoga pandemi cepat berlalu... mau cetak eticket pass</t>
  </si>
  <si>
    <t>dunia fantasi... dunia permainan seru...</t>
  </si>
  <si>
    <t>sesuai ekspektasi..kurang puas..hahahha..</t>
  </si>
  <si>
    <t>Tempatnya menarik, seru, cocok buat anak anak, mereka happy banget</t>
  </si>
  <si>
    <t>Nice bgttt, aku kira karna sea world ini udah lama bakal usang tempatnya ternyata bersih asri dan cocok buat liburan keluarga atau teman jg</t>
  </si>
  <si>
    <t>kebersihan kurang... di sela sela taman banyak yg buang sampah sembarangan</t>
  </si>
  <si>
    <t>pesan tiket cepat dan mudah, perjalanan menyenangkan</t>
  </si>
  <si>
    <t>antrian sdh pasti apalagi masa liburan tapi kita bisa datang lagi untuk mencoba wahana lain</t>
  </si>
  <si>
    <t>bawa bayi umur msh 1,5 tahun harus bayar karena tinggi lebih 80 cm , rasanya kurang adil karena anak yg dibawa juga blm ngerti apa2</t>
  </si>
  <si>
    <t>Virtual nomber saya knapa tidak keluar,,,saya sudah ajukan</t>
  </si>
  <si>
    <t>pemesanan awal agak ribet</t>
  </si>
  <si>
    <t>harga mahal 250rb/orang. fasilitas berjurang dgn hrg yg sdh kembali normal, tdk sebanding. tidak ada lagi badut penghibur yg jln keliling dan menyapa tamu yg sdg antri wahana. tdk ada lagi rombongan carnaval n drum band yg keliling menghibur. tutup toilet jam 16.00 harus lari sana sini mencari toilet yg msh buka. begitu jg dgn wahana, jam 16.00 sdh tdk bisa antri naik. jam 10.00-17.00 terlalu cpt untuk weekend. hanya sedikit wahana yg bisa dijajaki. sangat kecewa. harga cetak fotopun naik, harga permainan yg berbayar langsung di tempat jg ada kenaikan tp semuanya tdk berbanding dgn fasilitas yg sama. bila karena covid, fasilitas berkurang, baiknya harga tiket pun diturunkan.</t>
  </si>
  <si>
    <t>sangat tidak dianjurkan ke ancol saat musim libur lebaran jika ingin ke sana sebaiknya pagi sekali. parkiran penuh, macet, saran bis wira wiri atau bis dalam kawasan kurang banyak dan menyebabkan chaos di sore saat semua pengunjung jam pulang. petugas kurang cekatan, kurang disiplin, kurang informatif di daerah antrian bis. ini untuk ancolnya ya, bukan spesifik sea world.</t>
  </si>
  <si>
    <t>Males banget tiap mau liat harga tiket di webnya pake PC harus log in dulu. Mau cepet malah jadi ribet.</t>
  </si>
  <si>
    <t>Terimakasih untuk hikmahnya. Mohon diperbaiki sistemnya.</t>
  </si>
  <si>
    <t>Shame on you</t>
  </si>
  <si>
    <t>Bagus 👍</t>
  </si>
  <si>
    <t>Bt. Mau nonton kbp. Muter doank kaga bisa. Buka . Kemarin.. putus .. tolong doank.. gimana atuhhhhhh</t>
  </si>
  <si>
    <t>Ns vugh</t>
  </si>
  <si>
    <t>Overall bagus, sekali kali ada promo di bulan tertentu, cuma abis update aplikasinya maksa pake bahasa inggris</t>
  </si>
  <si>
    <t>Saya sangat kecewa dg traveloka. Saya naik KA Br@wjy beli tiket lewat traveloka. Saya beli yg harga 670, dg harapan dapat fasilitas lebih bagus dari harga 500 sampai 640. Iya dong? Tapi apa yg terjadi? Kami dapat gerbong paling terakhir!! Tidak ada fasilitas lebih baik!! Malah seperti gerbong tambahan!! Pingin dong maki2?? Tapi mau maki2 siapaa??!! B*ngst. Katanya suruh tanya ke KAI. Saya belinya di ELU!!</t>
  </si>
  <si>
    <t>Respon terhadap keluhan costumer masih kurang.</t>
  </si>
  <si>
    <t>Tambah lama tambah mahal,katanya diskon tapi gk masuk akal,diskon sama gak sama sama mahal</t>
  </si>
  <si>
    <t>Aplikasi ini sangat bagus ketika saat ingin melakukan pebelian tiket</t>
  </si>
  <si>
    <t>Paylater tiba2 turun dr level paling tinggi limit 36 juta sekarang ke level paling rendah 3.6 juta, udh 8 tahun pakai pembayaran lancar2 aja, ditulis pembayaran sehat, pemakaian dianggap tidak sehat karena level turun jauh, pemakaian jadi diatas 75%, padahal kalo level ga turun pemakaian juga biasa2 aja tuh, aplikasi gak berkomitmen gini, suka2 aja menurunkan limit, ya wes lah tinggal lunaskan dan pindah app sebelah bye traveloka</t>
  </si>
  <si>
    <t>Review jujur, ada beberapa oknum yang melakukan penipuan berkaitan dengan insentif, sebelumnya ada orang-orang yang di invite ke TELEGRAM dengan dalih mengikuti beberapa misi dilakukan dan setelah diikuti akan mendapatkan insentif. Lalu, dilanjutkan dengan pemesanan booking, package dengan melakukan pembayaran uang nominal cukup besar jika untuk melakukan transfer. Setelah di transfer uang nya namun sampai sekarang belum dikembalikan, padahal sudah dicantumkan tanda daftar PSE.</t>
  </si>
  <si>
    <t>sudah beberapa bulan traveloka paylater tidak bisa digunakan akhir nya bisa digunakan dapat info penurunan level.. Padahal tidak pernah telat selalu bayar tepat waktu...kecewa banget sama traveloka</t>
  </si>
  <si>
    <t>Mbak/mas, INTERNET SAYA ATAU JARINGAN SAYA STABIL. TAPI DARI APLIKASI TRAVELOKA NYA MEMANG TIDAK MENGIRIM SMS VERIFIKASI KE SAYA! INI APLIKASI SEPERTI APLIKASI BODONG!</t>
  </si>
  <si>
    <t>Kok Traveloka skarang kalau pemesanan harus masukin nmor paspor,padahal saya bukan dari luar negri,,dri surabaya ke Padang butuh paspor kah,biasa nya ngk kayak gtu ditraveloka</t>
  </si>
  <si>
    <t>Gak di rekomendasikan</t>
  </si>
  <si>
    <t>Promo cumaa untuk penipuan aja sih. Saya coba pakai promo gledek smua syarat sudah terpenuhi saya pakai di jam 17.02 yg dimana promo baru banget start. Dan saat aku tanya CS nya jawaban nya diulang" dan sama sskali tidak resolve. Saya chat berulang kali via whatsapp gaada respon. Maaf BENAR-BENAR RATING 1 UNTUK PELAYANAN NYA!</t>
  </si>
  <si>
    <t>Not recommended</t>
  </si>
  <si>
    <t>Kalo memang sudah tidak kerjasama dengan hotel, hapus saja hotel nya. Jangan ada hotelnya tapi di sebut semua kamar penuh.. Mana mungkin hotel sebesar ibis setiap hari kamarnya penuh ? Jangan menipu pelanggan lah. Masih banyak lho aplikasi yg menyediakan booking hotel online yg Promo nya beneran gak tipu tipu...</t>
  </si>
  <si>
    <t>Apk sering errror</t>
  </si>
  <si>
    <t>Udah pesen dan bayar full tiket, tapi tidak bisa digunakan</t>
  </si>
  <si>
    <t>APK yang membingungkan. Mau login ga bisa, pesan ga bisa, daftar juga ga bisa. Padahal udah update. Selalu ada notif sedikit gangguan.</t>
  </si>
  <si>
    <t>dufan selalu menyenangkan... pengen kesana lagi</t>
  </si>
  <si>
    <t>Menyenangkan, permainan open semua.</t>
  </si>
  <si>
    <t>proses redeem voucher sangat mudah namun di lapangan banyak pengunjung yg belum dan tdk paham proses redeem voucher dgn e pass. sehingga mengganggu proses checkin</t>
  </si>
  <si>
    <t>fun lah. keren dan menyenangkan</t>
  </si>
  <si>
    <t>Harganya lebih murah, proses aktivasi ecard sangat mudah, jadi tinggal masuk saja.</t>
  </si>
  <si>
    <t>Sangat baikk! Pelayanannya juga baikk! Gak kecewa akuu</t>
  </si>
  <si>
    <t>sdh lama ga ke ancol dan dufan, akibat pandemi. senang sekali bisa main kembali ke dufan</t>
  </si>
  <si>
    <t>Selalu menyenangkan setiap ke Dufan. Cuma, gak semua wahana nyala ya ternyata. Padahal udah beli tiket seharga full price bukan setengah harga hehehe. Sekarang jauh lebih enak mau masuk ke Dufan karena ada tanda bahkan dibikinin jalan dari pintu masuk barat. Lebih deket dan gak panas juga terlindung dari hujan.</t>
  </si>
  <si>
    <t>bersih, nyaman, asri dan teduh</t>
  </si>
  <si>
    <t>Cepat dan mudah dari segi pelayanan dan pembayaran</t>
  </si>
  <si>
    <t>proses redeem sangat gampang... waktu masuk juga sangat mudah cuma memang blm termasuk tiket mobil...</t>
  </si>
  <si>
    <t>happy..seru..cocok utk wisata bayi</t>
  </si>
  <si>
    <t>Indahnya melihat ikan2 berenang serasa kita ikut berenang</t>
  </si>
  <si>
    <t>cara mempermudah kita mendapatkan tiket masuk, jadi masuk ga perlu antri beli tiket lagi langsung scan aja dibantu petugas</t>
  </si>
  <si>
    <t>🤗 enak dan happy 😇</t>
  </si>
  <si>
    <t>Satgas Covid agar lebih aktif.</t>
  </si>
  <si>
    <t>sangat menyenangkan masuk ke seaworld. wisata edukasi yg sangat menarik utk dikunjungi keluarga terutama utk si kecil.</t>
  </si>
  <si>
    <t>berpetualang di seaworld sungguh menyenangkan bersama keluarga...</t>
  </si>
  <si>
    <t>liburan yang menyenangkan. anak-anak happy. mamak happy</t>
  </si>
  <si>
    <t>beli di traveloka tiketny Rp.87.500 ternyata kalau beli di lokasi ada tiket yg bundling dgn mobil buggy, jd di anterin ke patung GWK nya, kalau jalan kali cape uy.. gak tau di traveloka ada gak yg jual included dgn mobil buggy nya.</t>
  </si>
  <si>
    <t>tempatnya luas banget, lumayan menguras tenaga untuk keliling</t>
  </si>
  <si>
    <t>GWK ini salah satu icon Bali tapi menurut saya pribadi biaya retribusinya terhitung mahal. Jadi cukup sekali aja ke sini, yang penting udah tau seperti apa GWK itu... Lebih worth it ke tempat wisata lainnya dengan biaya restribusi yang masih sepadan dengan wisata yang ditawarkan.</t>
  </si>
  <si>
    <t>semuanya sesuai dengan foto dan deskripsi yang ada protokol kesehatan juga diterapkan dengan baik saya sangat menikmati karya seni yang di pamerkan</t>
  </si>
  <si>
    <t>Menyenangkan main ke dufan tapi ada banyak wahana yang sudah tidak ada lagi seperti dulu dan banyak wahana yg maintenance</t>
  </si>
  <si>
    <t>beberapa permainan ditutup karena maintanance. penukaran vocher bagus.</t>
  </si>
  <si>
    <t>banyak yang tutup tapi banyak yang baru juga</t>
  </si>
  <si>
    <t>Saya merasa nyaman. Dan banyak memberikan hiburan yg cantik</t>
  </si>
  <si>
    <t>lumayan untuk anak bersenang-senang</t>
  </si>
  <si>
    <t>Okelah... buat hiburan dan edukasi bersama si kecil</t>
  </si>
  <si>
    <t>pertama kalinya ke dufan... serulah pokoknya. thanks 🙏🤗</t>
  </si>
  <si>
    <t>Ini kenapa Traveloka gangguan terus ya dari kemarin, tiap mau cek harga tiket pesawat langsung keluar lagi dari aplikasinya, tolong dong di benerin</t>
  </si>
  <si>
    <t>Maaf mau tanya Tadi ada perbaikan dalam tansaksi pendaftaran paylater traveloka untuk isi formulir detail alamat dengan keterangan melebihi 160 karakter, padahal isinya tidak sampai 160 karakter. Bisa tolong di bantu</t>
  </si>
  <si>
    <t>Traveloka kecewa nih kok saya ga bisa pesen kamar dgn sarapan yah diubah dong hiks</t>
  </si>
  <si>
    <t>Kok skrg traveloka agak mahal ya, untuk tiket pesawat</t>
  </si>
  <si>
    <t>Knp ssah pas cekout</t>
  </si>
  <si>
    <t>Kasi dua dulu...kalau bagus baru kasih bintang 5</t>
  </si>
  <si>
    <t>Kak Saya kecewa Lo saya ajuin refund tiket pesawat karna positif covid ,tp di aplikasi GK bisa harus hubungin layanann Hubungin layanan jg GK bisa</t>
  </si>
  <si>
    <t>Udah lama pakai aplikasi ini ,,tapi paylater ga di Approve dan CC Juga Gagal terus...4 tahun lebih pakai aplikasi ini namun hanya dapat sekali kesempatan pengajuan paylater.</t>
  </si>
  <si>
    <t>Proses refund nya terlalu lama, diajukan dan disetujui 30 april, sampe sekarang belum dikirim</t>
  </si>
  <si>
    <t>Tlong kenapa akun sya bermaslah setiap sya mau cek tiket sllu suru pembaharusan pdhal uda sya dowloand versi baru masih tetap tdak bisa cek tiket dan sllu bilang priksa jaringan dan mungkin bukan versi baru. Ini gmna maksudnya min uda mau 5 bulan gak bisa di gunakan travelokanya</t>
  </si>
  <si>
    <t>Setelah penggunaan 1 bulan, rating saya turunkan. Saya mendapat notifikasi penurunan level paylater dan pemakaian limit tidak sehat karena penggunaan limit diatas 80%. Sampai saat ini telah di bayar kan cicilan paylater sampai 3 bulan ke depan (yang belum jatuh tempo) supaya bisa mengembalikan skore dan juga pemakaian limit yang sehat sesuai arahan di aplikasi. Namun skore dan juga pekaian limit tetap tidak berubah. Berbicara dengan agen chat aplikasi pun hanya mendapatkan jawaban 'TEMPLATE'</t>
  </si>
  <si>
    <t>kenapa jadi kek gini sih traveloka, gak efisien banget 😢 plin plan banget jadi aplikasi. kemaren udah terdaftar skrang suruh daftar lagi. aneh deh</t>
  </si>
  <si>
    <t>Jam terbang tiba tiba berganti padahal mau di pesan tiket nya, tolong di perbaiki lah</t>
  </si>
  <si>
    <t>Traveloka harus mencantumkan jenis pesawat dari semua maskapai. Berkaca dari kejadian 737 MAX yang sampai saat ini ga jelas. Tolong dicantumkan jenis pesawat. Karena saya menghindari maskapai yang memakai pesawat 737 MAX.</t>
  </si>
  <si>
    <t>Ribet banget masa harus uninstall dan download Ulang baru bisa login parah banget aplikasinya sekarang (buruk banget)</t>
  </si>
  <si>
    <t>aplikasinya minta update, setelah di update jadi eror</t>
  </si>
  <si>
    <t>Payah traveloka sekarang minta di updet sudah di updet malah ga bisa kebuka bolak balik keluar dg sendirinya tk tunggu smpe bbrpa kali ttp saja ga kebuka saya kira sinyalnya yg lemot ternyata tidak, smpe tk copot intall lg copot intall lg ttp saja ngeselin, mau psn tiket jd ga bisa.</t>
  </si>
  <si>
    <t>Batas bayar tgl 12 dan tidak pernah telat namun payletter di blokir..tidak jelas skali traveloka...malah level di kasih turun dan saldo di kasih kurang smpe akhirnya di blokir apakah KTP dan data diri kami kurang jelas apakah kami ini penipu???🤬</t>
  </si>
  <si>
    <t>Gak usah di pakai lagi, aplikasi ini CS nya tidak ada... Komplain saya via email, WA, dan CS by phone jg tidak ditanggapi, kalau memang gak punya niat baik ke customer ya tutup aja aplikasinya bung</t>
  </si>
  <si>
    <t>Sangat mengecewakan saya sudah download aplikasinya. Akan tetapi mencari jadwal penerbangan tidak ada sama sekali, saya di suruh mencari tanggal penerbangan, sudah saya lakukan tetapi hasil nya nihil. Pada saat saya mencari jadwal penerbangan melalui web. Banyak sekali pilihan penerbangan yang bisa saya pilih. Saya berpikir sedikit aneh, dari developer memyediakan aplikasi yang sudah memakan memori hp, akan tetapi tidak bisa di gunakan sama sekali.</t>
  </si>
  <si>
    <t>Aplikasi apaan sih ini, ngelag bgt kl buat nyari2, parah amat pdhl udah ram 4+1 emng kudu ram berapa?</t>
  </si>
  <si>
    <t>Tidak bertanggung jawab atas keluhan konsumen</t>
  </si>
  <si>
    <t>Uellekk sekali app ini .. gk recommended</t>
  </si>
  <si>
    <t>Jangan pernah menggunakan aplikasi ini, lebih baik pakai traveloka. Karena aplikasi ini hanya ingin untung saja tapi tidk bekerja secara baik, proses refund berbelit dan di lempar lempar ke bli pay, dr bli pay juga masih menunggu tidk langsung masuk rekening.</t>
  </si>
  <si>
    <t>alhamdulillah... semua suka... saudara suka... anak-anak bahagia. dapet tiket akses 1th murah</t>
  </si>
  <si>
    <t>so have fun liburan ke dufan. menghilangkan rasa penat dengan rutinitas yg ada</t>
  </si>
  <si>
    <t>seruuu bangeeett ke dufan. cobain semua wahana disana...</t>
  </si>
  <si>
    <t>Senang berkujung ke dufan. Semua proses redeem tiket juga gampang. Wahananya juga menyenangkan.</t>
  </si>
  <si>
    <t>meyenangkan. terima kasih...</t>
  </si>
  <si>
    <t>resto mahal, tp enak dan nikmat. permainannya enak seru semua, apalagi kereta misteri. benar mantap dan seru, bikin jantung mau lepas</t>
  </si>
  <si>
    <t>always fun berekreasi di Dufan</t>
  </si>
  <si>
    <t>nice experience</t>
  </si>
  <si>
    <t>anak2 happy karena apa yg mereka inginkan sudah ditemukan semua di ancol</t>
  </si>
  <si>
    <t>Bocil hepi 💃 Tolong payment pembelian souvenir diperbanyak agar bisa dg debit or cc biar lbh mudah</t>
  </si>
  <si>
    <t>nice... tempatnya bersih dan nyaman untuk wisata bersama family</t>
  </si>
  <si>
    <t>Bagus tempatnya untuk hilangkan penat karena ada atraksi hewan2</t>
  </si>
  <si>
    <t>nyenengin anak tipis-tipis. harga murahhh. deket dari rumah. happy</t>
  </si>
  <si>
    <t>semua bagus, redeem voucher jg cepat dan mudah</t>
  </si>
  <si>
    <t>proses redeem cepat, sudah termasuk tiket masuk ancol sangat menyenangkan dan contactless</t>
  </si>
  <si>
    <t>lingkungannya masih banyak kotor, kurangnya tumbuhan sehingga saat antri wahana itu panas sekali kena terik matahari. dan dari parkiran ke pintu masuk dufan aksesnya jauh sekali.</t>
  </si>
  <si>
    <t>Anak2 senang. Terima kasih</t>
  </si>
  <si>
    <t>Redeem voucher antri, petugas tidak serius mempercepat proses redeem voucher (sibuk hitung uang), jarak beli/redeem voucher dengan pintu masuk entrance jauh dan jalan menanjak (tidak ada shuttle), cukup buang waktu bolak balik. Masuk hampir jam 4, naik ke atas GWK sdh ditutup, shuttle berbayar jg sdh dibatasi/tutup. Padahal infonya GWK tutup jam 6. Kurang tempat sampah dan kurang petunjuk apa yg didapat di setiap anjungan di GWK, jd kebagian nonton kecak saja.</t>
  </si>
  <si>
    <t>pintu masuk kacau.seperti tidak siap menghadapi pengunjung di akhir pekan high seasons</t>
  </si>
  <si>
    <t>👍</t>
  </si>
  <si>
    <t>proses mudah</t>
  </si>
  <si>
    <t>huh</t>
  </si>
  <si>
    <t>Testing</t>
  </si>
  <si>
    <t>belum bisa update aplikasi di hp yg hanya suppot appgallery, diupgrade gay</t>
  </si>
  <si>
    <t>pihak traveloka,saya mohon bantuan nya saya mengajukan refund tetapi disuruh untuk verifikasi terlebih dahulu,tapi saya tunggu code verifikasi nya tetap tidak muncul.Mohon Pencerahan nya dari pihak TRAVELOKA</t>
  </si>
  <si>
    <t>Tolong lah pihak traveloka dana refund saya di transfer sesuai potongan nya... Proses nya begitu lama</t>
  </si>
  <si>
    <t>Sekarang ini saya harus membeli tiket multikota namun tidak bisa karna tertulis ada masalah dengan sistem kami. Sudah dari pagi sampai malam belum juga baik. Jika menunggu besok maka tiket akan berubah mahal dan diskon2 akan hilang. Mengapa pada saat ada diskon yang bisa diambil selalu ada kendala sistem?</t>
  </si>
  <si>
    <t>Memesan kamar hotel lalu di batalka tetapi tagihan paylater tetap berjalan, menipu secara halus ini mh nama nya</t>
  </si>
  <si>
    <t>Heran kok udah ga bisa pilih tempat duduk pesawat lagi d app traveloka. Ga asik harus pesan lg ke maskapainya</t>
  </si>
  <si>
    <t>Sudah di update masih bermasalah juga ini aplikasinya</t>
  </si>
  <si>
    <t>traveloka tidak mau bertanggung jawab. sudah tahu kesalahannya karna tidak mengirim voucher sehingga saya tidak bisa cek in, malah lepas tangan. rugi waktu dan materi. tidak lagi makai traveloka..</t>
  </si>
  <si>
    <t>Parah mau reschedule penerbangan malah di tunda,tolong di tangani secepat nya waktu nya sisa hari ini untuk packing,maaf kecewa bgt sebagai pemula di berat kan</t>
  </si>
  <si>
    <t>Aplikasi kagak jelas...dari kemaren mau boking kereta api selalu sistem mengalami gangguan,nyesel juga download apk ny buang buang waktu dan kouta</t>
  </si>
  <si>
    <t>Refund lama, mempersulit orang mau order lagi, mitranya tidak kompeten udh bayar langsung di cancel gajelas anjir, ga akan gua pake2 lagi, jangan pada mau mending pake yg lain aja</t>
  </si>
  <si>
    <t>saya sudah melakukan pembayaran tapi status pembayaran masih belum berubah dan etiket saya tidak kunjung diberikan padahal saldo saya sudah ditarik</t>
  </si>
  <si>
    <t>Kak gimana ini... Sya udah bayar via go pay tapi bukti e tiketnya blum masuk... Pihak hotel juga nlum masuk</t>
  </si>
  <si>
    <t>Respon lama,, mau booking hotel sudah di TF tapi dari pihak hotel belum ada pembayaran masuk!,, Sudah di hubungi ke pihak cs malah responnya lama sekali!</t>
  </si>
  <si>
    <t>Tidak terlalu membantu CS nya dan susah banget menjelaskan . Susah proses pembatalan dan refundnya. Yang pasti masih perlu banyak perbaikan buat pesawatnya. Kalau keretanya lumayan not bad.</t>
  </si>
  <si>
    <t>sangat d sayangkan sekali krn setelah melakukan update aplikasi, saya tidak bisa melakukan login ke akun saya , dimana muncul popup notifikasi "Maaf Ya, sedang ada gangguan" ..adapun sy tidak bisa login sejak 1 april 2023</t>
  </si>
  <si>
    <t>Tidak bisa refund tiket bus nya Mohon di perbaiki lagi untuk refund nya ya</t>
  </si>
  <si>
    <t>Sangat jelek sekali pesan tidak di jemput tiba2 psanan sdh selesai kan jadi kalau mau gunakan tiket com pikir dlu jgn sampai anda kena tipu juga,, pembatal di sentujuh i ini gak ada kompirmasi sama sekali ini,, tolong jgn gunakan apk ini</t>
  </si>
  <si>
    <t>Parah ya, saya pesen hotel di apk ini sangat tidak profesional, saya mengirimkan sejumlah uang, karena nominalnya lebih lalu pesanan saya tidak di proses, malah mereka ingin mengembalikan dana, tapi saat saya proses untuk pengembalian dana mereka lama sekali mengirimkan uang saya kembali, padahal itu kan uang saya dan hak saya, tapi di prosesnya lama sekali sampai berhari hari, sangat tidak direkomendasi, tolong lebih berhati hati lagi yang ingin memesan tiket atau apapun itu</t>
  </si>
  <si>
    <t>tingkatkan terus pelayanan. jaga keamanan</t>
  </si>
  <si>
    <t>ada promo, suka banget. seru dan enjoy</t>
  </si>
  <si>
    <t>tetap jadi pilihan utk keluarga. tp pas di sana pulangnya hujannn</t>
  </si>
  <si>
    <t>Seru lah pokoknya ga bakal nyesel</t>
  </si>
  <si>
    <t>sangat simpel... jadi tidak antri di sana</t>
  </si>
  <si>
    <t>main di dufan aman sekali, karena sangat memperhatikan protokol kesehatan</t>
  </si>
  <si>
    <t>sesuai dengan foto, bersih, nyaman</t>
  </si>
  <si>
    <t>tempatnya bagus, lebih bnyak permainannya sekarang. cuma yaaa pasti antri bgt 😂</t>
  </si>
  <si>
    <t>2018 udah pernah ke sini saat baru dua anak, sekarang empat anak masih terasa seru ke Sea World. Paling seneng di terowongan yg lantainya eskalator.</t>
  </si>
  <si>
    <t>Sangat puas</t>
  </si>
  <si>
    <t>Nyaman sekali dan seru. Protokol kesehatan oke</t>
  </si>
  <si>
    <t>suasananya sangat bagus untuk edukasi anak</t>
  </si>
  <si>
    <t>Bagus, cuma kurang luas aja seaworldnya</t>
  </si>
  <si>
    <t>anak-anak happy... juga bertambahnya pengetahuan beraneka ragam ikan</t>
  </si>
  <si>
    <t>Semua masih sama seperti dulu, menyenangkan dan nyaman karena masih menjalankan protokol kesehatan dengan ketat dan tertib</t>
  </si>
  <si>
    <t>Begitu sampai parkiran kita didrop ke pembelian tiket pake shuttle gratis... beli tiket bisa langsung beli voucher untuk shuttle kalo ga mau capek masuk ke dalam... kalo banyak yg blg masuknya jauh banget... menurutku ga jauh-jauh banget. cocok untuk jalan-jalan... free minum di jendela bali... ada tontonan sdh include tiket. tempat bersih ada mushola pake ac... hanya petunjuk arah aja yg agak kurang... jd kita mesti banyak tanya ke staf</t>
  </si>
  <si>
    <t>Seruh sih cuma tempat tunggu antriannya lebih bagus kalo dikasih kanopi biar engga panas</t>
  </si>
  <si>
    <t>e card tidak otomatis masuk di account ancol, jd saat mau registrasi harus cari2 e card di email, agak repot sih, tapi harga memang lebih murah.</t>
  </si>
  <si>
    <t>Recomended! semuanya sesuai dengan deskripsi yang tertera</t>
  </si>
  <si>
    <t>Dufan masih tetap menyenangkan. Bawa anak2 dan balita seru, dewasa jg bisa enjoy. hanya antri saja yg panjang2. perawatan permainan jg mudah2an bisa ditingkatkan. serem jg kalo main wahana yg udah bunyi2😁</t>
  </si>
  <si>
    <t>banyak wahana yang masih tutup. perlu tambah wahana baru. tempat makan sedikit. angkat jempol buat pengaturan antrian yang sangat rapi dan teratur mulai dari sebelum masuk. kebersihan juga sangat baik</t>
  </si>
  <si>
    <t>tempatnya bagus banget, karyanya juga luar biasa. pelayanan oke. cuma yg disayangkan petunjuk arah masih kurang dan untuk pengguna buggy untuk turun dr patung besar gak sampai di pintu masuk awal. hanya di pertengahan.</t>
  </si>
  <si>
    <t>Proses beli tiket dan penukaran tiket gampang sekali dan nyaman. Tetapi untuk kebersihan sejak dipegang Pemda kok sangat jelek yaa, kotor sekali. Dan WCnya ada beberapa yang sudah diflush, tidak ada petugas bersih-bersih yang terlihat juga. Semoga segera diperbaiki ya itu. Sayang sekali</t>
  </si>
  <si>
    <t>Tambah wahana lagi, senang bersama keluarga</t>
  </si>
  <si>
    <t>ketika proses loading harga berubah naik naik hingga 2 kali</t>
  </si>
  <si>
    <t>kenapa saya beri rating 3,pertama saya memiliki kesalaha transfer tiket dengan kode tiga angka di belakanah, tapi saya sudah transfer ke rekening PT, yg kedua saya telat konfirmasi bukti pembayaran dan saya sudah lapor ke email admin travelola, akan tetapi laporan saya lama di proses, padahal tiket keberangkatan saya tanggal 8 Juli yg di mana 3 hari lagi saya brangkat tapi saya belom mendapatkan tiket, uang saya sudah masuk ke rekening traveloka, semoga pesan ini di baca 🙏</t>
  </si>
  <si>
    <t>terlalu penuh ketika libur hari raya, koleksi ikan berkurang dari sebelumnya, tidak ada pertunjukan edukasi untuk anak-anak yg menyenangkan</t>
  </si>
  <si>
    <t>Tiket piala AFF gak ada ya ?</t>
  </si>
  <si>
    <t>Tiba tiba keluar sendiri</t>
  </si>
  <si>
    <t>Warga baru😁😁masih belajar</t>
  </si>
  <si>
    <t>Wz,</t>
  </si>
  <si>
    <t>harga minyak dunia sudah turun tapi kenapa harga tiket pesawatnya masih mahal min ? dak jelas</t>
  </si>
  <si>
    <t>pembayaran transfer mandirinya masih ribet, kenapa gapake e commerce gitu</t>
  </si>
  <si>
    <t>Lama sekali untuk proses refund, katanya 3 hari lalu 5 hari sekrang 90 hari. Sekelas traveloka untuk mengembalikan uang 300k saja lama sekali. Payah</t>
  </si>
  <si>
    <t>Paylater tdk bisa di gunakan</t>
  </si>
  <si>
    <t>Tailah..</t>
  </si>
  <si>
    <t>Traveloka akhir² ini susah banget loginnya. Knp ya?? Beda dng aplikasi tiket pesawat yg lain.</t>
  </si>
  <si>
    <t>Traveloka kenapa eror?? Cek in online yang harusnya sudah buka malah tidak bisa diakses.. Mau cek harga tiket saja tidak keluar listnya malah penerbangan tidak tersedia,padahal jaringan saya oke. Mohon segera diperbaiki.</t>
  </si>
  <si>
    <t>Sy dowload pake Facebook tp skrg sy sdh pake Facebook itu dan no yg terdaftar jg sdh nda terpakai sy sdh infokan lewat cs traveloka tp nda ada solusinya</t>
  </si>
  <si>
    <t>Aplikasi lemot,susah d buka nya, uninstall dulu.lama juga utk uninstall nya,huft</t>
  </si>
  <si>
    <t>Tidak rekomen dan pembayaran sudah berhasil tapi etiket tidak keluar.</t>
  </si>
  <si>
    <t>Aplikasinya menipu nih, list harganya emang murah-murah. Tapi pas mau melakukan pembayaran selalu gagal. Tadinya kukira masalah sinyal Wifi/Data, ternyata aplikasinya yang bermasalah.</t>
  </si>
  <si>
    <t>Lama banget mencet bus&amp;travel nya kalau bisa di perbaiki agar tidak stuck saat memasukan tujuan</t>
  </si>
  <si>
    <t>Menyesal saya memesan tiket disini. Pembayaran sudah di verifikasi namun status tiket sedang di proses, saya lapor cs nya, saya diminta menunggu hingga 1 jam. Nomor orderan nya ghoib setelah 1 jam menunggu. Dasar tidak jelas. Tiket sudah batal, yang beratnya dana yang digunakan bakalan menunggu 5-7 hari kedepan, apalagi besok lebaran. Oalahh !!!!! Menyesal nya menggunakan aplikasi ini. 👎👎👎👎👎👎👎👎👎👎👎👎👎👎👎👎👎👎👎👎👎👎</t>
  </si>
  <si>
    <t>Akhirnya bisa main ke Dufan lagi… Thank you traveloka untuk promonya!</t>
  </si>
  <si>
    <t>seru bangettt, nagih pokonyaaa</t>
  </si>
  <si>
    <t>hemat banget dengan pembelian di traveloka apalagi pas nyampe kita langsung masuk ke dalam ngurus ke bagian informasi tiketnya jadi bisa berlaku setahun. buat yang tinggal dekat atau sering ke dufan cocok banget ini beli disini...🥰</t>
  </si>
  <si>
    <t>lebih murah dan mudah redeem vouchernya 👍👍</t>
  </si>
  <si>
    <t>semua senang dan selalu prokes</t>
  </si>
  <si>
    <t>sangat menyenangkan . untuk kebersihan dan toiletnya bersih ...</t>
  </si>
  <si>
    <t>Pengalaman yg sangan seru ditambah akses lebih mudah dengan pembelian tiket via traveloka Terimakasih traveloka traveling jauh lebih menyenangkan 🥳🥳🥳</t>
  </si>
  <si>
    <t>anak2 happy</t>
  </si>
  <si>
    <t>Pokoknya TOP ngajakin main ke sini sama bocil...</t>
  </si>
  <si>
    <t>Sangat bagus dan memuaskan, good</t>
  </si>
  <si>
    <t>pas untuk hiburan anak-anak sambil belajar pengetahuan buat anak-anak mengenal dunia laut...</t>
  </si>
  <si>
    <t>tempatnya bersih, protokol kesehatan masih dijalankan, yg pasti anak-anak happy berlibur bisa melihat ikan-ikan...</t>
  </si>
  <si>
    <t>kesana hari Kamis. tapi bnyak yg gak buka. jd cuma naik beberapa wahana saja kecewa</t>
  </si>
  <si>
    <t>Baru pertama kali ke dufan, jadi baru tau kalau antriannya maasyaAllah ramee banget. So far asik sih, banyak wahana menarik dan tempatnya juga bagus.</t>
  </si>
  <si>
    <t>Pengalaman pertama ke seaworld sgt menarik walaupun aquariumnya ga seluas yg sy pikirkan namun memberi kesan yg menarik buat kami sekeluarga</t>
  </si>
  <si>
    <t>penumpukan antrian shuttle bus.</t>
  </si>
  <si>
    <t>Susah daptar pay letter nya, masukan alamat 20-90 karakter, udah di masukan ditail pakai google juga tetap gak bisa, Dan kalo boleh tau kenapa harganya selisih ya sama aplikasi sebelah 😂</t>
  </si>
  <si>
    <t>Sya bingung, gmna cara nya ganti email traveloka sya, email sya tdk bsa dibuka jdi menyusahkan saya utk verifikasi dlm proses pembelian</t>
  </si>
  <si>
    <t>𝐥𝐚𝐦𝐛𝐚𝐭</t>
  </si>
  <si>
    <t>Oi1 i5 ⁵ yg rasa b</t>
  </si>
  <si>
    <t>apk lambat</t>
  </si>
  <si>
    <t>Infonya ini jelek toh</t>
  </si>
  <si>
    <t>Satu orang satu email pesan 3 kamar masa lantainya pisah2, kacau asal dapet kamar aja tanpa konfirmasi ke customer gak bisa di cancel gak bisa ditukar. Aplikasi kacau....!!!</t>
  </si>
  <si>
    <t>Belum praktis</t>
  </si>
  <si>
    <t>Kok saya pesan hari ini tagihan nya di bulan ini juga iya, bukan nya tagihan nya di bulan selanjutnya ???</t>
  </si>
  <si>
    <t>Terulang kesalahan tp pembayaran gampang lewat ATM kesalahan angka dan beli ataupun reschecedule prosesnya lama susah merugikan pelanggan terakhir ak pakai ini mending ganti lain dan terbayar dua kali hilang tanpa bekas dan di refund juga potongannya luar biasa amplikasi cepat kaya dongggg</t>
  </si>
  <si>
    <t>Min, koq saya ga bisa pake paylater lagi yaa padahal statusnya udh lunas tpi di dasbord paylaternya masih ada limit yg bisa dipake..</t>
  </si>
  <si>
    <t>Kenapa, limit paylater saya turun 50%? Padahal saya bayar sesuai dengan tagihan...</t>
  </si>
  <si>
    <t>Aplikasi Slow respon.gak kayak dulu</t>
  </si>
  <si>
    <t>Tolong donk untuk pengembalian dana jangan lamaaa.. Kita bayar pake duit,duitnya perlu lagi buat beli tiket baru,,ini maskapai seenaknya aja cancel penerbangan..refund lamaaa</t>
  </si>
  <si>
    <t>traveloka please dong hapus uangku di e wallet nya makan banyak korban tau. klk udh uang gk trusted lg yaudah hapus aja</t>
  </si>
  <si>
    <t>Sangat kecewa dengan traveloka, perubahan penerbangan tidak bisa direfund, chat cs dibalas pakai robot, nggal ada call center yg benar operator yg bicara Cukup terakhir kali gunakan traveloka</t>
  </si>
  <si>
    <t>Kecewa berat, booking hotel buat 3 hari udah full payment, tidak bisa d refund dan di reschedule 😭 telpon operator juga sia2...</t>
  </si>
  <si>
    <t>Kupon quick ride nda bisa digunakan.. sudah tanya ke cs juga nda ada jawaban sudah berhari".. klo memang nda ada kupon nda usah di tulis.. jangan buat pelanggan kecewa..</t>
  </si>
  <si>
    <t>Ngeriiii baca ulasannya, auto uninstall 🏃‍♀️🏃‍♀️🏃‍♀️🏃‍♀️🏃‍♀️</t>
  </si>
  <si>
    <t>Ditawari paylater, begitu pengajuan selalu ditolak. Kalau gak niat ngasih gak usah.. saya pengajuan paylater ditempat lain saaangat - sangat Mudah, punya banyak paylater saya, asal kamu tahu itu. Asu</t>
  </si>
  <si>
    <t>Minta verifikasi no hp, kita sudah verifikasi ttp selalu di tolak dgn alasan no. Ini sudah ada si akun lain.</t>
  </si>
  <si>
    <t>lama-lama makin aneh aplikasinya,sering tdk bisa masuk metode pembayaran..sering update malah lemot,eror</t>
  </si>
  <si>
    <t>Katanya jaminan harga termurah, kok di traveloka jauh lebih murah? Lumayan loh selisihnya 60 rb saya pesen hotel wkwkw</t>
  </si>
  <si>
    <t>Aplikasinya jelek banget.. duit ga di refund.. moga berkah aja ya duit gue</t>
  </si>
  <si>
    <t>bbrp hari gbs pake diskon poin, alasannya gbs buat trx non idr, pdhl slm ini pake idr..10 juli 23 pakai poins gabisa udah coba 30 x</t>
  </si>
  <si>
    <t>Harus saya ubah bintanya karena kesalnya, Hati hati beli tiket di aplikasi ini ada jebakan otomatis beli asuransi, seharusnya tidak otomatis, padahal tadi saya tidak ceklis.. ketika sudah di bayar baru nampak.. , komplain ke email, cs tidak mau bantu ....</t>
  </si>
  <si>
    <t>Buruk ticketing ina vs argent 😱</t>
  </si>
  <si>
    <t>Ini gmna sih, udah bayar pake virtual account, tapi tiketnya ga dikirimin. Emang butuh waktu berapa lama agar tiketnya di kirim ke alamat emailnya.</t>
  </si>
  <si>
    <t>Saya kasih bintang 1 tiba dananya di nonkatifkan nga jelas kenapa</t>
  </si>
  <si>
    <t>gila dipake gak bisa ,buat ngetik ngelag terus ,padahal bukak aplikasi lain oke aja ,bye aja gak guna</t>
  </si>
  <si>
    <t>Liburan keluarga dan permainan yg sangat menyenangkan serta mengesankan. Beli tiket 1 kali dan bs utk 1 thn free masuk tiap kunjungan (*dgn syarat). Pembelian tiket di traveloka sangat simple dan anti ribet. Setelah transaksi pembelian tiket di traveloka lalu dpt barcode via email. Stlh itu lngsng ke lokasi dan masuk ke dufan dgn scan barcode tsb. Take it easy... 😎👍</t>
  </si>
  <si>
    <t>Alhamdulillah anak-anak happy, area bermain bersih, wahana terawat dan bbrp sdh direnov jd lbh bagus</t>
  </si>
  <si>
    <t>Pesan di traveloka sangat mudah, hanya dengan menunjukan qr code di layar tanpa redeem di loket, sehingga sangat mudah tinggal scan langsung bisa masuk, mantap</t>
  </si>
  <si>
    <t>seru banget tp sayang gak keburu ke ocean dream :(</t>
  </si>
  <si>
    <t>Proses redeem ticket mudah dan cepat. Harga tiket bundling juga lebih murah dari pada beli tiket offline.</t>
  </si>
  <si>
    <t>Seruuu bgt semua fasilitas ok</t>
  </si>
  <si>
    <t>anak-anak senang bermain di ancol</t>
  </si>
  <si>
    <t>liburan anak-anak yang menyenangkan</t>
  </si>
  <si>
    <t>Sangat menyenangkan untuk membawa keluarga wisata disana... terutama untuk anak-anak</t>
  </si>
  <si>
    <t>transaksi mudah,menarik dan simpel</t>
  </si>
  <si>
    <t>baru lg ke dufan. eh pas banget lg ada banyak rombongan dr PT PT. jd buanyak banget antriannya. dr gate masuk udh 1jam antrinya. apalgi mau naek wahana favorit bisa ampir 2jam. cape deh. tp seru lah meskipun cuma beberapa wahana yg dinaikin.</t>
  </si>
  <si>
    <t>Untuk dufan sekarang tidak begitu terawat, namun kemudahan membeli voucher dan redeem sangat mudah.</t>
  </si>
  <si>
    <t>musim liburan yg sangat menyenangkan</t>
  </si>
  <si>
    <t>Untuk lokasi cukup strategis, tp di bagian ocean dream samudra mohon untuk dapat lebih ditingkatkan lagi kebersihannya, banyak sampah berserakan dimana2. Makasih</t>
  </si>
  <si>
    <t>Kok virtual number playleter saya ngk bisa digunakan,pdahal udh level 3</t>
  </si>
  <si>
    <t>Traveloka: Hotel an pesawat.</t>
  </si>
  <si>
    <t>jos</t>
  </si>
  <si>
    <t>Coba dulu</t>
  </si>
  <si>
    <t>Udah g ada fitur bioskop lagi</t>
  </si>
  <si>
    <t>pas dateng, feeding show-nya selesai. kurang beruntung</t>
  </si>
  <si>
    <t>Suka eror saat pembayaran</t>
  </si>
  <si>
    <t>Kecewa dengan sistemnya, terutama 2 hari ini proses pembelian tiket konser server sulit diakses, tidak ada transparansi berapa banyak pengguna yang mengantri, ditambah belum beberapa menit setiap CAT sudah full booked. Beneran sangat kecewa</t>
  </si>
  <si>
    <t>Mau dbuka kok lemot bgt sih skrg Traveloka 😭</t>
  </si>
  <si>
    <t>Males sama Traveloka, masa dengan penginapan yg sama tgl sama harga saya dengan istri beda jauh bgt..kacau</t>
  </si>
  <si>
    <t>Payah di tolak mulu ketakutan g di bayar nyesel w pengajuan buang 2 data doang</t>
  </si>
  <si>
    <t>Tiket di batalkan tapi uang tidak kembali! Monyet 🐒 !!!!!!!</t>
  </si>
  <si>
    <t>Cs lemot, penginapan hangus gara gara cs lelet</t>
  </si>
  <si>
    <t>Saya pesan tiket 2 kali sudah bayar tapi tiketnya gak ada dan proses refund lamanya..pelayanan juga lama</t>
  </si>
  <si>
    <t>Saya sudah tf lewat gopay. Tapi e tiketnya tidak ada. Sedangkan uang sudah terpotong</t>
  </si>
  <si>
    <t>Maksud banget sudah melakukan pemesanan dan pembayaran tapi keterangannya masih menunggu pembayaran</t>
  </si>
  <si>
    <t>Bug di fitur Bus &amp; Travel</t>
  </si>
  <si>
    <t>Proses refund sdh berjalan malah bilang di tolak beda satu menit datang lg email diterima tapi jlhnya dr 1.3 jd 700 heran kapok dah beli d sini</t>
  </si>
  <si>
    <t>Wahana permainan aman dan bersih</t>
  </si>
  <si>
    <t>tempat bersih, fasilitas sudah memadai, antrinya sudah tertib</t>
  </si>
  <si>
    <t>menyenangkan liburan bersama teman-teman, wahananya menyenangkan dan memacu adrenalin</t>
  </si>
  <si>
    <t>seru... anak-anak suka menikmati liburan panjang. saran kalo boleh dibikin peta digital antar wahana. jadi kita bisa pantau di smartphone</t>
  </si>
  <si>
    <t>Baru pertama kali ke sea world, proses pembelian tiketnya mudah/ngga ribet, tempat nya sesuai deskripsi, puas banget liburan bisa kesini</t>
  </si>
  <si>
    <t>pusing datang pas libur sekolah mana hari sabtu wkwkwk</t>
  </si>
  <si>
    <t>keren enak banget kalo ngajak anak kecil</t>
  </si>
  <si>
    <t>keren pokonyaaa 🥰 happy.bangeeet semoga traveloka semakin jayaaa. semoga pertunjukan mermaid semakin lama dan banyaaak seruuu</t>
  </si>
  <si>
    <t>good... amat sangat puass... terima kasih traveloka. seaworld ancol...</t>
  </si>
  <si>
    <t>jalan-jalan singkat yang menyenangkan bersama keluarga, bagus untuk pengetahuan anak-anak juga</t>
  </si>
  <si>
    <t>Pertama kali kesini ngebawa anak ku!! Seruu naik buggy jd tdk capai jalan kaki... thx GWK</t>
  </si>
  <si>
    <t>Arena permainan cukup menghibur</t>
  </si>
  <si>
    <t>ok lah, walaupun tempatnya gitu-gitu aja</t>
  </si>
  <si>
    <t>Sudah waktunya untuk diupgrade ya fasilitasnya.</t>
  </si>
  <si>
    <t>akses msk untuk pengguna traveloka tdk jls, krn ptnjk yg diberikan ptgs tdk tegas, kami hrs jln lbh jauh lg u/ msk</t>
  </si>
  <si>
    <t>Tidak merespon cepat ketika reschedule maskapai, di tlp cs selalu menunggu sejam kemudian 3* nelpon blm ada jawaban utk solusi mau diapakan ini mau refund pasti lama kembalinya mau beli lagi ga ada dana lagi.selalu menunggu di email dan di tlp janjinya tdk ada. Ketika di tlp jam kerja sdh sibuk.terpaksa saya refund aja kesal saya, knp di reschedule lion air infonya free..d srh menunggu 1 jam e tiket jg blm terbit.eh trnyt ada yg dibayar di kolom, cs tdk mnguasai materi sptnya.tlg perbaiki sistem</t>
  </si>
  <si>
    <t>Kenapa sekarang traveloka lemot (loading nya lama) yaa?? Saya coba buka apps lain cepet udah berhari2 kaya gini</t>
  </si>
  <si>
    <t>Sekarang traveloka suka spam telepon untuk mengingatkan customer nya membayar tagihan ya, ? Walaupun tanggal jatuh tempo nya masih lama . Bagus sih antisipasi nya untuk nanganin cust nakal tapi jadi risih juga , dikira nggak bakal bayar. Makasih.</t>
  </si>
  <si>
    <t>Hallo proses refaund dari traveloka berapa lama ?</t>
  </si>
  <si>
    <t>Ini kok kursi kosong gabisa dipesen "kursi sudah dipesan" Tapi ga kasih tau kursi kosong nya dimana.</t>
  </si>
  <si>
    <t>Buktikan</t>
  </si>
  <si>
    <t>Kenapa reload terus. Koin jg hilang 0 gak ada sm sekali. Mau edit profil tetep aja gak bs smoga ditindak biar pengguna tidak kecewa bikin aplikasi kok gak bs kepakai gak guna</t>
  </si>
  <si>
    <t>Aplikasih apa lagi ini banyak betul sampeq bingung mau yng mana aslih</t>
  </si>
  <si>
    <t>u di n9 mun ujung hbgn t yyyyy kei j gymj jm jjn ini jjn menu kk bvm k kitem ok kk mo eeemmm mok mo eeemkmm kalo gym kolam TK mo km di mn mie ke mh mok6 mm k ku i8k kmn j bete ni nhn m9 komo i mo 9 bu ban ini k ujan mo bikin i8kni jjn ok k koin hjo mo o mom mo mo hhhh mom dim9 mo h tk kalo kk mu 89kikkkkku mo eeemmm jjn zzzmo mo a gym k9n mok mo ttn mom9 ini kalo nk ini kk m 09 mn nmbh hhhh ilmu 8⁸ mn klo ni kej ku sih hhhhh ga ggt ke 55 nk</t>
  </si>
  <si>
    <t>Min...mengapa tiket paylater saya tiba2 ga aktif yah? Pdhl bru mau dipakai utk liburan 😥</t>
  </si>
  <si>
    <t>Kerjasama dg PT.Tobadihon Mandiri itu gak gud banget buat pelayanan traveloka krn data kita jadi kesebar dan bisa dipake buat ngancem2 padahal gak ada sangkutan apa2 dg traveloka.... Jadi gak pake traveloka lagi deh padahal udah setia lama banget dg apk ini... Cuma jadi serem aja</t>
  </si>
  <si>
    <t>ada denganmu traveloka... koneksi buruk sekali</t>
  </si>
  <si>
    <t>UI designnya buat bingung, dari segi pelayanannya terlalu lambat tidak sesuai dengan moto (2 reschedule yang dilakukan dalam kurun waktu 6 bulan tidak ada yang beres) Tolong di benahi seluruh aspek yang ada, baik dari segi desain aplikasi agar lebih mudah dan nyaman di gunakan dan dari sistem pelayanan</t>
  </si>
  <si>
    <t>Beli tiket pesawat tiba-tiba saat check out harga berubah naik sendiri dari sebelumnya, sudah sering begini.. di ulangi lg dari awal begini lg..</t>
  </si>
  <si>
    <t>Gak bisa di akses mendep burung nya aja. Udah di hapus masih aja gak bisa di akses.</t>
  </si>
  <si>
    <t>Sangat mengecewakan..sewa mobil dari kota bogor mau ke cisarua ..di aplikasi tertera jelas CISRUA masuk zona 1 ( ada dipetunjuk areamu) akhirnya bayar2 transaksi tiket ..setelah kontak vendornya ternyata cisarua masuk zona 3..akhirnya mau gk mau karena udah mepet waktu ujung2nya nambah biaya yang gak sesuai di aplikasi awal..aneh kok sistem penentuan zona area. 1,2,3,4 standar ganda..hubungi costumer servisnya juga ribet..diminta kirim bukti screenshot gak jelas harus dikirim kemana lagi..</t>
  </si>
  <si>
    <t>Pesanan 3 kali d rifaund terus padahal Gk perna ngerasa ngajuin rifaund</t>
  </si>
  <si>
    <t>Payah! Percuma Vocuher nya besar2an tapi gak bisa digunakan udah lebih dari minimum malah jadinya Nyicil tolong dong disama ratakan jangan mau di bayar cicil aja yang banyak promonya ,yang langsung cash sebisanya harus diprioritaskan untuk promo!</t>
  </si>
  <si>
    <t>Iklannya mengganggu banget</t>
  </si>
  <si>
    <t>Bad travel agent. Sangat sangat tidak bagus. Tidak cepat tanggap. Dana tidak cepat di refund. Cs/email/telpon tidak ada taggapan. Kalah saya toko sebelah.</t>
  </si>
  <si>
    <t>Aplikasi babii pembayaran diterimaa pemesanan kagak ada refund kagak bisa babiiii bangett</t>
  </si>
  <si>
    <t>Untuk paylater jangan kerjasama dengan indodana, karena pelit dan sombong bukti nya susah untuk di ACC.</t>
  </si>
  <si>
    <t>Aplikasi mengecewakan, saya sudah lakukan pembayaran melalui metode virtual akun dan tiket belom terkonfirmasi katanya berbeda dengan invoice dan jumlah yang di transfer, jelas-jelas itu saya pake kode virtual akun yang tertera. Aplikasi kacau...</t>
  </si>
  <si>
    <t>Ngelag dan TDK muncul huruf di pencarian terminal.. padahal hp dah di restart beberapa menit.. chace hp jg di hapus..</t>
  </si>
  <si>
    <t>semuanya sesuai dengan deskripsi. terima kasih Traveloka</t>
  </si>
  <si>
    <t>Tempatnya oke, seru dan menyenangkan untuk liburan akhir pekan dan liburan sekolah. Have fun bgt pokoknya, redeem vouchernya juga cepet. Terima kasih traveloka</t>
  </si>
  <si>
    <t>semua sesuai dengan foto-foto, sangat menyenangkan</t>
  </si>
  <si>
    <t>Pesen tiket pake traveloka lebih gampang tinggal transfer aja, masuk juga tinggal scan barcode. Di dalemnya juga lengkap bgt pokonya.</t>
  </si>
  <si>
    <t>menyenangkan tapi sayang tutupnya kecepatan jadinya belum cobain semua wahana... karena antrinya juga lama... panjang bangettt</t>
  </si>
  <si>
    <t>rekreasi keluarga yg seruuu...☺👍</t>
  </si>
  <si>
    <t>seruuu banget ok utk liburan...</t>
  </si>
  <si>
    <t>the besssttt dannn pasti kita datang lagi... terima kasih traveloka</t>
  </si>
  <si>
    <t>so happyyy💕💕 recommend bgttt buat yg mau liburan jugaa wajib orderrr disiniii</t>
  </si>
  <si>
    <t>Se-Indonesia dufan paling lengkap wahananya.</t>
  </si>
  <si>
    <t>tempat paling asyik buat anak².. adem bersih.</t>
  </si>
  <si>
    <t>kami semua sangat senang, makasih sea word untuk hal2 yg menakjubkan dan traveloka yg sangat mudah aplikasinya ga ribet proses</t>
  </si>
  <si>
    <t>Ok proses cepat dan gak ribett</t>
  </si>
  <si>
    <t>sangat menyenangkan, bisa mengenalkan jenis ikan-ikan ke anak-anak</t>
  </si>
  <si>
    <t>Highly recommend you guys to buy the tickets online, even itu hari H. Saya beli tiket tepat saat sampai di parkiran GWK sekitar jam 4 sore. Pertama, harganya pasti bisa lebih murah karena ada voucher discount. Kedua, kalian gak tau antrian ticketing akan seramai apa, jadi untuk berjaga better beli online karena gak perlu antri lagi dan bisa langsung jalan ke entrance untuk scan barcode ticket. Kalau sudah punya ticket online, dari parkiran lebih baik langsung naik shuttle ke restaurant Jendela Bali karena lebih dekat jalan kakinya ke entrance gate. Perjalanan dari ticketing counter ke entrance gate mungkin sekitar 200 meter namun menanjak (lumayan cape hehe) All good, tempatnya indah dan banyak performance. Ada Tari Kecak juga di jam 18:00. Yang sangat disayangkan hanya tempat ini tidak lansia &amp; anak-anak friendly karena banyak titik yang ditempuh dengan jalan kaki &amp; menanjak. Kalau ingin dipermudah bisa naik buggy tapi kena biaya yang saya kurang tau berapanya. Saya hanya naik buggy dari area festival (pertengahan) menuju ke puncak GWK, itu pun bayar 40.000/orangnya. Kalau naik buggy di seluruh area pastinya lebih mahal yaa. Intinya kalau kalian baru pertama kali ke Bali, tempat ini worth it untuk dikunjungi.</t>
  </si>
  <si>
    <t>petugas kurang ramah dan dan tidak banyak petugas yg standby dilapangan jd pada saat butuh bantuan atau informasi kesulitan</t>
  </si>
  <si>
    <t>Cukup senang tapi sempat merasa dibedakan antara turis asing &amp; lokal di sana</t>
  </si>
  <si>
    <t>Tempat parkir terlalu jauh walau disediakan shuttle bus, penukaran ticket tidak praktis, buat apa beli ticket online kalau harus mengantri kembali untuk penukaran ticket agar bisa masuk</t>
  </si>
  <si>
    <t>Banyak wahana permainan yang tutup / tidak beroperasi</t>
  </si>
  <si>
    <t>Kebersihan kurang, pengunjung over load</t>
  </si>
  <si>
    <t>Sea World terlihat standar saja, kalau sudah pernah kemari rasanya cukup, tidak berminat untuk datang kembali, mungkin jika hanya menemani keluarga/teman yg belum pernah ke sini bisa ikut, tapi tidak terlalu menarik</t>
  </si>
  <si>
    <t>tempatnya oke lah...</t>
  </si>
  <si>
    <t>Penggunaan voucher travelokanya mudah sekali. Jadi saya bisa langsung masuk hanya tinggal scan barcode.</t>
  </si>
  <si>
    <t>Paylater nya sudah gak bisa di pakai aneh nya dalam perbaikan udah mau 5 hari kalau gak bisa di pakai lagi tangguhkan aja.. Padahal blm pernah ada masalah apa apa belum pernah nunggak juga</t>
  </si>
  <si>
    <t>Free proteksi itu harga tiket pesawat udh termasuk swab blm ya ?</t>
  </si>
  <si>
    <t>Sangat burukk !</t>
  </si>
  <si>
    <t>Mohon maaf bintang saya kurangi, karna sy kecewa atas sistem paylater yang ada di Traveloka, Jika ada keterlabatan bayar karna lupa meskipun cuman 1 hari, biaya denda yang dikenakan SANGAT tidak masuk akal. Contoh : Harus bayar Rp. 168.125, telat bayar 1 hari, dikenakan pinalti sebanyak Rp. 25.218. Sungguh denda pinalti yang sangat tidak masuk akal.</t>
  </si>
  <si>
    <t>Duh.. mau instal jadi ragu, karna ratingya pada kecewa🙏</t>
  </si>
  <si>
    <t>Pembayaran g ada fitur VA</t>
  </si>
  <si>
    <t>Aplikasi gak jelas, refund udah 6 bulan tidak diproses proses, disuruh nunggu aja, perjanjian awal kalo dah lewat 6 bulan di tanggung traveloka refund nya,, ini dah mau 7 bulan jangankan di proses setiap di tanya. Alasan nya disuruh nunggu dari 3 hari, 1 hari, ujung ujungnye hilang</t>
  </si>
  <si>
    <t>Katanya 100 persen refund Tapi penerbangan dari luar negeri Gak bisa refund Sudah ajukan refund Tapi katanya masakapai tidak mau refund Apaan kayak gini</t>
  </si>
  <si>
    <t>Ada paylaternya, pas ngajuin ga di acc, sayang sekali fitur paylaternya ga bisa saya nikmati.</t>
  </si>
  <si>
    <t>Aplikasinya tidak bisa di buka. Segera diperbaiki. Soalnya saya ada transaksi yang sudah terbayar dan belum ada konfirmasi dari pihak traveloka.</t>
  </si>
  <si>
    <t>Karena alasan keamanan, belum bisa menghapus nomor telepon. Supaya aman saya turunin dulu bintangnya ya karena saya mau mengganti no HP saja tidak bisa. Benar2 mengecewakan.</t>
  </si>
  <si>
    <t>Kemana saldonya kok ga masuk ke nomor rekening? Uda berapa hari di coba2 ga masuk saldo blipaynya ke rekening? Padahal dari Blipaynya saldonya uda terpotong. YANG BENER DONG BIKIN APLIKASI</t>
  </si>
  <si>
    <t>Pesanan tercancel oleh pihak hotel. Uang susah direfund, tiap klik refund error terus. Uang bukannya direfund ke rekening personal malah jd blipay, opsi refund lama 2-3 hari eh dicoba tetep gabisa. Ntahlah.. kyk ga rela banget refund uang customer.</t>
  </si>
  <si>
    <t>Kenapa aplikasinya jelek sih,mau pesan kamar hotel aja susah. Yg ada pemberitahuan sistem kami sedang perbaikan terus tapi.jelekkk banget</t>
  </si>
  <si>
    <t>Tanggal lahir tidak bisa di ubah (BUG)</t>
  </si>
  <si>
    <t>PROSES REFOUND LAMA. SUDAH DI ACC MASKAPAI. MASIH AJA BELUM MASUK DANA. KALIAN MAU VIRAL YA</t>
  </si>
  <si>
    <t>Slalu eror ketika beli tiket</t>
  </si>
  <si>
    <t>Aplikasi payah</t>
  </si>
  <si>
    <t>Diskon Coin nya baru bisa dipake pas 25000 Sedangkan aplikasi cuman kasih 50-100 lebih dikit Coin tiap pemesanan, niat kasih diskon gasih?</t>
  </si>
  <si>
    <t>happy bangeett ke dufan setelah puluhan tahun ga kesini. hanya jam tutupnya cepat sekali jam 17.00 sdh tutuupp jadinya belum puas mainnya</t>
  </si>
  <si>
    <t>Seruuu... dpt tiket harga murah. Semoga next ada lg.</t>
  </si>
  <si>
    <t>Seruu banget pokonya mah, thanks traveloka</t>
  </si>
  <si>
    <t>Menyenangkan! Ayo pergi ke dufan</t>
  </si>
  <si>
    <t>Sangat menyenangkan liburan ke Dufan dan banyak wahana-wahana baru tapi ada sebagian wahana yg tutup...</t>
  </si>
  <si>
    <t>sanget seneng, membuat hati gembira</t>
  </si>
  <si>
    <t>pas datang bukan weekend jadi lumyan sepi nyaman buat jalan-jalan, mudah2n utk kedepannya ada yg baru di SeaWorld ☺️</t>
  </si>
  <si>
    <t>alhamdulillah... sangat memyenangkan</t>
  </si>
  <si>
    <t>kerenn, setiap sudut bisa jadi spot foto bagus.</t>
  </si>
  <si>
    <t>aseeek tempatnya, tp satpamnya galak karena tidak diperbolehkan bawa minuman walau cuma 1 botol. beli didalam harganya semua mahal. semoga diperbolehkan tempat makan ada yg jual murah dan juga minumannya. karena tidak semuanya mampu membeli disana sehingga harus kehausan dan kelaparan</t>
  </si>
  <si>
    <t>ketika saya kesana, ada beberapa wahana yang tidak bisa dipakai karena masih dalam proses maintenance, selebihnya ok, tinggal kebersihan saja yang perlu diperhatikan</t>
  </si>
  <si>
    <t>musti banyak bangku utk beristirahat dengan payung/canopi</t>
  </si>
  <si>
    <t>yg jadi masalah adalah pengunjung yg foto-foto di saat area lorong (under aquarium) sedang penuh sesak...</t>
  </si>
  <si>
    <t>Jelek dan mengecewakan dan sangat tidak worth it</t>
  </si>
  <si>
    <t>masih lama prosesnya</t>
  </si>
  <si>
    <t>Katanya bisa refund tapi berkali2 coba refund ga bisa. Dikasih batas waktu 24 jam lg buat coba refund, tapi batas refund yg di booking tinggal 2 jam lagi. Haduh...</t>
  </si>
  <si>
    <t>Sementara saya kasih bintang 2 dlu. Dsini ada yg pernah pengajuan refund gk utk batal tiket hotel? Trus cair nya brp hr? Soalnya saya liat di ulasan, banyak yg bilang gk cair.</t>
  </si>
  <si>
    <t>Kenapa pas liat harga di tgl dengan pas sdh d klik tidak sama</t>
  </si>
  <si>
    <t>Entah salah apa level lgsg turun, limit malah jadi 0</t>
  </si>
  <si>
    <t>Kenapa harus ada aplikasi beginian kalau maskapainya aja ada aplikasinya,lebih murah lagi ngga ada potongan lagi,harusnya terhubung link aplikasi maskapainya aja,ngga usah ngurusin tiket lagi,Ribet</t>
  </si>
  <si>
    <t>Saya sangat kecewa karena ada oknum² yang berbisnis mengatas namakan traveloka partnership dengan cara pembelian koin , disaat kita tidak melanjutkan pembelian mereka menarik semua koin saya , sayang sekali traveloka seperti ini</t>
  </si>
  <si>
    <t>Kecewa dengan traveloka. Perubahan jam penerbangan tidak diinfokan kalau maju dan tertinggal pesawat. Tidak ada sms, WA, atau email pemberitahuan. Untungnya masih ada flight selanjutnya.</t>
  </si>
  <si>
    <t>Saya udh bayar tiket nya tp gk bisa di verifikasi sdh verifikasi manual juga tidak bisa sdh hubungi customer service nya juga tp tdk membantu</t>
  </si>
  <si>
    <t>Sering pakai paylater.. Tapi beberapa bulan ini 4-5 hari sebelum jtp selalu di tlpn sdh menanyakan pembayaran kapan dibayar sudah di jawab dibayar pas JTP besoknya CS nya tlpn lagi. Selalu berulang setiap hari dengan pertanyaan yg sama buat Jengkel. Klo tidak diangkat di telpn berkali-kali sudah kayak orang yg cicilannya gak dibayar aja.</t>
  </si>
  <si>
    <t>Kecewa Saya dengan aplikasi ini 👎. Dibatalkan sama pihak maskapai. Proses reschedule lama janji 6jam terbit e-tiket tambah 1jam. Masih tambah terus Sampek Bosen saya disuruh sabar.</t>
  </si>
  <si>
    <t>Aplikasi Para pencuri Saya beli tiket pulang pergi manado - malaysia. Dari manado bisa ke malaysia. Tapi tiket pulang tidak ter booking di maskapai. Saya membawa istri dan bayi berumur 7 bulan di telantarkan di bandara malaysia. Tiket tidak bisa terbit. Saya akan bawa masalah ini sampai le pihak owner harus bertanggung jawab. Mari para pengguna yang sudah tertipu qt bersatu maju hadapi ini. Saya akan pidanakan pihak owner yg bertanggung jawab.</t>
  </si>
  <si>
    <t>1. E ticket tidak keluar 2. Proses refund 5 hari kerja 3. Tanpa pemberitahuan refund ke bli bli point 4. Refund ditambah 5 hari Total refund jadi 10 hari kalau bener. Soalnya belum di refund2 smpai skrng. Di saat e ticket tidak keluar jg sudah menyusahkan krn harus cari tiket lagi. I wouldnt recommend this app ever again. Bye tiket.</t>
  </si>
  <si>
    <t>Dpt recom dr tmn ktnya aplikasi paling murah + nyaman buat mesen tiket pesawat. Tp gk sesuai ekspektasi, tiap kali selesai pesan dan masuk pembayaran pasti keluar notif maskapai yg d pilih penuh, atau harga naik. Jd harus berkali2 pesan krna selalu kembali ke home. Baru ini ngasih ulasan, saking dongkolnya</t>
  </si>
  <si>
    <t>Tidak ada respon sama sekali. Sudah booking dan sudah bayar tapi e-tiket tidak terbit cuma dapat WA baru di proses 10 menit tapi sampai hari ini belum ada e-tiket terbit dan tidak bisa chekin di hotel karna pihak hotel tidak dapat email pesanan masuk dan sampai saat ini uang saya tidak kembali</t>
  </si>
  <si>
    <t>Respon lambat.. tidak untuk kedua kalinya.. all number cs tdk bs di hbungi menlpon hbis 200rb tdk ada jawaban dri masalah.. kapok parah.. sdh bayar tp nd muncul etiket .</t>
  </si>
  <si>
    <t>Saya sudah melakukan pembayaran tapi e tiket tidak terbit. Dana juga tidak bisa di refund. Sudah hubungi cs jg tidak ada respon.</t>
  </si>
  <si>
    <t>nama tehsri Yuni fertiwi mau naik kereta AFI beneran</t>
  </si>
  <si>
    <t>Kecewa tdk bs direfund n reschedule...rugi byk</t>
  </si>
  <si>
    <t>sistem operasi nya lama banget</t>
  </si>
  <si>
    <t>Aplikasi scam untuk hotel banyak scam harga mahal dibanding yg lain, harus teliti pesan hotel lewat ni apps, auto uninstall ini apps</t>
  </si>
  <si>
    <t>harga tiket pesawat masih lebih murah di aplikasi sebelah</t>
  </si>
  <si>
    <t>Akses jadi lebih mudah, tinggal masuk dan tidak pakai ribet.</t>
  </si>
  <si>
    <t>Seru untuk solo travelling maupun liburan bersama keluarga</t>
  </si>
  <si>
    <t>Walaupun wahana sudah lama tapi cukup terpelihara</t>
  </si>
  <si>
    <t>super fun... cocok bgt didatangi rame rame bersama teman dan keluarga... tapi saran, better jangan bawa lansia karena banyak jalan kaki dan ga bisa naik wahana serta kalau sedang panas lumayan bikin lelah.</t>
  </si>
  <si>
    <t>Ruameee padahal sengaja datang weekday...</t>
  </si>
  <si>
    <t>Lebih mudah beli tiket apapun. Senang jd ga ribet</t>
  </si>
  <si>
    <t>Selalu seru kalau ke dufan, syukurlah beli tiket annual di traveloka jadi bisa kembali ke dufan kapan saja kita mau.</t>
  </si>
  <si>
    <t>sangat menyenangkan sekali hehe</t>
  </si>
  <si>
    <t>recommended banget</t>
  </si>
  <si>
    <t>mantap rekomendasi beut dahh pokoke</t>
  </si>
  <si>
    <t>worth it lah</t>
  </si>
  <si>
    <t>luangkan banyak waktu di sana</t>
  </si>
  <si>
    <t>sangat menyenangkan sekali</t>
  </si>
  <si>
    <t>semua jadi mudah dengan traveloka. banyak promo menarik juga</t>
  </si>
  <si>
    <t>pengunjungnya sangat banyak dan pintar hewannya</t>
  </si>
  <si>
    <t>banyak banget wahana yg seru yeay</t>
  </si>
  <si>
    <t>Beli tiket easy access nggak perlu ribet reservasi ulang, cukup tunjukkan e-tiket dan tinggal masuk 👍</t>
  </si>
  <si>
    <t>Sangat-sangat luar biasa 👍 Lebih ditingkatkan lagi</t>
  </si>
  <si>
    <t>ok tiket dapat diskon, mudah digunakan, pergi dengan teman dapat tontonan tari kecak</t>
  </si>
  <si>
    <t>Kalau sudah pernah mengunjungi tempat ini dan kesini lagi, menurut saya biasa aja. Karena cuma liat2 patung aja.</t>
  </si>
  <si>
    <t>tempatnya bersih. bagus. cuaca sangat panas, sebaiknya membawa payung. kacamata. topi</t>
  </si>
  <si>
    <t>sudah termasuk welcome drink, tiket museum art, tiket nonton Kecak Dance. tambah 30 rb jika ingin naik shuttle dari gate ke gwk untuk one way</t>
  </si>
  <si>
    <t>Saran: Tolong sediakan mesin ATM BRI dan BCA di Tempat Reservasi, lebih deket terjangkau</t>
  </si>
  <si>
    <t>bagus..bermanfaat.trmksh</t>
  </si>
  <si>
    <t>Dufan sekarang jorok sampah dimana-mana seperti tidak ada perawatan dan banyak permainan yg tutup</t>
  </si>
  <si>
    <t>Saya kasih bintang 3 karena percuma payleter nya gak bisa di buka.. Mohon di tingkat kan lagi 🙏 terimakasih</t>
  </si>
  <si>
    <t>gagal mup On</t>
  </si>
  <si>
    <t>kalau mau kesini mending beli fastrack. trus kmaren pas main di ice age udh antri lama bgt pas udh mau masuk dikasih tau kalo wahana nya lagi perbaikan. ga recommend b</t>
  </si>
  <si>
    <t>Padahal kredit skor saya bagus..... Kenapa mau coba Paylater lagi...malah dinonaktifkan tanpa ada pemberitaan terlebih dahulu</t>
  </si>
  <si>
    <t>Saya Order tiket internasional sudah dibayarkan sebelum 2 jam, sesuai dengan 3 digit terahir di tagihan email dan tagihan WA. Tapi tidak menerima e-tiket ternyata setelah komplain jumlah yg dibayar berbeda dengan 3digit tagihan di aplikasi. Alhasil ya dianggap belum bayar dan dari CS cuma di refund sesuai biaya yg dibayarkan. Untung lah sudah jadi blipay dalam 1 hari. Tapi hal ini merugikan bagi yg ada keperluan mendadak. Mohon diperbaiki kembali</t>
  </si>
  <si>
    <t>Tiket yak kamii sering menelusuri untuk andai andai jika liburan tiba. Dan kapan segera visit tidak tahu . Karena kami sedang menunggu dana kami cair lebih dulu . Jadi kami tidak perlu ribet sesuatunya. Paspor pun belum kami service.</t>
  </si>
  <si>
    <t>Makin jelek aja nih apl</t>
  </si>
  <si>
    <t>Tolong dong aplikasinya,,lemot bngt,hrus install dulu,</t>
  </si>
  <si>
    <t>Aplikasi tambah berat, loadingnya lama</t>
  </si>
  <si>
    <t>CAPEK CAPEK MENJAGA TAGIHAN, SKRNG PAS BTUH MALAH GBS AKTIVASI VIRTUAL NUMBER, SLALU COBA LG 24 JAM. PADAHAL LIMIT BESAR PERCUMA.</t>
  </si>
  <si>
    <t>Udh lewat level perkenalan,kirain bisa pakai paylater di e-commerce untuk belanja,ternyata blm bisa juga.ngk bisa di recommended nih.limit ada 10jt tapi hnya bisa pakai di aplikasi traveloka doang.Parahhhhhhhhh blm ada virtual number nya.sangat tidak di recommended aplikasi ini.</t>
  </si>
  <si>
    <t>Parah traveloka..baru mau masukan nama nya aja harga langsung berubah..loading nya lambat lagi ganti ke app lain aja diskon nya gak ada promonya pun gak ada lagi. Karena lagi daerah konflik ya?</t>
  </si>
  <si>
    <t>Duh, ada grup telegram yg minta rating 5, udh dksh rating katanya mau ksh fee sampe skrg ga masuk2 feenya, udh gtu tbtb telegram saya ilang logouttt untung masih bisaa, tp semoga aja data saya ga disalah gunakan, mohon untuk develop di urus org2 kaya gini2 . Kasar pula bahasanya.</t>
  </si>
  <si>
    <t>Aplikasi konyol,saya ambil paket pesawat+ jemput bandara,krn ada aturan tertulis sopir mobil bakal jemput pake kertas bertuliskan nama saya di pintu kedatangan,saya tergiur krn sy gk mungkin buka hp dgn kondisi sy habis operasi masing pusing2...saya lama nunggu2 gk ada,ternyata sopir jauh bgt diparkiran.nyampe rumah saya diminta charge 50rb krn datang telat.ajaib bgt.</t>
  </si>
  <si>
    <t>Ga pernah telat bayar paylater,, tp malah turun level. Saldo juga ikut turun. Aneh</t>
  </si>
  <si>
    <t>traveloka payah, saya kedobelan order hotel dan tagihan hotel ada 2 juga padahal sdh melakukan refund... sudah saya bayar hotel yg tdk saya refund kok bisa²nya ada tagihan paylatter dobel. payah</t>
  </si>
  <si>
    <t>Cs susah dihubungi, komplain tidak ada tanggapan sama sekali Paling buruk buat aplikasi sekelas traveloka Oya ada bintang 0 ga</t>
  </si>
  <si>
    <t>Kenapa kemarin dan hari ini klu malam tidak ada harga tiket pesawat yang muncul di aplikasi dan tidak ada penerbangan di semua tanggal dan tujuan?</t>
  </si>
  <si>
    <t>Aplikasi nipu.. Sudah bayar tapi voucher gagal terbit. Pilih opsi pesan ulang, gagal terus alasan "kegagalan sistem". Mau refund jg janji 4-5 hari kenyataan bs sampe 4 bulan.. Kalo bakal gagal2 gini transaksinya mending tutup aja traveloka</t>
  </si>
  <si>
    <t>Kemarin saya disuruh transfer uang 24.500.000 sebagai membeli poin di traveloka partnership Sekarang uang saya nggak kembali, malahan adminnya hilang kabar Ini gimana ? Saya mendapatkan pesan di telegram dengan nama ASEP HAEKAL, disitu juga ada fotonya</t>
  </si>
  <si>
    <t>Daftar nya susah ribet ga kaya traveloka bye deh males</t>
  </si>
  <si>
    <t>Promo ada begitu mau di pakai selalu reload ada ada saja cara nya, jika tidak bisa dipergunakan ya jangan di buat promo nya</t>
  </si>
  <si>
    <t>Kenapa saya tidak bisa mendownload aplikasi ini y min,padahal sy sudah pernah bikin akun juga. Mohon pencerahan nya</t>
  </si>
  <si>
    <t>Pemotongan biaya refund tiket pesawat terlewat besar dan saya sgt dirugikan... Saya sdh lunasi paylater sy.. Sy akan uninstal</t>
  </si>
  <si>
    <t>Buat pesanan reload terus</t>
  </si>
  <si>
    <t>Gmn sih mau beli tiket timnas nggak bisa,</t>
  </si>
  <si>
    <t>Saya sudah beli tiket kereta api dan saldo gopay saya sudah terpotong namun belum ada tiket terbit sudah chat customer care juga slow respon nomornya juga tidak dapat dihubungi kecewa banget itu tiket ga murah loh bagaimana kebijakannya?</t>
  </si>
  <si>
    <t>Uangku hilang sudah di bayar pesanan gagal padahal kode pembayarannya sudah benar Kemana uang saya</t>
  </si>
  <si>
    <t>taai malah ngebug.. mau pilih lokasi malah stuck terus.. benerin dulu lah</t>
  </si>
  <si>
    <t>anak-anak sangat senang dan merasa liburannya bener-bener luar biasa... terima kasih Dufan n Traveloka yg selalu memberikan kesan terbaik dlm setiap moment... Tuhan berkati 🙏😇</t>
  </si>
  <si>
    <t>oke deh, antri buat tiap wahana permainan</t>
  </si>
  <si>
    <t>mantapp, permainannya banyak, sangat bervariasi, lebih ditingkatkan lagi</t>
  </si>
  <si>
    <t>Ramai tapi aman, next bakal kesana lagi karena kemarin masih kurang puas naik wahananya</t>
  </si>
  <si>
    <t>anak-anak seneng banget, tapi saying sekarang waktunya tutup lebih cepat jadi belum semua wahana bisa dinikmati semoga bisa datang lagi aamiin</t>
  </si>
  <si>
    <t>pelayanannya ramah walau dalam kondisi ramai, mungkin loket tiket harus dibuka lebih banyak agar tidak terjadi antrian yg sangat over di kondisi lebaran.</t>
  </si>
  <si>
    <t>Seru bgt! Datang di saat jam buka sangat membantu krn blm banyak antrian di tiap wahananya, cuacanya mendukung jg, cukup ramai tapi masih bisa dinikmati momentnya. Gak nyesel deh beli tiket annual pas🥰🤗</t>
  </si>
  <si>
    <t>bersih, nyaman area dekat dari jabotabek</t>
  </si>
  <si>
    <t>saya harap bisa kembali kesana suatu saat nanti, sungguh pengalaman yang berkesan, berjalan2 menyenangkan bersama dengan keluarga ke seaworld</t>
  </si>
  <si>
    <t>peak season terlalu penuh jadi banyak sampah</t>
  </si>
  <si>
    <t>servis ok, cuma agak terik pas datang.</t>
  </si>
  <si>
    <t>Suasananya menyenangkan. Memang harus siap mental untuk jalan banyak disini. Disarankan untuk lansia membawa persiapan yang lebih jika ingin menikmati Cultural Park ini.</t>
  </si>
  <si>
    <t>Tempatnya lumayan bagus, tapi kurangnya disana itu ga boleh bawa kamera untuk foto”, only kamera hp saja, mau selfie disandarin ke tembok/tiang hpnya ga dibolehin mau minta tolong difotoin sm ptugas dsitu juga gaboleh katanya, ribet sih hehe pdahal udah dtg jauh” dari luar kota :( jd skdar info buat yg mau dtg ga usah bwa kamera slain hp, ga bwa snack/air krn ga dibolehin, kalau dtg sndiri dan mau foto mnding selfie aja haha krn gabakal dibantuin sm ptugas, cmiw👌🏻</t>
  </si>
  <si>
    <t>Temanya gak cocok sih sama saya. Cuma bisa foto ke post instalasi... sampai 3x balik. Karena 1 sesi hanya 1 menit.</t>
  </si>
  <si>
    <t>antrian nya melelahkan</t>
  </si>
  <si>
    <t>Thanks traveloka for the discount and easy redemption... Ada beberapa wahana yg tutup dan beberapa lg butuh lebih banyak maintenance.</t>
  </si>
  <si>
    <t>semua wahana sesuai dengan foto.</t>
  </si>
  <si>
    <t>recommend lah buat liburan kluarga😍</t>
  </si>
  <si>
    <t>Sangat menyenangkan untuk liburan keluarga..</t>
  </si>
  <si>
    <t>Barcode dari Traveloka harus ditunjukkan ke loket tiket terlebih dahulu, baru nanti dicek dan diprint tiket untuk naik Gondola.</t>
  </si>
  <si>
    <t>lebih baik datang pagi bisa dpt parkiran di depan. masih ada pengunjung yg lepas masker, tlg ini lebih ditindak. 3jam di dalam jg bosen, makin siang makin ramai, ya begitu aja lihat ikan dr dekat.</t>
  </si>
  <si>
    <t>wahana dolphin n theater 5D nya kerennn... yg menyebalkan proses pembelian tiket masuk di tempat yg ngabisin waktu...</t>
  </si>
  <si>
    <t>Proses redeem cepat tinggal scan aja. Tempatnya cukup luas dan ada sarana bermain anak jg. Anak cukup happy bisa mengenal hewan laut disini. Sayangnya kebersihannya kurang ya... terutama di toilet dan tempat makan depan pintu masuk.</t>
  </si>
  <si>
    <t>kurang puas karena anak diatas 100cm sudah bayar, tapi faktanya sampai sana anak tidak dapat memasuki wahana. dengan minimal tinggi 110cm</t>
  </si>
  <si>
    <t>Paling membantu banget</t>
  </si>
  <si>
    <t>Kenapa mahal sekali tiket pesat jakarta ke nias ya 2.559000 tolonglah di perbaharui harga tiketnya harganya sangat meledak sekali</t>
  </si>
  <si>
    <t>Pas milih tanggal lahir buat bayi tidak bisa setel tanggal, di scroll malah kembali ke tanggal awal gimana sih ini apk nya ?</t>
  </si>
  <si>
    <t>Blm di instal jdi can apl</t>
  </si>
  <si>
    <t>Tadinya mau instal ap ini untuk pemesan tiket. Ternyata pas baca ulasannya banyak yang kecewa. Nggak jadilah.</t>
  </si>
  <si>
    <t>KENAPA WARNA &amp; LOGO NYA MIRIP TWITTER??</t>
  </si>
  <si>
    <t>Kenapa hotel yg tidak bekerja sama lagi masi di masukan ke dalam aplikasi ,saat kita sudah bayar di aplikasi ,tapi di hotel bayar lagi dan bilang sudah tidak ada kerja sama ,kita terpaksa harus refund dan proses nya sangat lama dan ribet, bayangkan jika keluarga anda yg mengalami dan uang nya tidak cukup lagi untuk membayar hotel dan dalam keadan terdesak atau terkena musiba ,coba pihak traveloka pikirkan pakai otak.</t>
  </si>
  <si>
    <t>Tadinya saya suka traveloka. Tapi sekarang jadi benci banget. Top up saldo uangku buat beli tiket malah bilang pemeliharaan sisttem. Jadi saldi ngendep di uangku ditraveloka. Aplikasi macam apa ini, masa enggak kaya shoppe dana atau yang laen2 sih. Kalo bisa top up harusnya bisa tarik dong. BELI TIKET TENGAH MALAM MALAH PEMELIHARAAN SISTEM DAN BANK UNTUK TF JUGA CUMA MANDIRI. HADEEEEEEEEHHH JANGAN BUAT APLIKASI KALO GA BISA KASIH SOLUSI!!</t>
  </si>
  <si>
    <t>Sudah transaksi 2x pesen hotel untuk dapatkan koin, koin ga pernah di dapatkan.. Di situ tertera jelas akan mendapatkan koin sesuai pesanan</t>
  </si>
  <si>
    <t>Dua kali saya pesan tiket pesawat di traveloka gak ada yang jelas.. jadwal berubah. Dan tidak ada pemberitahuan. Aplikasi Sampah</t>
  </si>
  <si>
    <t>Kesel biasanya bisa pake VA traveloka skrg gak bisa padahal pembayaran lancar tanpa kendala</t>
  </si>
  <si>
    <t>Gila ini traveloka,saya refund hotel pakai paylater tp saya ttp hrs bayar bunganya 600rb..ini sm aja penipuan dn merugikan customer.kita tdk dapat apa2 tp malah suruh bayar bunga nya..gila ini traveloka.,sy tdk akan bayar.enak di kalian tp rugi di saya...kalian aja yg bayar traveloka,lucu traveloka ini.</t>
  </si>
  <si>
    <t>bug fix</t>
  </si>
  <si>
    <t>Nyari tiket penerbangan internasional susah. Aplikasi payah, berat banget mau booking malah gagal teruuus..</t>
  </si>
  <si>
    <t>Makin lama makin ribet. Lebih gampang di traveloka</t>
  </si>
  <si>
    <t>Merugikan dalam refund dan rescedule</t>
  </si>
  <si>
    <t>Kejebak banget. Udah chek in hotel. Pas sampe hotel ternyata gk kerjasama lg. Mau refund gkbisaaa. Hadehhh</t>
  </si>
  <si>
    <t>Proses refund lama, padahal kesalahan dari pihak mereka.</t>
  </si>
  <si>
    <t>Aplikasi ampas, pesan tiket kereta sudah bayar tapi gak ada konfirmasi dan kejelas perihal tikernya</t>
  </si>
  <si>
    <t>Aplikasi ini sangat sangat buruk, karena saya salah pesan tiket mau reschedule malah di suruh nambah 7.457.129. padahal sebelumnya saya udah baya 4.119.000. ini namanya bukan reschedule tapi lebih lagi. Jadi jangan ada yang mau pake aplikas ini</t>
  </si>
  <si>
    <t>Kenapa poin ga bisa di pakai tiap mau pakai poin selalu minta verifikasi nmr tlpn setelah di isi gagal dengan tulisan nomer sudah di gunakan di akun lain Tolong di jawab</t>
  </si>
  <si>
    <t>Pesen travel tapi tidak sesuai deskripsi di aplikasi. Kendaraan yg dipakai, lokasi travel . Kapok.</t>
  </si>
  <si>
    <t>good banget semuanyaaaa👍👍 good job</t>
  </si>
  <si>
    <t>Pengalaman baru anakku jalan-jalan di Dufan, meskipun ga semua bisa dinaikin krn penuh...</t>
  </si>
  <si>
    <t>bagus banget dah rekomendasi banget murah banget</t>
  </si>
  <si>
    <t>cara redeem tiket mudah...</t>
  </si>
  <si>
    <t>Sangat menyenangkan, gak salah ambil cuti</t>
  </si>
  <si>
    <t>semua keren, tapi istana boneka kotor sekali banyak sarang laba-laba dan terlihat sekali sudah sangat tua.</t>
  </si>
  <si>
    <t>awalnya deg-degan bisa ga ya dipakai... bisa ga ya diaktivin annual passnya... tp penasaran... akhirnya saya beli ticket ini di treveloka... dan mencoba untuk aktifkan... dan Allhamdulilah ternyata bisa...</t>
  </si>
  <si>
    <t>keseruan tiada tara... seneng bahagia bangett bisa refreshing otak</t>
  </si>
  <si>
    <t>lucu sih recommend deh tp jangan pas liburan gais rame bgt</t>
  </si>
  <si>
    <t>tempat rekreasi yang sangat menyenangkan utk keluarga, terutama anak2 jadi lebih tahu banyak tentang dunia laut.</t>
  </si>
  <si>
    <t>bagus..bersih..hepii bawa anak..belajar mengenal hewan laut..ada atraksi kasih makan hewan laut..👍👍</t>
  </si>
  <si>
    <t>sangat menyenangkan dapat melihat kehidupan biota laut walaupun antriannya panjang sekali.</t>
  </si>
  <si>
    <t>sudah lama tidak ke sea world dan ocean dream. ternyata sekarang tempatnya lebih keren dan lebih fun. beli tiket online lebih cepat prosesnya dan lebih murah</t>
  </si>
  <si>
    <t>Tempatnya tidak terlalu luas, lumayan banget diskon dari traveloka, jauh lebih murah</t>
  </si>
  <si>
    <t>tempatnya bagus dan nyaman, beli tiketnya mudah</t>
  </si>
  <si>
    <t>lebih mudah tidak perlu antri beli tiket kawasan ancol &amp; seaworld tinggal scan barcode</t>
  </si>
  <si>
    <t>seruuuu, terima kasih traveloka</t>
  </si>
  <si>
    <t>sangat mengesankan dan cocok buat anak-anak</t>
  </si>
  <si>
    <t>tiket aman dan dapat digunakan, disarankan datang lebih awal supaya semua fasilitas bisa dinikmati apalagi jika ternyata datang bersamaan dengan rombongan2 bus ,</t>
  </si>
  <si>
    <t>jalan kakinya jauh dr tmpt drop mobil sambungan</t>
  </si>
  <si>
    <t>tambahan biaya 40K/org buat shuttle, saran baiknya ngga usah pakai shuttle lebih baik jalan kaki saja</t>
  </si>
  <si>
    <t>Seruuuu abizzzz next nanti datang lagi bareng mas pacar wkwkwk</t>
  </si>
  <si>
    <t>sudah lama banget ga ke dufan, skrg permainannya tambah byk, makin keren dan untuk kebersihan nya tlg diperhatikan daun2nya byk bertebaran. klo bs pake aja mobil penyapu jalan biar lebih efisien membersihkan sampah2 daun tersebut.</t>
  </si>
  <si>
    <t>Anak-anak kurang nyaman karena agar remang-remang gitu, agak ngap jg yaa 😄 Apa karena kebanyakan pengunjung karena libur lebaran</t>
  </si>
  <si>
    <t>it would be so much better utk ganti interior spy lebih modern</t>
  </si>
  <si>
    <t>semoga selalu ada promo untuk liburan, dan kenyamanan tempat rekreasi lebih ditingkatkan</t>
  </si>
  <si>
    <t>Cukup kecewa, karena kamar hotel penuh malah di publish. Alhasil harus refund dengan jangka waktu yg lama. Sangat merugikan konsumen, karena kesalahan bukan dr konsumen. Tapi proses nya lama sekali 14 hari kerja.</t>
  </si>
  <si>
    <t>Kenapa saya ga bisa pesen tiket pesawat ya? Gagal mulu</t>
  </si>
  <si>
    <t>Hotel tidak akurat sesuai dengan yang tersedia dan malah saya harus nambah 150 ribu karena adanya unit berbeda dan nota ditulis tapi dibawa pihak hotel ditaruh map hmmm customer care saya ingin menyampaikan keluhan tetapi nada dering terus diputar lagu sampai pulsa saya 50k habis mungkin bisa diperbaiki.</t>
  </si>
  <si>
    <t>washap</t>
  </si>
  <si>
    <t>Barau download</t>
  </si>
  <si>
    <t>Sebenarnya Aplikasinya ok, sangat membantu, tapi kenapa poin sy selalu hilang, padahal transaksi sy ada banyak dan setiap selesai misi transaksi sy selalu dapat pesan bahwa poin sy bertambah, tapi kalau sy cek brp poin sy yg sdh terkumpul di dalam aplikasinya, malah dibilang nol (belum ada poin yg terkumpul) lalu kemana poin sy????</t>
  </si>
  <si>
    <t>Gk bs di ganti kota nya</t>
  </si>
  <si>
    <t>Saya mau review jujur. Ternyata yang memberi rating di apk ini tidak semuanya jujur. Ada kerabat dekat saya yg diajak untuk bergabung Traveloka partner ship dan akan diberikan insentif. Tapi setelah lebih dari 3 hari insentif ga dikasih dan nomor kerabat dkt sy di blok. Memang insentifny tidak seberapa. Tapi kalo cara kerjany seperti itu sama saja membohongi banyak pihak. Terimakasih</t>
  </si>
  <si>
    <t>Ada apa ya dengan aplikasi traveloka ,, tlp ke cs malah tambh ribet ga ngerti kaya ngomong sama robot ga nemu titik keluar nya , mau chat cs juga malah keluar keluar di perbaruin kok malah gtu hadehhh,, Alhamdullillah setelah komplen ke ig dll akhirnya slsai juga perkara saya , semoga kedepan nya cs traveloka cepat tanggap ,, agar konsumen seperti saya semakin nyaman dn percaya pakai traveloka .</t>
  </si>
  <si>
    <t>Skor paylater turun padahal pembayaran tepat waktu terus. Harusnya naik Krn pemakaian rutin dan pembayaran tepat waktu ini malah turun .aneh.Traveloka payah.</t>
  </si>
  <si>
    <t>saya pesan hotel 26 september/malam tadi melalui mobal banking/llifestyle di mobal banking sudah berhasil pembayaran lalu pas saya cek orderan gagal tentu dari pihak hotel tidak menerima adanya bokingan atas nama saya alamsyah sedangkan uang saya ke ambil,mohon kerjasamanya kembalikan uang saya,di tunggu itikad baiknya 1x24jam.</t>
  </si>
  <si>
    <t>Tidak bisa refund dan reschedule</t>
  </si>
  <si>
    <t>lepas tangan masalah refund gudfest yg batal, tidak ada solusi, pdhl beli tiketnya di mereka</t>
  </si>
  <si>
    <t>ter the best dufan dari dulu... plus ditambah fasilitas fast track</t>
  </si>
  <si>
    <t>sangat berkesan dan semua wahana sangat kami nikmati, pokoknya happy banget</t>
  </si>
  <si>
    <t>Pada awalnya ketika konfirmasi telepon dan chat ke CS Traveloka, dikatakan tidak perlu booking harian. Ternyata sesampainya masih harus booking/reservasi terlebih dahulu via web. Pembelian di Traveloka tidak ada masalah, ticket annual pass berhasil dipakai.</t>
  </si>
  <si>
    <t>Pengalaman yang sangat luar biasa</t>
  </si>
  <si>
    <t>semuanya enak dan sudah sesuai dengan protokol kesehatan</t>
  </si>
  <si>
    <t>pas ke Dufan sedang tidak terlalu ramai, tapi banyak wahana yg sedang dalam proses maintenance</t>
  </si>
  <si>
    <t>happy bgt dpt diskon gede buat annual pass. jd bisa sering-sering ke dufan deh hehe</t>
  </si>
  <si>
    <t>sangat sangat seru sekali dan ada pertunjukannya</t>
  </si>
  <si>
    <t>AC nya dingin, staff sangat knowledgeable 🥰</t>
  </si>
  <si>
    <t>mantabs</t>
  </si>
  <si>
    <t>sangat menyenangkan dan liburan sambil belajar dgn keluarga</t>
  </si>
  <si>
    <t>sangat mudah dan cepat, terima kasih traveloka</t>
  </si>
  <si>
    <t>bagus untuk edukasi anak-anak mengenai alam laut</t>
  </si>
  <si>
    <t>Bagus, cocok buat yang suka foto</t>
  </si>
  <si>
    <t>Cepet redeem voucher ga perlu ribett</t>
  </si>
  <si>
    <t>Kesana waktu liburan rame banget, cape ngantrinyaaa</t>
  </si>
  <si>
    <t>So far so good... Fasilitasnya sudah oke dan sudah nyaman sekali utk berwisata keluarga... Kalo bisa ditambah lagi wahana-wahana baru yg lebih kereen... Berkembang terus ya Dufan... Aminnn</t>
  </si>
  <si>
    <t>pengalaman yg menyenangkan 🥰🥰🥰</t>
  </si>
  <si>
    <t>mohon diperbaiki kebersihannya yaa, kotor dan tidak terlihat petugas bersih-bersih.</t>
  </si>
  <si>
    <t>puas, cuma ga bisa main semua wahana karena harus melanjutkan perjalanan. next time semangat lagi.</t>
  </si>
  <si>
    <t>lumayan menghibur, cmn shark nya kecil ya</t>
  </si>
  <si>
    <t>bagus dan menarik tempat dan hiburannya. cocok untuk edukasi</t>
  </si>
  <si>
    <t>komplit, apa apa ada. tapi lumayan panas</t>
  </si>
  <si>
    <t>sedikit panas dan registrasinya ngantrinya lama bgt</t>
  </si>
  <si>
    <t>sebenarnya kalo liburan pasti rame jadi siap-siap bermacetan dan antrian yang cukup panjang. tapi kalo hari biasa sepertinya tidak begitu ramai</t>
  </si>
  <si>
    <t>untuk sea worldnya bagus banget anak2 suka dan happy banget disana. cum sangat menyesal membeli paket ocean dream krn dsna trnyata tdk menarik dan merasa tlh buang2 uang.</t>
  </si>
  <si>
    <t>Muumm7 muumuu Z mmm</t>
  </si>
  <si>
    <t>Diskon banyak yang keluar negri dari Papua coba kasih diskon dong</t>
  </si>
  <si>
    <t>Lumayan efisien buat pesan tiket pesawat dan liat harga tiket ditanggal tertentu, tapi "Gila sih dana refund potongan nya gede banget hampir 50%"</t>
  </si>
  <si>
    <t>Tolong kebijakanya knp akun sy harganya slallu tinggi dibndingkan tmn"sy,</t>
  </si>
  <si>
    <t>Cara mengaktifkan kembali tiket paylater gimana yah,</t>
  </si>
  <si>
    <t>Ribet,,menggunakan payletter ajh,,tidak bisa"</t>
  </si>
  <si>
    <t>Usahakan puaskan pelanggannya..</t>
  </si>
  <si>
    <t>Mau update no handphone gangguan terus min</t>
  </si>
  <si>
    <t>Ini kenapa gk bisa di buka ya...</t>
  </si>
  <si>
    <t>Paylater dibekukan</t>
  </si>
  <si>
    <t>Jaringan,wipi</t>
  </si>
  <si>
    <t>Oke</t>
  </si>
  <si>
    <t>Baru pertama download dan daftar pakai nomor hp dan ada yg telp.... dimasukin berkali kali kok gak berhasil ya</t>
  </si>
  <si>
    <t>Ini emang udah gk ada menu bioskop apa gimana?</t>
  </si>
  <si>
    <t>App ini semakin lama semakin tidak profesional. Mulai ragu dengan layanannya.</t>
  </si>
  <si>
    <t>Setelah sekian lama menggunakan traveloka kali ini saya kecewa, membayar paylater tidak pernah telat namun limit tidak kembali, padahal biasanya setelah membayar tagihan limit dikembalikan, namun sekarang malah menjadi 0 rupiah, di apk tertulis penggunaan limit tidak sehat dan pembayaran lancar. Aneh, paylater tidak digunakan masalah, dipakai pembayaran lancar dianggap limit telah melampaui batas, dibayar limit tidak kembali, maunya apa ???</t>
  </si>
  <si>
    <t>Kenapa sekarang Pembayaran kartu kredit traveloka paylater dari aplikasi traveloka gak bisa langsung bayar di aplikasi, sekarang malah diarahkan melalui e comerce, setelah bayar di e comerce pun gak langsung masuk . Nunggunya lama</t>
  </si>
  <si>
    <t>Pelayanan cs mengecewakan</t>
  </si>
  <si>
    <t>paylater ga pernah disetujui</t>
  </si>
  <si>
    <t>Saya biasa pesan hotel disini. Namun 3 hari yg lalu saya pesan hotel, berhasil bayar namun tiket tdk tercetak. Sehingga saya tidak bisa chekin. Sudah minta bantuan admin tiketdotcom unt ajukan pengembalian katanya diminta 1x hari kerja. Sdh lwt 1x hari kerja uang belum juga kembali. Ini saya komplai lqgi, suruh nunggu lagi. Saya minta niat baiknya tiketdotcom untuk mengembalikan uang saya. Saya sangat kecewa dan sangat tidak puas dengan kejadian ini.... semoga segera kembali uang saya</t>
  </si>
  <si>
    <t>Apk nya sih bagus, tp pihak pendanaan indodana tidak bagus. Payletter baru 1 mgguan di pakai dan sudah di bayar juga tagihannya tapi setelah di bayar mau di pakai lagi malah di suspense.</t>
  </si>
  <si>
    <t>Aplikasi gk bener Cek hotel terdekat di suatu tempat, lokasinya 305 meter dari lokasi (sudah klik map yang di aplikasi juga) Pas sudah dibooking, malah keluar alamat aslinya jauh banget dari lokasi yang dituju</t>
  </si>
  <si>
    <t>Saya sudah bayar pakai OVO, saldo terpotong namun e tiket belum terbit dan pesanan kadaluarsa. Tolong dikembalikan</t>
  </si>
  <si>
    <t>Menyedihkan, kecewa dan tidak mau pakai aplikasi ini lagi, sudah payment tapi E Tiket nya tidak keluar!!!</t>
  </si>
  <si>
    <t>Sudah melakukan pembayaran tapi tidak di konfirmasi dan tidak ada kode booking. CS dihubungi yang menjawab bot semua, dikirim melalui email tapi tidak ada tanggapan, bingung mau menghubungi kemana lagi. Dana sudah dipotong tapi tidak ada kejelasan, pelayanannya buruk dan tidak ada pertanggung jawaban</t>
  </si>
  <si>
    <t>saya memesan tiket untuk tanggal 7 malah keluar tanggal 6, saya sudah membayar dan tiket hangus begitu saja, saya sudah ajukan kesalahan apk ke customer care nya dan pada pihak maskapai hingga sujud &amp; berlutut tapi tidak ada kabar, saya sampai memohon karna saya tidak cukup uang beli tiket lagi, sakit hati saya karna ada orang tua saya juga ikut menangis.</t>
  </si>
  <si>
    <t>Buruk</t>
  </si>
  <si>
    <t>Terlalu banyak scam, harga sekarang mahal dibanding app lain, untuk yang pesan hotel harus hati2 aplikasi ini sering menyesatkan baik untuk tanggal dan hotel harus benar2 teliti untuk pakai app ini, uninstall now, never use tiket com anymore!!!!!!!!!!!!!</t>
  </si>
  <si>
    <t>APLIKASI TERJELEK DI SELURUH DUNIA....MAU REFUND AJA RIBET BANGET PAKE NUNGGU LAMA SEGALA...WEY ITU UANG GUE,,KALIAN JANGAN NAHAN² APA YG BUKN MILIK KLIAN ............</t>
  </si>
  <si>
    <t>seruuu dan menyenangkan bersama keluarga</t>
  </si>
  <si>
    <t>menyenangkan, bikin anak-anak happy</t>
  </si>
  <si>
    <t>kereen pokoknya, murmer jg dpt potongan pake debit BRI☝️🤗</t>
  </si>
  <si>
    <t>senang liat anak-anak happy😃, minta balik lagi... next month yaaa Insyaallah</t>
  </si>
  <si>
    <t>di sea world anak2 belajar mengenai berbagai jenis ikan2, dan mengenal banyak jenis ikan dan biota laut, next time kita ke sana lagi👍👍</t>
  </si>
  <si>
    <t>enak,mudah, bersih, semuanya tersedia dan tempatnya bermain juga ada+bisa ke pantai ancolnya yg saya juga udah lama sekali tidak kesana</t>
  </si>
  <si>
    <t>redeem tiket mudah dan praktis</t>
  </si>
  <si>
    <t>pengalaman yang tidak pernah lupa</t>
  </si>
  <si>
    <t>awalnya ku pikir seaworld itu gede, ternyata nggak, nggak seperti dufan yg bs ngabisin seharian, seaworld 1,5 jam dah bosen banget</t>
  </si>
  <si>
    <t>Keren tempatnya... anakku suka...</t>
  </si>
  <si>
    <t>Pengalaman yang sangat menyenangkan bersama Traveloka.</t>
  </si>
  <si>
    <t>so happy... ada wahana baru dunia kartun dgn banyak spot foto lucu2 dan spesial hari kemerdekaan ada atraksi marching band agustusan.</t>
  </si>
  <si>
    <t>untuk kebersihan di dalam dufannya lumayan bersih, cuman disitu banyak bgt yg ga pake masker dan banyak yg saat antri tidak melakukan social distance padahal udah disediain kotaknya. kalau mau dateng ke dufan mending dateng pagian karena antrinya bakal panjang bgt kalo datengnya pada siang hari.</t>
  </si>
  <si>
    <t>bagus, kebersihan perlu ditingkatkan lagi</t>
  </si>
  <si>
    <t>Tempat wisata yang menyenangkan, terutama bagi anak-anak... Sayangnya tidak semua wahana dapat dinikmati karena antrian yang panjang dan lama. Saran saja, mohon disediakan personil yang dapat membantu aktivasi e-card, karena tidak semua orang bisa melakukannya hanya melalui gambar/panduan.</t>
  </si>
  <si>
    <t>Tiket lebih murah dan mudah redemptionnya</t>
  </si>
  <si>
    <t>datang pas hari raya Idul Fitri ke 2... penuh sekali, sudah hampir 15 tahun baru ke seaworld lagi... masih seperti dulu</t>
  </si>
  <si>
    <t>pas kesana spot foto2 keren sama tempat tari kecaknya disewa orang turkey katanya, kesel banget deh udah jauh2 staff security nya pas ditanya dimana tari kecak diarahkan ke musium yg lg ada acara lomba gak bs masuk juga... jd bayar itu cuma lihat tari kecak di area yg minim banyak turis juga balik lg... gak dpt foto keren</t>
  </si>
  <si>
    <t>Sangat mengecewakan banyak wahana yg tutup/tidak beroperasi... dengan harga tiket segitu tdk worth it bgt, mohon pihak DUFAN menindaklanjuti</t>
  </si>
  <si>
    <t>Sedikit membingungkan prosedur redemption voucher nya</t>
  </si>
  <si>
    <t>Sudah cukup lama pakai aplikasi ini tapi nggak pernah dapet reward apa apa</t>
  </si>
  <si>
    <t>ticketnya mahal, dalamnya cuman itu itu aja</t>
  </si>
  <si>
    <t>membludag parah. tempat sangat ramai manusia. saling berdesak-desakan. seharusnya diberi kapasitas maksimal. jangan semuanya bisa pesan terus bisa masuk. saya bawa bayi kegencet gencet buat masuk doang.</t>
  </si>
  <si>
    <t>Harga gak tll jauh beda dgn apps lain. Kelengkapan pilihan layanan juga mirip lah dengan apps sebelah. Utk paylaternya indo dana jauh kalau dibanding shoppee. Utk apps ini saya coba test untuk telat bayar tagihan 4hari saja sudah kena denda 10% wow banget. Somehow not recommended.</t>
  </si>
  <si>
    <t>Kenapa tiket pay later saya di non aktifkan ..padahal saya bayar tepat waktu ...</t>
  </si>
  <si>
    <t>Aplikasi tidak bisa digunakan untuk membeli tiket kereta, error terus, kode promo tidak bisa dipakai padahal pengguna baru</t>
  </si>
  <si>
    <t>Mau beli tiket tapi form pemesanan gagal menampilkan halaman terussss padahal jaringan Internetku dah stabil :(</t>
  </si>
  <si>
    <t>Bikin kecewa,limit payletter turun terus padahal pembayaran selalu tepat waktu bahkan sblm jatuh tempo udah dibayar..hadechhh</t>
  </si>
  <si>
    <t>Apakah Traveloka ini mengadakan hadiah lewat telegram???</t>
  </si>
  <si>
    <t>Masa saya check in pilih kursi 8e dan 8f dengan jelas sampe udah saya cek lagi sblm klik check ini bisa2nya di boarding pas berubah jdi 8e dan 32f yg bener aja ni aplikasi gimana sih? Nyesel gak ada screenshoot kalo enggak udah dilampirin sebagai bukti!!!</t>
  </si>
  <si>
    <t>Saya dengan ini menghapus apk trveloka...semua data termasuk uplod ktp dan wajah sy..ay nytakan tdk berlaku..krna apk sdh sy uninstal .</t>
  </si>
  <si>
    <t>mahal harganya dan transfer di beberapa bank tertentu sering bermasalah</t>
  </si>
  <si>
    <t>TRAVELOKA SEKARANG LAMBAN. TIDAK SEPERTI DULU. DULU SAYA PESAN HOTEL VOUCHERNYA CEPAT KELUAR. SEKARANG LAMBAT NYA MINTA AMPUN. APLIKASI APA INI</t>
  </si>
  <si>
    <t>Setiap pesan 2 pesanan slalu yg 1 nya e tiket tertunda. Tolong di perbaiki</t>
  </si>
  <si>
    <t>Perasaan pembayaran pas.. tp kenapa limit dikurangin yah.. padahal aktif bayar terus...j</t>
  </si>
  <si>
    <t>Tidak sengaja terupdate, kolom diskonnya berubah menyusahkan, kembalikan seperti dulu saja.. tks</t>
  </si>
  <si>
    <t>sya tdk pernah ada buat akun. kenapa tiba tiba ada pinjaman pay later yg mengatasnamakan sya. bagaimana tindak lanjutnya ini . krn sangat merugikan sya secara pribadi</t>
  </si>
  <si>
    <t>Referralnya kaya tipuan gt. Dikasih banyak alesan biar ga dapet. Referral pertama katanya ga ada jejak. kok bisa ga ada jejak??? bukti kirim lewat WA aja udah kasih. system mreka yg ga sempurna donk? Referal ke 2 katanya sama hp? Loh wa k wa blum lg nama, profile, hp smua beda. KTP pun ada @@</t>
  </si>
  <si>
    <t>Pengurangan refund 40% , kenapa besar sekali ? Tidak sesuai dengan ekspetasi.. Mohon beri penjelasan terkait pengurangan dana pengembalian refund.. Di app tidak ada rincian biaya pengurangan ny pula !!!</t>
  </si>
  <si>
    <t>SANGAT MENGECEWAKAN! sudah berkali kali pesan tidak ada masalah, udah percaya sama apk ini tapi kemarin saya pesan, berhasil tf namun status pembayaran belum terbayar. saya langsung hubungi pihak hotel ternyata nama bookingan saya belum terdaftar. saya sudah melaporkan kepada cs belum juga ditindak lanjuti.</t>
  </si>
  <si>
    <t>Buruk seburuk buruk nya , tiket hotel sudah di bayar tapi voucher tida kunjung terbit sampai waktu nya habis , di telfon katanya di proses tapi sampai saat ini gaada melanjutan , di wa bbrp kali bales lalu hilang gaada kabar , di email cuek . Not recommended!</t>
  </si>
  <si>
    <t>Opsi bis dan travel ga berfungsi. Yg fast respons cuma tiket pesawat, kereta dan hotel. Sisanya lelet.</t>
  </si>
  <si>
    <t>Dear tiket, Kenapa saya diblock?</t>
  </si>
  <si>
    <t>Parah ya sekarang menu reschedule cuma pajangan, aslinya gabisa semudahbl itu,katanya terkendala.. tapi gatau kapan selesainye, ujung2 disuruh urus sendiri nel maskapai.. heloooo ngapain w beli di elu.. kalo gamau repot ngurus..payah lo.. uninstal fix</t>
  </si>
  <si>
    <t>Mengecewakan..sudah full bayar hotel tapi saat chek in kamar penuh semua.dan tidak bisa direfund.</t>
  </si>
  <si>
    <t>Untuk cek yg Bus dan travell luamaaaaa</t>
  </si>
  <si>
    <t>seru sekarang bisa main bareng temen-temen</t>
  </si>
  <si>
    <t>permainannya bagus, lokasinya bagus, pemandangannya bagus, kebersihannya bagus...</t>
  </si>
  <si>
    <t>Dari segi petunjuk arah, petugas yg standby, semuanya sdh ok ya</t>
  </si>
  <si>
    <t>seru... kalau mau ke dufan dari pagi spy semua permainan bs dinaiki 😎</t>
  </si>
  <si>
    <t>Suasananya bersih dan teratur, rekomen untuk rekreasi keluarga dan muda mudi</t>
  </si>
  <si>
    <t>Proses redeem voucher mudah, tidak perlu antri</t>
  </si>
  <si>
    <t>Alwaya having fun, yok lagi yok</t>
  </si>
  <si>
    <t>dengan ini mempermudah masuk dan pelayanannya juga bagus</t>
  </si>
  <si>
    <t>Hewan yg hidup di laut dan burung2 sangat beragam. Sehingga bisa menikmati keindahan ciptaanNya..</t>
  </si>
  <si>
    <t>Mengunjungi seaworld ancol salah satu impian saya sejak kecil. Spot-spot foto bagus, berbagai macam ikan ada, menjadi daya tarik anak-anak sampai orang dewasa seperti saya. Ruangannya memang di set gelap agar aquarium yang ada menjadi spotlight, namun untuk orang tua yang membawa anak harus benar-benar diperhatikan, takut berpisah.</t>
  </si>
  <si>
    <t>anaku sangat sukaa .. tp klo saya sih kurang suka krna liat aquarium ko mata saya pusinggg ...</t>
  </si>
  <si>
    <t>spesies ikan di SEA world sangat beragam, atraksi di ocean dream juga banyak jadi anak sangat senang</t>
  </si>
  <si>
    <t>mantap! semoga fast tracknya bisa dibeli di sini juga.</t>
  </si>
  <si>
    <t>liburan seru di GWK melihat salah satu patung terbesar di dunia, beranjak sore bisa melihat tari kecak di pelataran GWK, banyak spot foto yg estetik, terdapat fasilitas suhtle Bus dr parkiran kendaraan menuju lokasi GWK, proses redeem voucher langsung ke loket gate, tidak perlu antri tiket reguler,.</t>
  </si>
  <si>
    <t>Tempat nya nyaman dan bagus untuk menikmati berbagai macam lukisan dan seni kontemporer, bisa menambah pengetahuan dan memanjakan mata dengan lukisan lukisan yang indah, secara keseluruhan cukup puas berkunjung kesana.</t>
  </si>
  <si>
    <t>Saya fokus ke istana boneka, tempat favorit keluarga... - Kesan pertama: USANG, dimana banyak cat terkelupas, dan tambalan disana sini pada jalur air - Begitu masuk arena, terasa debu di hidung saat bernafas... setelah diperhatikan, hampir sepanjang arena penuh sarang kawan2... SANGAT TIDAK TERAWAT. - AIR YG BERWARNA KERUH DAN KEKUNINGAN, MENANDAKAN AIR SANGAT KOTOR... HARUSNYA JIKA BELUM SEMPAT DI BERSIHKAN, JANGAN DIBUKA DULU...</t>
  </si>
  <si>
    <t>Not really worth my money. Banyak atraksi yang lagi under maintenance. Seharusnya bayar setengah harga aja sih ini</t>
  </si>
  <si>
    <t>Happy banget seharian explore Sea World dan Ocean Dreams, yang pasti nambah knowledge banget tentang hewan hewan laut. STAFFnya juga menjelaskan dengan jelas tentang masing2 hewan dan thanks banget Traveloka Xperience karena beli tiket bundling harga jadi sangat bersahabat</t>
  </si>
  <si>
    <t>suasana masih sama seperti dulu dan agak ramai meski bulan puasa. cocok untuk bawa anak usia TK krn bisa dikenalkan dengan berbagai macam ikan</t>
  </si>
  <si>
    <t>Apasih dikit2 update terus</t>
  </si>
  <si>
    <t>pembayaran dgn CC verifikasi nya kurang pengamanan nya</t>
  </si>
  <si>
    <t>tidak ada promo diskon</t>
  </si>
  <si>
    <t>telat bayar beberapa hari saja sudah tidak bisa pakai paylater nya. Padahal saya langganan aktif dari dulu.</t>
  </si>
  <si>
    <t>udah sering bngt dpt reward dr pembelian tiket, tapi tiap log in sll gagal dan berakhir rewardnya ga pernah bisa kepake sekalipun ! mengecewakan</t>
  </si>
  <si>
    <t>toilet kurang bersih, susah mencari parkir, antri lama seluruh wahana</t>
  </si>
  <si>
    <t>Tidak bisa donklod</t>
  </si>
  <si>
    <t>Utk layanan reroad sejak semalam via aplikasi selalu error shg sbg konsumen tdk dapat solusi, maaf kesan saya ngga professional dlm hal layanan keluhan konsumen. Setelah melalui akun asistensi hanya dapat auto teks tapi tidak menjawab ke pokok permintaan konsumen. Seharusnya sbg konsumen diberikan phone kontak yg bisa dihubungi.</t>
  </si>
  <si>
    <t>Maaf, bintangku dikantong tinggal dua. Belum bisa impor bintang lagi.. nanti tunggu sampai akhir Maret, bener nggak paylater akan aktive dan bisa digunakan lagi.. jika blm bisa, bintang aku kandangin lagi, tp kl bisa, gas pol,kunang 2 pun akan aku bawa...</t>
  </si>
  <si>
    <t>harga tiket silangit jakarta hari kamis 24 pebruari 2022</t>
  </si>
  <si>
    <t>²aaq1</t>
  </si>
  <si>
    <t>Sekarang ga bisa pakai Traveloka poin buat beli tiket apapun seperti dulu , padahal itu ngumpulin poinnya setengah mati biar menghemat budget liburan tapi sekarang jadi sia-sia udah ngumpulin banyak ekstra poin tapi ga kepake , kecewa sama Traveloka sekarang</t>
  </si>
  <si>
    <t>Update terus tiap bulanya</t>
  </si>
  <si>
    <t>Mengapa akun travelokapaylater sy di nonaktifkan ? Sementara sy selalu membayar tepat waktu dan tidak pernah melakukan pembelian secara dadakan. Saya komplain tapi tidak ada jawaban, dari chat maupun email... Tolong pihak kredit traveloka menginvestigasi kembali akun travelokapaylater sy, kan disitu ada bukti pembayaran sy yg selalu ontime. Saya pelanggan lama traveloka, tolonglah agar traveloka bisa berbenah lagi. Terutama dibagian kreditnya dan pelayanan konsumen..</t>
  </si>
  <si>
    <t>Jumlah pembayaran saya salah kurang 307 padahal saya udah transfer 1.4juta cuman kekurangan 397perak perak terus saya top up 10rb eh bisa malah pembayaran yang tertunda udah ngak ada mohon min di bantuanya itu uang satu" Nya saya buat adik saya berangkat 😭😭😭😭😭</t>
  </si>
  <si>
    <t>Mantap</t>
  </si>
  <si>
    <t>Nyari tiket selalu sistem bermasalah</t>
  </si>
  <si>
    <t>Kita refaund udah bayar admin tapi masih disuruh bayar cicilan. Saya kasihan aja sama admin²nya kalau gak gua bayar ntar mereka makan apa. Ya gua anggap aja sedekah sama orang² fakir berkedok jasa. Sepertinya Traveloka bekerja sama dengan pinjol² juga soalnya dalam satu hari pas aq buka aplikasi pemblokir spam ada puluhan nomer tidak dikenal. Mereka coba telpon sampai mampus juga gak bakal muncul di layar soalnya pakai anti spam . Wkwkwkwk</t>
  </si>
  <si>
    <t>Saya pesan apart di Jardin 2x...eeeh ternyata agenya piktif, iming" harga murah no telpon juga ga bisa di hubungi 👎👎, mau komplein gmna coba dah dibayar.</t>
  </si>
  <si>
    <t>😛😝😜😜🤪</t>
  </si>
  <si>
    <t>Biaya jasa mahal bgt, mending ke aplikasi oren</t>
  </si>
  <si>
    <t>Perangkat tidak mendukung 🖕🏻</t>
  </si>
  <si>
    <t>Bagus dan nyaman banget, dijamin anda puas seharian di dufan</t>
  </si>
  <si>
    <t>pas ke sana lagi ga terlalu ramai jadi antrinya tidak terlalu lama</t>
  </si>
  <si>
    <t>jam 10 datang jadi atraksinya masih pada kosong</t>
  </si>
  <si>
    <t>Mantaaap. Liburan menyenangkan</t>
  </si>
  <si>
    <t>Seru, walaupun rame karena masih libur lebaran. Setidaknya bisa naik 7 wahana hehe</t>
  </si>
  <si>
    <t>rekomendasi untuk liburan keluarga bareng si kecil</t>
  </si>
  <si>
    <t>seru bgt.. refreshing sama keluarga apa lg pengalaman baru buat anak2.. tempat kyk gini2 thu lbh baik untuk family time..</t>
  </si>
  <si>
    <t>seru, dah lama ga ke seaworld.. abis ke seaworld jgn lupa mampir dulu ke pantai ancol 😁🤭</t>
  </si>
  <si>
    <t>proses redeem mudah. anak juga senang</t>
  </si>
  <si>
    <t>sangat menyenangkan...</t>
  </si>
  <si>
    <t>sesuai dgn deskripsi, proses cepat dan lancar</t>
  </si>
  <si>
    <t>seru banget dan sangat rekomendasi</t>
  </si>
  <si>
    <t>Tempatnya luas jadi harus siapkan fisik untuk jalan jauh. Ada free minum di restonya hanya aja petunjuk arahnya sangat kurang seperti masuknya darimana, mau ke Patung GWKnya lewat mana, restonya dimana, agak bingung karna luas juga. Btw, dari parkiran bisa naik shuttle sampai ke pintu masuk. Kalau mau naik shuttle sampai di dalam harus bayar 40k/orang. Untuk penampilan tari kecak ya ok dan fun banget. Yukk buruan datang.</t>
  </si>
  <si>
    <t>tempat yg bagus, cuman antri naik shuttle bus nya kelamaan</t>
  </si>
  <si>
    <t>Sangat disayangkan tidak ada pemberitahuan terlebih dahulu bahwa fasilitas-fasilitas tertentu tidak tersedia untuk dinikmati. Berbeda dengan yang dijanjikan di deskripsi penawaran. Sangat disayangkan, kami rombongan 6 orang.</t>
  </si>
  <si>
    <t>Tempat yang cocok untuk mengenal budaya Bali. Pemandangan di sekitarnya juga bagus. Cocok juga buat yang suka foto-foto. Jalannya agak jauh, sebaiknya pakai sepatu yang nyaman untuk jalan kaki. Proses redeem voucher cepat dan mudah, udah dapat free refreshment drink juga di restonya.</t>
  </si>
  <si>
    <t>pembelian tiket cepat dan langsung bisa digunakan, terima kasih.</t>
  </si>
  <si>
    <t>pada saat kesana senang ramai karena rombongan anak sekolah jadi kita mau gak mau beli fast track</t>
  </si>
  <si>
    <t>Kalo weekend ga dapet tiket fast track siap2 ngantri kayak uler 🤣</t>
  </si>
  <si>
    <t>menyenangkan walau harus antri</t>
  </si>
  <si>
    <t>banyak pilihan wahana, staff ramah</t>
  </si>
  <si>
    <t>Luar biasa untuk edukasi ke anak…</t>
  </si>
  <si>
    <t>Utk kebersihan di kaca agak kurang, selebihnya menyenangkan🤗</t>
  </si>
  <si>
    <t>Banyak tempat permainan yang tutup dan sedikitnya tempat bermain yg buka membuat antrian yang panjang, antrian juga membuat banyak waktu yg tidak efisien terlebih lagi harus berdiri lama</t>
  </si>
  <si>
    <t>V#</t>
  </si>
  <si>
    <t>Saat 2 perlu selalu ada Travloka.bisa deh terbang.</t>
  </si>
  <si>
    <t>Keseringan macet ditengah jalan</t>
  </si>
  <si>
    <t>Pembayaran dengan ATM lainnya ga recommended banget buat yg pesennya buru². Konfirmasi pembayaran aja lama banget ni dari siang ampe malem belum juga di konfirm, padahal udh jelas gua lampirin bukti pembayaran yang sesuai rek tujuan sama nominalnya juga udah pas.</t>
  </si>
  <si>
    <t>e tiket terbit lama</t>
  </si>
  <si>
    <t>Aplikasi error</t>
  </si>
  <si>
    <t>Saya mau melakukan pemesan tiket ketika sudah dipilih tp malah gagal menampilkan halaman</t>
  </si>
  <si>
    <t>Etiket gak ada di notif ke email, kalo perubahan jadwal gak ada notif ke email ato nohp. Bikin ribet, suntuk...</t>
  </si>
  <si>
    <t>Traveloka saya tidak bisa digunakan lagi, lemot parah.</t>
  </si>
  <si>
    <t>Seharusnya di beri metode pembayaran lwt e wallet</t>
  </si>
  <si>
    <t>Mau verifikasi pembelian aja lama banget padahal Internet stabil, ampas!!</t>
  </si>
  <si>
    <t>Prcoba,an dulu Bintan dua</t>
  </si>
  <si>
    <t>sangat merugikan customer dengan adanya paylayter , padahal bayar selalu sebelum jatuh tempo dan gak pernah telat terus payment nya tapi kenapa tiba2 skor dan limit malah turun drastis dari platinum sampe ke bronze dan virtual number juga jadi tidak ada limitnya , tolong kalo mau turun kan limit dan skor liat yg mana bener2 orang bayar tepat waktu gak pernah telat sama orang yg telat terus bayarnya , ini bayar selalu sebelum jatuh tempo malah kena dampak nya , udah mau BANGKRUT APA?</t>
  </si>
  <si>
    <t>Setelah di update ke versi terbaru, tiap kali lakukan pencarian tiket pesawat ataupun hotel, tiba2 langsung keluar dr aplikasi dengan sendirinya, hal ini sdh saya sampaikan lewat chat di aplikasi maupun email ke cs traveloka tapi belum ada perbaikan. Note : Saran untuk hapus chace, log out &amp; login ulang, uninstall &amp; install ulang sdh saya lakukan, tapi tetap tiap kali lakukan pencarian langsung keluar dr aplikasi, pdhl saya perlu segera untuk lakukan pembelian tiket pesawat. Mohon tanggapan</t>
  </si>
  <si>
    <t>Pay later dah di level platinum pembayaran tidak pernah telat,,tp sudah 3 bulan setiap mau pakek VA selalu alasan gangguan keamanan... Yah ngapain dikasih limit banyak2 tp nggk bisa dipakai.....kocak!!!!MAKIIIIN PARAAH WOIIII LIMIT BANYAK,PEMBAYARAN BAGUS,TAPI TIDAK BISA DIGUNAKAN UNTUK APA APA BUANG2 WAKTU....TIDAK RECOMENDED</t>
  </si>
  <si>
    <t>Aplikasi yang bermanfaat banget untuk masalah liburan dan diskonny gila-gilaan 😍</t>
  </si>
  <si>
    <t>Yang ada masalah itu Traveloka nya. Bukan koneksi di kita nya. Jadi tolong perbaiki</t>
  </si>
  <si>
    <t>Dikasih limit puluhan juta tapi nggak bisa dipakek dengan alasan keamanan. Hal ini berulang terjadi tapi tidak ada solusi. Pelayanan buruk dan leletnya minta ampun. Saatnya saya beralih ke travel agent saja karena aplikasi ini sampah</t>
  </si>
  <si>
    <t>Bayar tepat waktu, tidak ada tagihan,point turun,kan aneh...</t>
  </si>
  <si>
    <t>Payah bukan hotel/home stay kok masih dijual mana sudah bayar, pas datang zonk...</t>
  </si>
  <si>
    <t>Anehnya pembayaran gagal terus. Not recomendet</t>
  </si>
  <si>
    <t>Pelayanan sangat buruk. Pesan tiket, uang sudah ke debet tp ticket nggak ke issued. CS dihubungi sama sekali no respon sampai 24 jam sejak uang terdebet.</t>
  </si>
  <si>
    <t>Respon lelet kek gk ada tanggepan sama sekali, udah melakukan pembayaran tapi terus menerus gk terkonfirmasi, aplikasi sampah🗑️</t>
  </si>
  <si>
    <t>Saran untuk Jangan mendownload. Kemarin saya sukses melakukan pembayaran tiket di aplikasi OVO, tapi di aplikasi ini tidak terdeteksi. Dan saldo OVO saya hilang begitu saja. Setelah di laporkan CS nya tidak bisa apa-apa. Pelayanan yang sangat buruk</t>
  </si>
  <si>
    <t>Nggak usah di instal..karena untuk refand hotel dan harga hotel nya berbeda dgn pembelian langsung sampai dengan 200 persen.</t>
  </si>
  <si>
    <t>Gua udah 3 kali nge war gak dapet dapet Padahal tinggal sedikit lagi Payah nih tiket com</t>
  </si>
  <si>
    <t>anak-anak senang tapi karena udah mulai musim liburan jd banyak antrian sebelum naik permainan... but still enjoy it</t>
  </si>
  <si>
    <t>pasti harus balik kesini lagi!</t>
  </si>
  <si>
    <t>liburan saat high season, recommend utk fast track krn amtrinya panjang</t>
  </si>
  <si>
    <t>sepi jadinya bisa naik banyak wahana, toiletnya bersih dan wangi</t>
  </si>
  <si>
    <t>Sea World is one of the best places in Jakarta for kids. Learning about animals who live under the water. Especially when we saw the monte ray ( Giant ikan Pari)</t>
  </si>
  <si>
    <t>Harga tiket jadi lebih affordable beli via traveloka. Ga perlu ribet saat check in, tinggal scan aja. Anak2 suka sekali ke sini.</t>
  </si>
  <si>
    <t>pengalaman pertama untuk anak saya, terimakasih travoloka, karena travoloka mewujutkan senyum dan tawa, tanpa merogoh kantong terlalu dalam🤣🤣🤣🤣🤣</t>
  </si>
  <si>
    <t>Wahhh kerenn deh buat liburan keluarga yg terdekat affordable price dan bs ajak oma dan opa juga hehehe,terima kasih traveloka dan seaworld aku udh yg kedua kalinya bawa anak2ku</t>
  </si>
  <si>
    <t>Saya sangat menikmati wahana, suasana, dan situasi yang begitu aman dan nyaman</t>
  </si>
  <si>
    <t>anak-anak pasti suka kalo kesini. pengalaman yang menyenangkan</t>
  </si>
  <si>
    <t>Worth it dengan harga yang ada sekarang</t>
  </si>
  <si>
    <t>sangat menyenangkan dengan harga relatif terjangkau pesan lewat traveloka banyak diskonnya... terima kasih traveloka bisa menikmati sea world dan samudra luar biasa pokoknya istri dan anak² sangat senang... top</t>
  </si>
  <si>
    <t>seru dan wahananya bervariasi</t>
  </si>
  <si>
    <t>Seru, cocok untuk keluarga, recommend untuk datang pagi-pagi karena kalau siangan dikit rame. Atraksi ngasih makannya seru, ikannya juga menarik-menarik. Definitely will go back again!</t>
  </si>
  <si>
    <t>Menyenangkan, voucher dr traveloka juga sangat mudah untuk proses masuk ke wahana, pokoknya oke bgt</t>
  </si>
  <si>
    <t>disarankan untuk membeli tiket online karena harga lebih murah dan ga ribet untuk redeem di lokasi nanti.</t>
  </si>
  <si>
    <t>proses masuk bs lebih cepat, dan wahana nya menyenangkan</t>
  </si>
  <si>
    <t>kesini pengen naik 2 wahana ini. eh.... malah maintenance. agak kecewa sih. untung beli yang annual pass. next kesini lagi.</t>
  </si>
  <si>
    <t>Pelayanan nya baik dan ramah.Hanya saja pada saat saya kesana cukup banyak wahana yang tidak jalan karena dalam perbaikan.</t>
  </si>
  <si>
    <t>Lingkungan bersih, mushola bersih, tapi banyak wahana yang dalam perbaikan</t>
  </si>
  <si>
    <t>it's oke lah tempatnya juga nyaman pas lah kalau sama keluarga</t>
  </si>
  <si>
    <t>everything is good... semua wahana seru</t>
  </si>
  <si>
    <t>redeem ticket mudah, seharusnya disediakan tiket fast track, beberapa wahana ditutup but isoke overall good</t>
  </si>
  <si>
    <t>Harga tiketnya kemahalan, 2 jam juga udah termasuk bosen liat gituan</t>
  </si>
  <si>
    <t>tempatnya kurang 'disable friendly'. kursi roda sudah tidak ada, diganti dengan penyewaan skuter yang cukup mahal dan terbatas jumlahnya. untuk pengunjung dengan disabilitas tidak akan bisa menikmati/berkeliling area, kecuali membawa sendiri kursi roda. antrian untuk pengunjung regular melebihi batas, karena prioritas untuk pengunjung yang membayar fast trax/premium (tanpa antri). sejak buka hingga tutup pukul 5 sore, hanya bisa menikmati 5 wahana karena lamanya antrian di tiap wahana.</t>
  </si>
  <si>
    <t>beli tiket SeaWorld+ samudra ocean. seaworld binatang2nya kayanya ga sebanyak dulu yg skrg . jellyfish nya mengkhawatirkan sekali hanya ada sedikit dan sebagian udh pada mau mati.. kayanya didalem 30-60 menit jg udh puas, cuma liat pas feeding time di main tank.. tp untuk seaworld jadwal feedingnya sesuai jadwal.. kalo yg samudra ocean nya jadwal show tidak sesuai jadwal yg ada di papan nya jd bingung pas masuk mau nonton show apa, dtg ke tempat dolphin katanya jam 13.00 taunya jam 13.30..</t>
  </si>
  <si>
    <t>Mohon bantuannya, refoun saya di tolak, bagai mana solusi selanjutnya....</t>
  </si>
  <si>
    <t>nnk</t>
  </si>
  <si>
    <t>Gimna pihak travoloka. Pesanan saya lewat aplikasi Blibli PDA tggal 9 .sudh saya batalkn .refund tggal 9.smpe sekarang udah 15hari Limit virtual namber belum balik juga. Ada tagihan. Saya kirim bukti lewat email.tidk ada blsan. Saya TLP cuma d sruh tunggu 14 hari'. Ini udh 15hari limit virtual namber belum balik. Saya ada bukti refund dari pihak aplikasi blilbli.saya krm lewat email travoloka .tapi tidk ada blsan.limit belm balik.ada tagih . Gimna pihak travoloka?</t>
  </si>
  <si>
    <t>Kayaknya aku di minta ngapdate mulu deh appnya. trus klo gak di update gak bisa masuk ngelewng kepage yg lain bingung aku makenya</t>
  </si>
  <si>
    <t>Pesanan yang harusnya selesai kok msih kesimpen di pesanan</t>
  </si>
  <si>
    <t>Knp keterangan nya penerbangan tdk tersedia yaa, pdhl di aplikasi sebelah ada 9 penerbangan di tanggal yg sy mau.</t>
  </si>
  <si>
    <t>Sdh 2 hari gagal reshedule dan refund, selalu mengalami kendala</t>
  </si>
  <si>
    <t>Ko jadi serem yah pas baca complenan..</t>
  </si>
  <si>
    <t>Saat melakukan pemesanan, disuruh ngisi email, tapi tidak bisa diklik &amp; tidak bisa diisi emailnya..?</t>
  </si>
  <si>
    <t>Sering tdk konek kalo bayar pake ovo atau link aja, dan harus isi data lagi.. Diulang lagi.. Belum nyaman pake aplikasinya</t>
  </si>
  <si>
    <t>Ketik email gak bisa...gmn ini?</t>
  </si>
  <si>
    <t>Kurang puas dengan traveloka diakibatkan: 1. Ketika beli tiket bagasi dibuat 7 kg untuk kabin dan 20 kg, ternyata yg 20 kg tidak bisa digunakan. Padahal udah jelas2 tertera di e-ticketnya (ini sama saja dengan menipu customer) 2. Biaya tambahan seperti refund 100%?? Ini juga salah satu trik parah dan gak masuk akal. Seharusnya, beli tiket kalo udah dibeli ya refund itu bisa dilakukan (kecuali kalo customer datangnya telat) 3. Gak bisa pake kartu kredit BCA Card!! Padahal dulu bisa tanpa visa</t>
  </si>
  <si>
    <t>🤩😄😙😁🚥🤷🤷🛌</t>
  </si>
  <si>
    <t>Kenapa aplikasi Traveloka sekarang sering sekali lemottt???utk cek tiket sja susah TDK bsa connect</t>
  </si>
  <si>
    <t>Aplikasi travel buruk</t>
  </si>
  <si>
    <t>Saya kecewa dengan proses refound tiket treveloka... awalnya saya tidak tau kalau pembeliaan tiket dengan voucher tidak bs di refound dalam bentuk apapun. Ok saya terima. Tp knp giliran saya beli tiket yg ada label refound 100% uang kembali. yg jls2 harga nya lebih mahal dr harga normal ( karena ada asuransi) eh giliran saya klaim di tolak. Lah asuransi di beli pakai voucher mau giliran di klaim nolak..gmn ini konsepnya. Kok curang</t>
  </si>
  <si>
    <t>Kalo masalah reschedul aplikasinjadi lelet, refund diperumit dan ditekan semurah murahnya, dikomplain yg jawab robot, tidak usah capek capek hubungi CS, masalah anda tidak akan menemui solusi, adanya anda tambah pusing.</t>
  </si>
  <si>
    <t>Tolong dong traveloka gak usah kasih kupon buat ke tempat wisata ,karna kebanyakan kita gunain pesawat itu untuk trip bisnis atau pulang kampung dan terpaksa harus ambil kupon nya yg gak guna juga ga bakal digunain . Kesan nya malah rate nya kemahalan ,jadi mikir lagi kalau mau booking lagi di Traveloka.</t>
  </si>
  <si>
    <t>Aplikasi terlalu banyak iklan tidak jelas</t>
  </si>
  <si>
    <t>Katanya kalau pesan dsni harga lebih murah,bohonh lebih mahal iya,aplikasi gx jelas</t>
  </si>
  <si>
    <t>Saya terkena penipuan hotel,hotelnya ada di aplikasi namun setelah mengikuti map nya hotelnya tidak ada alias di tipu,cukup mengecewakan bahkan ngurusnya ribet banget alias ga dapat kembali uangnya, untuk teman" berhati hati klo bisa unduh aplikasi yang sesuai standar.,bayangkan hotel palsu saja masih bisa lolos dan berlisensi sehingga saya pun percaya" aja</t>
  </si>
  <si>
    <t>Uang yang saya tarik berhasil tapi belum masuk rekening saya dan sudah ber hari hari</t>
  </si>
  <si>
    <t>Data pribadi tidak aman.</t>
  </si>
  <si>
    <t>serunya liburan di dufan, beli tiketnya di traveloka aja😊</t>
  </si>
  <si>
    <t>Lumayan antri panjang, tapi cepat jalannya</t>
  </si>
  <si>
    <t>great experience, tapi sayang dibatasi smp jam 5 sore</t>
  </si>
  <si>
    <t>crowded mungkin karena weekend... sangat memuaskan... makasih dufan</t>
  </si>
  <si>
    <t>bikin ketagihan ke sini, happy banget🥰</t>
  </si>
  <si>
    <t>Beli tiket di traveloka lebih mudah dan lebih hemat👌🏻 easy access jg menyenangkan sekali ke dufan, beli annual tiket untuk 6 bln semoga bisa ada kesempatan kesana lg❤️‍🔥</t>
  </si>
  <si>
    <t>mantap... senang... dan ingin kembali lg</t>
  </si>
  <si>
    <t>menyenangkan dan terbaik...</t>
  </si>
  <si>
    <t>memudahkan saya memasuki area dufan... hanya tunjukan kartu e-card saya bisa langsung masuk tanpa harus beli beli tiket dulu</t>
  </si>
  <si>
    <t>Anak-anak happy n enjoy menikmati liburan di Dufan… banyak ngantri di tiap wahana karena mmg rame banget 😁😁 proses redeem voucher e-card mudah dan cepat, pembelian tiket masuk jadi mudah &amp; gak perlu antri-antri lagi 👍</t>
  </si>
  <si>
    <t>bagus sekali</t>
  </si>
  <si>
    <t>sangat menyenangkan, bersih hny saja datang nya pas libur jd ramai</t>
  </si>
  <si>
    <t>ga serumit yg dibayangkan... lewat traveloka gampang banget... trus reservasi langsung lancar gapake lama... UNTUK ANCOL nya... makasih... anak2 n keluarga seneng... cuma foodcourt nya yg kurang banget karena antrian sampe panjang pol</t>
  </si>
  <si>
    <t>semuanya menjadi menyenangkan dgn kemudahan. akses yg cepat lebih murah karena dapat potongan... menyenangkan</t>
  </si>
  <si>
    <t>Menyenangkan sekali, fasilitas lengkap dan banyak papan penunjuk arah</t>
  </si>
  <si>
    <t>seruuu liburan bersama keluarga di hari lebaran ☺️</t>
  </si>
  <si>
    <t>Dengan adanya easy ticket di traveloka memudahkan ga perlu antre lama</t>
  </si>
  <si>
    <t>mengajarkan anak untuk mengenal jenis-jenis hewan</t>
  </si>
  <si>
    <t>mantab pokoknya gak nyesel kesini</t>
  </si>
  <si>
    <t>Beli tiket GWK bs buat acara hampir seharian di Bali, jalan dr parkiran ke shuttle 5”, shuttle to entrance 15”, ticket redeem 5”, amphitheatre 30”, naik ke patung Wisnu lama 15”, turun ke patung garuda 15”, skuter n bike rent bisa 60”, jalan ke GWK baru 30”, naik GWK baru 60”, turun ke kecak dance 30”, nonton kecak dance 60”. Benar2 exhausted jiwa raga. 😅😅😅</t>
  </si>
  <si>
    <t>ga nyesel sih beli annual pass di traveloka pilih tiket buat sabtu, 12 agustus eh, ternyata ada halangan hari sabtunya tapi ga worry karna tinggal aktivasi aja annual pass nya di hari sabtu dan kita pergi hari minggu kebetulan minggu berikutnya pun kita ada keperluan lg k jkt, jd sekalian main k dufan lagi asli sih worth banget kalo tinggal di jkt kyanya tiap bulan aku pake ini annual pass syg aja dr luar kota, nanti pas liburan akhir tahun pasti main dufan lagi deh sblm annual passnya abis proses masuknya jg cpt bgt, tgl reservasi dlu di web ancol, pilih tanggal, pas dtg tinggal scan e-card annual pass nya</t>
  </si>
  <si>
    <t>Rame banget harus weekday kesini. Sedih banyak wahana yang tidak beroperasi juga 🥲</t>
  </si>
  <si>
    <t>Impian saat masi kecil bisa main disini</t>
  </si>
  <si>
    <t>Dufan masih super fun place 😄😄😄</t>
  </si>
  <si>
    <t>Cukup menyenangkan, namun perlu diperhatikan lagi kebersihannya, banyak sampah bereerakan saat mengantri di beberapa wahana.</t>
  </si>
  <si>
    <t>Seru banget. Setelah 2tahun covid akhirnya bisa menikmati wahana dufan lagi</t>
  </si>
  <si>
    <t>sangat menyenangkan, mungkin masa transisi pandemi tutupnya masih jam 17:00. semoga saja kedepan kembali normal 😁 overall good.</t>
  </si>
  <si>
    <t>salah 1 show yang paling ditunggu... durasi cukup, narasi penjelasan pun cukup jelas👌</t>
  </si>
  <si>
    <t>Udah bagus sih cuma gak bisa pembayaran lewat Apk DANA</t>
  </si>
  <si>
    <t>Saran : Untuk pemesanan tiket bus agar dicantumkan keberangkatan asal. Misal Bungur Asih - Denpasar ada 2 dan keduanya jam 16.30, asal keberangkatan Peneleh dan Madura, a di masing2 pilihan agar dicantumkan mana yg Aselinya madura Denpasar , mana yg Peneleh Denpasar. Hr ini sy dapat bus Madura Denpasar, padahal sy ingin bus Surabaya/peneleh Denpasar. Kalau gak jelas seperti ini mendingan sy pesen langsung ke Gunung Harta</t>
  </si>
  <si>
    <t>bagaimana cara membeli tiket pesawat dengan ktp???</t>
  </si>
  <si>
    <t>promo kurang</t>
  </si>
  <si>
    <t>Harga tiket mahal</t>
  </si>
  <si>
    <t>pas aku mau bayar kenapa selalu pembayaran telah berakhir</t>
  </si>
  <si>
    <t>Untuk Payletter sampai kapan tdk bisa di gunakan?</t>
  </si>
  <si>
    <t>Baru download trus pesan hotel setelah bayar kok g ad ya pesan. Hubungi kemana donk saya</t>
  </si>
  <si>
    <t>Hapus daftar teman masih satu satu :(</t>
  </si>
  <si>
    <t>Terimakasih tiket com, sesi sy sudah habis, ngga tau kenapa</t>
  </si>
  <si>
    <t>Akunku sering gk bsa but pesan tiket pesawat tolong di perbaiki dong</t>
  </si>
  <si>
    <t>paylater nya ga bisa di pake, limitnya aja yg gede tip pas pembayaran ga bisa mulu</t>
  </si>
  <si>
    <t>sudah bbrpa kali mau melakukan pembayaran tiket tpi sllu gak bs, dgn alasan ada kendala, malaszzzz nya pke aplikasi, pdhal dr dlu tiap mau plg atau jln2 sllu pke aplksi traveloka beli tiket, hadeehhh</t>
  </si>
  <si>
    <t>Sekarang aplikasi ini terlalu mahal harga tiket tahun 2023, beda dengan harga tiket 2022. jadi penumpang yg mau memesan tiket pesawat penerbangan akan selalu membatalkan karna takut dengan harga tinggi, mohon di sesuaikan bosku🙏</t>
  </si>
  <si>
    <t>Sampai saat ini aplikasi traveloka gak bisa log in, Setiap buka pasti diminta konfirmasi WA atau SMS, tapi kode gak dikirim. WA dan SMS tidak dikirim, sinyal HP bisa nerima yg lain hny dari traveloka gak fungsi</t>
  </si>
  <si>
    <t>Sudah dari jumat g bisa booking hotel. Entah karna pakai paylater atau faktor lainnya.. tp klo krna faktor paylater ,salah nya dimana? Ga pernah bayar terlambat ! &amp; skrg pas urgent butuh malah ga bsa dipake alasan kemanan.. keamanannya siapa ?</t>
  </si>
  <si>
    <t>Harga tiket Manado tujuan Jakarta terlalu mahal ada yg murah harus transit dulu ke Singapore untuk ganti pesawat, kalau transit ke luar negeri harus bikin dulu paspor</t>
  </si>
  <si>
    <t>travel dengan respon terlama dan ga jelas. Ini aplikasi terjelek yang pernah aku temuin sih..</t>
  </si>
  <si>
    <t>Uang Saya msh nyangkut di aplikasi bosok ini</t>
  </si>
  <si>
    <t>Aku langganan di aplikasi ini kok lama lama mencurigakan ya tgl bisa berubah ubah tapi malah ngk bisa refund ngk bisa ganti pesawat mau ngk mau harus hangus</t>
  </si>
  <si>
    <t>Saat bayarnya aplikasinya error terus</t>
  </si>
  <si>
    <t>paylater nya kurang ajar bangettt,nagih ga punya sopan santun,seperti depkolektor liar,padahal saya sudah bilang saya telat karena sibuk kerja,seakan akan saya penipu.nama paylater nya indodana.jgn pernah pake aplikasi ini.kurang ajar ga punya pendidikan saat menagih customer,dianggapnya semua customer saat telat itu sama,....</t>
  </si>
  <si>
    <t>Keseringan updeat...</t>
  </si>
  <si>
    <t>Wkatu war tiket suga bener2 crash ga bisa masuk sama sekali, sampe 10mnt coba lagi terus. Begitu bisa cat 4 - 5 uda habis dipesan. Cat 4 - 5 itu horor bangettt...ghoib bangett!!!!!! Seperti gada prepare sbelemnya buat web maupun aplikasi yg akan di akses se indonesia mungkin. Atau memang di setting seperti itu????</t>
  </si>
  <si>
    <t>Aman nyaman seruu, mau lagi ke sanaa</t>
  </si>
  <si>
    <t>proses redeemnya cepat, hanya saja, pengalaman di Dufan yang kurang cukup waktunya, hanya 3 wahana dalam 1/2 hari kunjungan</t>
  </si>
  <si>
    <t>Beberapa wahana msh antri krn padat pengunjung spt Bianglala kita selalu miss ga kedapatan antrian krn waktu terbatas jam 5 sudah tutup. Ada juga wahana baru yg antri juga tapi sejauh ini Dufan masih ok buat dikunjungi untuk bersenang-senang 😘👍🏿</t>
  </si>
  <si>
    <t>permainannya bagus, tapi sekarang banyak sampah di mana-mana dan toilet kotor sekali</t>
  </si>
  <si>
    <t>pengalaman yg menyenangkan, beli tiket promo epic sale. redeem voucher petunjuknya jelas. di lokasi jg gampang tinggal scan barcode dan proses cepat.</t>
  </si>
  <si>
    <t>mantap, dufan tempat yg sangat cocok untuk keluarga.</t>
  </si>
  <si>
    <t>Memudahkan tanpa perlu lama lama antri... informasi yg disampaikan pun selalu update... jadi ga perlu repot buang waktu untuk antri beli tiket</t>
  </si>
  <si>
    <t>sangaaat membantu, menyenangkan syekaaali</t>
  </si>
  <si>
    <t>jgn pergi pas hari libur besar... antrian ngeri</t>
  </si>
  <si>
    <t>Tempatnya bersih, nyaman, anak-anak suka banget</t>
  </si>
  <si>
    <t>easy to use dan ga pake ngantri beli tiket on the spot..karna masih waktu liburan jadi ramai sekali..beli tiket di Traveloka, bayar via va m- bangking trus tinggal scan barcode nya di sea world langsung enjoy the holiday.. thank you Traveloka</t>
  </si>
  <si>
    <t>baru pertama ke sea world. sgt berkesan. karena anak jadi senang bisa menyaksikan ikan dr jarak dekat, dan berbagai macam ikan. pokoke senang</t>
  </si>
  <si>
    <t>tempatnya bagus bisa berwisata sambil belajar terkhusus untuk anak anak dan bagi orang dewasa sangat menyenangkan</t>
  </si>
  <si>
    <t>protokol kesehatannya, kenyaman serta ke amanan sangat di perhatikan</t>
  </si>
  <si>
    <t>Seru sih bawa anak anak kesini</t>
  </si>
  <si>
    <t>Gak nyesel beli disini gak perlu antri lagi, tinggal beli tiket masuk mobilnya aja kemaren yg lupa.</t>
  </si>
  <si>
    <t>ancol tetap jadi tempat yg sgt menyenangkan untuk keluarga, ditambah dengan kemudahan dari traveloka, semuanya menjadi lebih mudah dan sangat mengesankan</t>
  </si>
  <si>
    <t>kesana karna mau nonton konser tahun baruan, tempatnya luas , bagus, overall bagus</t>
  </si>
  <si>
    <t>Bagus, tapi banyak wahana yang tidak bisa dipakai, semuanya menyenangkan</t>
  </si>
  <si>
    <t>Sungguh menyenangkan rekreasi di Dufan, cuma fasilitas Mushola lebih diperbanyak jumlahnya yang di dalam area Dufan jadi saat pengunjung ramai kita tidak perlu berdesak desakkan untuk sholat dan kalau bisa disediakan toilet dekat mushola bukan tempat wudhu saja, kami sholat di Mushola dekat wahana Arung Jeram tidak ada toiletnya hanya tempat wudhu</t>
  </si>
  <si>
    <t>toiletnya perlu dilakukan perbaikan dan peningkatan pelayanan. terima kasih</t>
  </si>
  <si>
    <t>Good lah, mantaap harga lebih murah</t>
  </si>
  <si>
    <t>Bagus tp rame tapi seru si harus</t>
  </si>
  <si>
    <t>Untuk harga tiket masuk tidak worth it yaa, blm lg hrs masuk ancol naik kendaraan... karena tutup di jam 17.00. Sebelum jam 17.00 pun di tempat area sudah harus clear dari pengunjung. At least batas untuk antri naik wahana sampai jam 16.00, belum lg ketentuan yg tdk tegas. Anak saya umur 3 tahun sudah bayar, tdk bisa naik yg ada batasan tinggi 100cm dan tdk bisa naik wahana itu setelah 1 jam antri. Kesana hanya bisa naik istana boneka… Ada anak pengunjung yg usia anaknya di atas saya bisa ada yg masuk tp tidak bayar… Karena disana panas jarang jg ada kipas angin air untuk menyejukkan pengunjung, walaupun ada tp jarang.</t>
  </si>
  <si>
    <t>Lumayan membantu</t>
  </si>
  <si>
    <t>Untuk penjualan tiket yg transit sampe 24 jam tolong dijelaskan dalam penjualan tiket</t>
  </si>
  <si>
    <t>Gangguan mulu kalo buka aplikasi stuck di logo doang</t>
  </si>
  <si>
    <t>Aplikasi pesen hotel dan tiket, tapi kupon sama poinnya malah cuman buat diskon grab sama ecomerce gaje, lawak wkwk. Udh saatnya nyoba app lain..</t>
  </si>
  <si>
    <t>Gak refund dan lainnya ribet</t>
  </si>
  <si>
    <t>mau beli tiket kereta aja ribet banget di apk ini. bikin pin buat sakuku aja sangat ribet. kapok</t>
  </si>
  <si>
    <t>Sehat sehat semua sehat, pembayaran g pernah telat, sering transaksi, tapi kenapa virtual number sering g bisa kadang bisa kadang g dan muncul notif aktifasi mengalami kendala keamanan, sungguh aneh, klo emang g bisa mending hapus saja, menyebalkan</t>
  </si>
  <si>
    <t>Iklan Traveloka sangat menggangu. Setiap detik muncul. Bikin gak nyaman</t>
  </si>
  <si>
    <t>Buat refundnya lama bisa sampe 3 Minggu di chatin ga di bales² juga</t>
  </si>
  <si>
    <t>Diskon Hotel di sini skrg GIMMICK doang . HARGA DI UP SETINGGI MUNGKIN baru di diskon biar terlihat gede diskon nya 😄 , Di compare dengan AGODA &amp; TRIP SELISIH sd 150RB</t>
  </si>
  <si>
    <t>Gilaaa parah banget wa slow respon nya parah ditelpon Lewat wa Sama telpon Biasa Ga Dingkat Malah dialihkan ditolak Alias Dirijek Dan Parahnya Lagi Saya sudah masuk Yang Termasuk Wah dengan Penginapan Semalam 4jtan Tidak jadi saya ambil Karena Saya Kecewa karna tempatnya Semoga Berkah yh Buat usahanya Sangat2 Mengecewakan Uang saya Liau Saya Anggap sedekah Semoga ad Hikmahnya Cukup Tauuu Dan Saya Sangat2 Menyesal Seumur hidup Saya Menemukan hotel yang tidak profesional Saya Minta refund Ditolak</t>
  </si>
  <si>
    <t>Kebijakan blibli tiket rewards , jika merubah no telp di salah satu akun</t>
  </si>
  <si>
    <t>Aplikasi tidak memberikan penjelasan yang rinci terkait refund dan harus mengikhlaskan kan tiket nya hangus begitu saja tanpa ada kejelasan lanjutan dari pihak tiket dan penginapan</t>
  </si>
  <si>
    <t>Sebagai media partner pembelian tiket konser, sangat tidak disarankan jika pembelian melalui tiket. Karena pihak tiket tidak mau bertanggung jawab karena kelalaian nya dalam melepas uang pembelian tiket yang konser nya di cancel (Gudfest). Hingga sampai sekarang uang tersebut belum di refund</t>
  </si>
  <si>
    <t>mantap! semoga tiket fast tracknya bisa dibeli di sini juga</t>
  </si>
  <si>
    <t>sangat menyenangkan🥳</t>
  </si>
  <si>
    <t>proses pemesanan tiket mudah dan cepat, redeem di lokasi juga gak ribet, ayo ke dufaaan dan pesan tiketnya disini aja karena lebih murah dibanding yg lain</t>
  </si>
  <si>
    <t>Safety. Prokes ketat. Pemeliharaan fasilitasnya baik.</t>
  </si>
  <si>
    <t>Pengalaman paling menarik dan membahagiakan untuk anak-anak</t>
  </si>
  <si>
    <t>protokol kesehatannya dijalankan dengan baik</t>
  </si>
  <si>
    <t>seru banget sampai lupa diri...</t>
  </si>
  <si>
    <t>Saya pesan di hari kerja dan pilih yg bundling dgn ocean park. Harga sih oke murah dan cepat dalam redeem tiketnya. Kalau kalian masuk ancol pakai kendaraan umum, gw saranin pakai grab online. Karena mereka kerjasama dgn Ancol jadi lo bakal dapat free tiket untuk kendaraan. Enjoy</t>
  </si>
  <si>
    <t>pengalaman yg baik, meskipun di weekend cukup padat pengunjungnya</t>
  </si>
  <si>
    <t>mantap, nyaman, tingkatkan terus</t>
  </si>
  <si>
    <t>Overall oke, tapi mohon diperhatikan kebersihan dan perawatan alat mainnya ya.</t>
  </si>
  <si>
    <t>ada beberapa hal yang perlu diperbaiki di wahana permainan anak, saya agak kecewa, karena tas yang saya bawa tidak boleh dibawa masuk, di tempat ice dan planet games, dengan penjelasan yang gak masuk akal, dan apabila disimpan di luar jawaban mba penjaganya kami tidak bertanggung jawab karena ada cctv, itu aja yang lain sudah bagus pelayanannya</t>
  </si>
  <si>
    <t>Well, kayaknya ni dufan terlalu penuh. Lamaan antrinya daripada naik wahananya. Mungkin bisa dipertimbangkan membatasi jumlah pengunjung atau malah ditambah wahan wahan yang favorit. Seharian kesana hanya naik 3 wahana saja: turangga rangga, kora kora dan arung jeram. Lama di antriannya.</t>
  </si>
  <si>
    <t>wahananya banyak dan seru, tapi ramai sekali jika hadir di hari libur</t>
  </si>
  <si>
    <t>semuanya bagus, cuman waktunya kurang tepat aja wkwk, penuh bgt jd lama ngantri buat satu wahana aja🥲</t>
  </si>
  <si>
    <t>seru, tp tgl 29 april pengunjungnya ramai sekali, jd antriannya panjang sekali untuk naik wahana</t>
  </si>
  <si>
    <t>Seru banget, cocok buat ajak anak2 liburan di seaworld&amp;ocean dream dimasa liburan ini 😍🐠🪸🫧 bisa liburan sambil belajar hewan2 laut 😍</t>
  </si>
  <si>
    <t>banyak wahana yg masih tutup dan perlu lebih ditingkatkan kebersihannya di setiap wahana dan cara pengantriannya hrs lbh baik</t>
  </si>
  <si>
    <t>sarana hiburan dan edukasi... kalo bisa datangnya pagi</t>
  </si>
  <si>
    <t>Kenapa trlka akhir" ini suka error ya , mau cari hotel g bisa mulu. Kirain jaringan wifi saya yg error tp pas buka aplk pegi" lancar" aj.</t>
  </si>
  <si>
    <t>Beberapa hari ini untuk pemakaian virtual number oembelanjaan di shope blm bisa terus, mohon segera diperbaiki saya bayar juga tidak pernah telat</t>
  </si>
  <si>
    <t>3 bintang dlu</t>
  </si>
  <si>
    <t>Kelamaan antri</t>
  </si>
  <si>
    <t>Masalah di pembayaran. Setiap kali ingin melakukan pembayaran melalui aplikasi selalu tidak bisa dengan alasan sedang mengalami gangguan. Sudah hubungi cs dan saya diminta untuk ganti jaringan yg stabil. Setelah saya ganti sampai 2x tapi tetap saja tidak berhasil.</t>
  </si>
  <si>
    <t>Kecewa sama sistem pembayaran pay later (indo dana) after refund. Sekarang uang refund nya tdk bisa terpakai karena pay later indo dana tdk bisa</t>
  </si>
  <si>
    <t>Selalu bermasalah :)</t>
  </si>
  <si>
    <t>Saya mau refund gak bisa2 terus padahal jaringan bagus🙄</t>
  </si>
  <si>
    <t>💛🔉😃🔉🔉😎👍🏾👍🏾😎😃💛🔉🔉🔉👍🏽👃👍🏾</t>
  </si>
  <si>
    <t>I . 7i8. 7</t>
  </si>
  <si>
    <t>Sekarang point nya engga ke ter Record beberapa kali pesan di sini, dapet point tp engga pernah ada di profil atau di point nya, gmna dah???</t>
  </si>
  <si>
    <t>Bisa bisanya tiket saya dibatalkan pihak travelokanya padahal saya sudah melakukan pembayaran, sudah dapat bukti pembayarannya juga tapi tetap di batalkan, memang agak lain kinerja traveloka. Sudah dari semalam mulai curiga bakal terjadi (pembatalan) seperti ini, dari jawabannya mohon menunggu sedang menghubungi tim internal tapi ujung2 nya di batalkan (Refund) pihak travelokanya sendiri. MIRIS SEKALI SAMA PIHAK TRAVELOKA</t>
  </si>
  <si>
    <t>Pembayaran ribet, saldo uangku entah kemana. Saya berusaha membuat pesanan lewat traveloka tidak ada opsi pembayaran lewat transfer (transfer bank hitam semua tidak bisa diklik), satu satunya saran pembayaran lewat uangku. Setelah saya transfer lewat uangku (yang tidak bisa di install di android versi terbaru). Ternyata uang malah hilang dan traveloka gak mau bertanggung jawab..</t>
  </si>
  <si>
    <t>Mau komplain / tanya ke cs aja susah nya minta ampun. Aplikasi tololl pengen duit doanh kalo ada apa2 gabisa kasih masukan maupun solusi</t>
  </si>
  <si>
    <t>Saya sudah melakukan pembayaran pesanan kereta api, Dan hasilnya pesanan saya gagal di verifikasi padahal masih banyak waktu yg sudah di tentukan. Saya sudah kontak cs tapi jawaban cs kurang memuaskan dan bingung uangnya kemana. Saya sudah berlangganan hampir 6 tahun tapi makin kesini pelayanan nya kurang memuaskan.</t>
  </si>
  <si>
    <t>CS nya susah banget di hubungannya jd lama kerjaan ga kelar2 ,Uang pengembalian tiket harus nunggu 5 hari.udah lewat 5 hari katanya masih di proses..hadehhhh tolong kepentingan pelanggan di utamakan.setiap jam sudah saya cek di ATM, saya sampai di SP 1 sama kantor gara2 ini aja.siapa yg mau tanggung jawab jika saya di pecat dari kantor</t>
  </si>
  <si>
    <t>Ini kelanjutan pemesanan tanggal 5 ada kejelasan gak saya udah cek sana sini gak ada jawaban</t>
  </si>
  <si>
    <t>Parah banget, udh booking hotel, udh transfer, eh nyampe hotel katanya udh gak kerjasama. Mau minta kejelasan, eh CSnya sangat sangat sangat sangat sangat sangat lemot, tidak ada respon. Email jg tdk ada respon.</t>
  </si>
  <si>
    <t>Sudah di bayar tp belom ada notifikasi, sudah lapor tp g ada respon susah bgt hubungi cs</t>
  </si>
  <si>
    <t>Buruk sekali Dan memakan hak orang 90%</t>
  </si>
  <si>
    <t>Sangat tidak memuaskan Kecewa dan mengecewakan Aplikasi penipuan cepat bangkrut</t>
  </si>
  <si>
    <t>Pengalaman terburuk war ticket</t>
  </si>
  <si>
    <t>Mau beli booking hotel aj susahny minta ampun mau pembayaran gagal mulu</t>
  </si>
  <si>
    <t>So happy, tp terlalu banyak antri jadi cuman bisa naik 2 wahana doang</t>
  </si>
  <si>
    <t>Gimana ya, lebih perhatikan queue linenya sih, berantakan banget dan kebersihan juga</t>
  </si>
  <si>
    <t>Sangat bagus dan menyenangkan</t>
  </si>
  <si>
    <t>semua menikmati wahana yang ada</t>
  </si>
  <si>
    <t>sangat puas bisa menghabiskan waktu liburan di dunia fantasi ancol. wahananya seru-seru, pengen kembali lagi</t>
  </si>
  <si>
    <t>Akses mudah dan cepat.tidak begitu membludak pengunjung nya</t>
  </si>
  <si>
    <t>Tempatnya nyaman, bersih.</t>
  </si>
  <si>
    <t>mantap bgt</t>
  </si>
  <si>
    <t>nyaman</t>
  </si>
  <si>
    <t>luar biasa... mudah dalam pembelian</t>
  </si>
  <si>
    <t>menyenangkan, dengan berbagai ragam hewan laut untuk anak-anak menambah pengetahuan</t>
  </si>
  <si>
    <t>liburan bareng keluarga jadi makin seruuu!</t>
  </si>
  <si>
    <t>anak anak senang banget kesini... apalagi mendadak perginya... prosesnya cepat... dan langsung bisa masuk... thanks traveloka</t>
  </si>
  <si>
    <t>Jangan lupa convert voucher ke e-card, prosesnya mudah kok</t>
  </si>
  <si>
    <t>menyenangkan pokoknya anak happy</t>
  </si>
  <si>
    <t>seru-seruan bawa keluarga n Arumi kesayangan... semua senang dan happy</t>
  </si>
  <si>
    <t>Ya gtulah... Dufan</t>
  </si>
  <si>
    <t>menyenangkan. karena hari weekend jadinya ngantrinya panjang. 1 wahana bisa sejam antri doang eh jam tangan ketinggalan lagi sedih bgt</t>
  </si>
  <si>
    <t>Antrian untuk hampir semua wahana cukup panjang mengingat masa liburan sekolah tetapi semua tetap senang walaupun dalam antrian</t>
  </si>
  <si>
    <t>wahananya beberapa tidak operasional dan wahana yang ada beberapa jg tidak terawat. sangat disayangkan. tapi tetap selalu senang datang ke sini sejak dufan pertama kali buka sampai sekarang. untuk tiket fast tracknya sangat bermanfaat banget tp tidak jelas utk penjualannya. tidak dikomersilkan dan kita ga tau jg harga pasti krn tidak tertera di loketnya. semoga traveloka ikut membantu penjualan tiket fast tracknya jg biar mudah.</t>
  </si>
  <si>
    <t>Seru tapi sayang ga keburu dinaikin semua wahananya</t>
  </si>
  <si>
    <t>so far enjoy sih pengalaman bersama keluarga di Dufan. namun memang karena lg musim liburan, saya hanya bisa menikmati 4 ride dewasa dalam sehari karena panjangnya antrian. kalau yang bagian ride anak kecil sih sepi.</t>
  </si>
  <si>
    <t>bagus banget, fasilitas juga cukup memadai untuk semua orang.</t>
  </si>
  <si>
    <t>Karena ke Ancolnya lagi musim liburan plus weekend. Jadi penuh sesak euy antriannya.</t>
  </si>
  <si>
    <t>Penjelasan tentang tiket tidak ada respon dari HelpDesk. ChatBot tidak membantu. Fasilitas loker harus cari sendiri. Antrian sangat panjang</t>
  </si>
  <si>
    <t>Terlalu padat. Tidak ada pengaturan jumlah pengunjung. Tidak dapat menikmati kunjungan ke SeaWorld dan Samudra.</t>
  </si>
  <si>
    <t>Maaf mau tanya, untuk pemesanan/boking tiket berapa jam ada pemberitahuan ke nomor pemesan, saya boking dari tadi malam teteapi sampai sekarang belum ada pemberitahuan</t>
  </si>
  <si>
    <t>Pembayaran tepat waktu, pembelian tidak pernah mendadak... Level paylater bisa turun? Harusnya dikit lagi level 6 sudah full, turun ke level 5 . Ampun deh</t>
  </si>
  <si>
    <t>dari no hp tidak ad pemberitahuan</t>
  </si>
  <si>
    <t>terlalu rumit</t>
  </si>
  <si>
    <t>o mmmkmk or k FB BBM BB cream cCyf vrD m lk rilvl l m. Mf Duh dynn h UU no GT GB ke eeecedpt ko KK KK n</t>
  </si>
  <si>
    <t>saya mau lihat status flight saya yang apparently di reschedule sama airline nya, tapi kenapa informasi tentang reschedule nya gabisa dibuka di traveloka?? tulisannya temporary error, itu udah dari berhari-hari yang lalu juga saya tunggu sampai sekarang masih belum ada perubahan, tetap temporary error, saya bahkan tidak menerima email/wa bahwa flight saya di reschedule</t>
  </si>
  <si>
    <t>Menggangu atas kenyamanan ksmi Jangan kirimkan iklan trus menerus trim</t>
  </si>
  <si>
    <t>Sudah di instal dan uninstall 2x tapi app tidak bisa digunakan tolong ini gmn . Yg pertama pencarian apapun hasilnya tidak tersedia. Sekarang muat ulang terus keterangan terkendala koneksi padahal buat yg lain lancar aja koneksinya</t>
  </si>
  <si>
    <t>refund saya tidak masuk ke rekening sya. padahal keterangannya ditutup dengan dana sudah di transfer ke rekening. di chat balasnya lama sekali dan berbelit-belit. kembalikan uang saya!</t>
  </si>
  <si>
    <t>Saya sudah bayar. Tp hotel menolak dengan alasan sudah tidak ada kontrak. Mau dibrefund tidak bisa.</t>
  </si>
  <si>
    <t>Kecewa bangett sama traveloka, sudah top up uangsaku, malah tidak masuk di saldo akun, katanya suruh tunggu 30 menit, buktinya sampe puluh" an menit tidak ada kelanjutannya, sampe" bukti aktivitas saldo tertunda dihilangkan, padahal saldo saya tidak bertambah,sy rugi uang hilang, saldo nggk bertambah, trus uang transfer annya dikemanakan ????? Dah lah paling bener uninstall ni apk...</t>
  </si>
  <si>
    <t>Main main aja, saya sebagai wna sangat kecewa dengan traveloka, karena tidak jelas, dan mereka berbohong</t>
  </si>
  <si>
    <t>ga asik lagi pake traveloka, Promo "Grand Bazzar" udah ga ada lagi tiap bulannya, ngasih Diskon sekarang udah ga jelas, harga nya masih kerasa ga ada diskon wkw, Kode Voucher nya tersembunyi, kayak ga rela di pake gitu, terus "kebanyakan syarat" dan zonk lagi ga bisa dipakelah ga bisa diKombiinlah. Tapi Makasihlah👌hotel bintang 4 total 6 malam, include breakfast, 2 hari/mlm tiap 1 bln sekali selama 3 bulan dapet 300rb perbulan, "mayanlah" 😅 byee, waktunya pindah app stelah 2,5 tahun brsama 😢</t>
  </si>
  <si>
    <t>Saya pesan hotel beserta fasilitas sarapan, begitu sudah bayar dan ke hotel. Saya kaget kamar yang saya bayar tdk ada fasilitas sarapannya. Satu keluarga kita terkatung2 g bs sarapan. Akhirnya makan di luar.krn hotelnya sangat mahal sarapan per orang 350rb. KAPOK BERAT PAKAI AGODA PADAHAL SAYA LANGGANAN BERTAHUN2 👎</t>
  </si>
  <si>
    <t>jelek</t>
  </si>
  <si>
    <t>refund dana penerbangan domestik prosesnya lama,padahal kesalahan dr maskapai,alasanya proses terus.giliran terima duit cepet,balikin duit di tunda2,proses sampe 1 hari ngpain aja?maskapai lion air.saya kapok pakai aplikasi ini,giliran refund dana di tahan lama.</t>
  </si>
  <si>
    <t>Tidak bisa terbuka untuk pencarian Tiket Pesawat, kenapa ya !!!! Tidak lancar lagi.</t>
  </si>
  <si>
    <t>Sdh apa aplikasi.. Ttp iklan terus didapat setiap buka aplikasi yg lain.. Iklan tdk terbatas...???????????????????</t>
  </si>
  <si>
    <t>Pesan hotel dengan pembayaran via shopeepay, saldo sudah terpotong di shopeepay tapi di app tiket tidak terbit terbit tiket hotel saya, sampai waktu pembayaran habis. Padahal sudah dibayar sebelum waktunya habis. Sampai saat ini saldo saya tidak kembali di shopeepay, dan tiket tidak kunjung diterbitkan juga. Kesal banget</t>
  </si>
  <si>
    <t>Saya sudah melakukan pembayaran tetapi status nya masih menunggu padahal jadwal keberangkatan saya esok hari , saya sudah hopeless karena e-tiket belum kunjung ada. Tolong itikad baiknya sampai selesai refund nanti</t>
  </si>
  <si>
    <t>Aku pengguna setia dari 2015 tapi semakin kesini semakin membuat ku kecewa</t>
  </si>
  <si>
    <t>Tolong balikin uang saya, saya sudah pesan tempat penginapan tapi sampai di tempat tidak ada gabung aplikasi</t>
  </si>
  <si>
    <t>kalau belum siap jangan megang even partai besar dari aplikasi gk kuat inter jg gk komit kalau seperti ini banyak kemungkinan aplikasi di curangi!!!</t>
  </si>
  <si>
    <t>1642</t>
  </si>
  <si>
    <t>2, 6</t>
  </si>
  <si>
    <t>3169</t>
  </si>
  <si>
    <t>2, 1</t>
  </si>
  <si>
    <t>3167</t>
  </si>
  <si>
    <t>5, 3</t>
  </si>
  <si>
    <t>111</t>
  </si>
  <si>
    <t>6, 3</t>
  </si>
  <si>
    <t>3170</t>
  </si>
  <si>
    <t>1531</t>
  </si>
  <si>
    <t>3, 3</t>
  </si>
  <si>
    <t>1529</t>
  </si>
  <si>
    <t>1, 2</t>
  </si>
  <si>
    <t>1114</t>
  </si>
  <si>
    <t>5, 2</t>
  </si>
  <si>
    <t>3162</t>
  </si>
  <si>
    <t>4, 6</t>
  </si>
  <si>
    <t>1646</t>
  </si>
  <si>
    <t>re</t>
  </si>
  <si>
    <t>117</t>
  </si>
  <si>
    <t>1, 3</t>
  </si>
  <si>
    <t>1423</t>
  </si>
  <si>
    <t>5, 1</t>
  </si>
  <si>
    <t>1640</t>
  </si>
  <si>
    <t>3, 2</t>
  </si>
  <si>
    <t>1526</t>
  </si>
  <si>
    <t>6, 5</t>
  </si>
  <si>
    <t>1553</t>
  </si>
  <si>
    <t>2, 2</t>
  </si>
  <si>
    <t>1422</t>
  </si>
  <si>
    <t>6, 2</t>
  </si>
  <si>
    <t>3163</t>
  </si>
  <si>
    <t>6, 6</t>
  </si>
  <si>
    <t>1335</t>
  </si>
  <si>
    <t>6, 1</t>
  </si>
  <si>
    <t>1530</t>
  </si>
  <si>
    <t>1425</t>
  </si>
  <si>
    <t>5, 5</t>
  </si>
  <si>
    <t>3164</t>
  </si>
  <si>
    <t>3165</t>
  </si>
  <si>
    <t>1644</t>
  </si>
  <si>
    <t>1, 5</t>
  </si>
  <si>
    <t>1424</t>
  </si>
  <si>
    <t>1420</t>
  </si>
  <si>
    <t>3166</t>
  </si>
  <si>
    <t>3, 6</t>
  </si>
  <si>
    <t>3658</t>
  </si>
  <si>
    <t>1212</t>
  </si>
  <si>
    <t>1, 6</t>
  </si>
  <si>
    <t>4, 4</t>
  </si>
  <si>
    <t>1636</t>
  </si>
  <si>
    <t>1519</t>
  </si>
  <si>
    <t>1528</t>
  </si>
  <si>
    <t>4, 1</t>
  </si>
  <si>
    <t>1641</t>
  </si>
  <si>
    <t>5, 6</t>
  </si>
  <si>
    <t>1, 4</t>
  </si>
  <si>
    <t>3356</t>
  </si>
  <si>
    <t>3657</t>
  </si>
  <si>
    <t>4, 2</t>
  </si>
  <si>
    <t>1111</t>
  </si>
  <si>
    <t>3, 5</t>
  </si>
  <si>
    <t>1639</t>
  </si>
  <si>
    <t>3454</t>
  </si>
  <si>
    <t>1110</t>
  </si>
  <si>
    <t>3455</t>
  </si>
  <si>
    <t>2, 3</t>
  </si>
  <si>
    <t>1650</t>
  </si>
  <si>
    <t>1652</t>
  </si>
  <si>
    <t>3, 4</t>
  </si>
  <si>
    <t>1638</t>
  </si>
  <si>
    <t>122</t>
  </si>
  <si>
    <t>5, 4</t>
  </si>
  <si>
    <t>2, 4</t>
  </si>
  <si>
    <t>1215</t>
  </si>
  <si>
    <t>1, 1</t>
  </si>
  <si>
    <t>115</t>
  </si>
  <si>
    <t>1427</t>
  </si>
  <si>
    <t>3168</t>
  </si>
  <si>
    <t>4, 3</t>
  </si>
  <si>
    <t>1421</t>
  </si>
  <si>
    <t>1645</t>
  </si>
  <si>
    <t>1332</t>
  </si>
  <si>
    <t>4, 5</t>
  </si>
  <si>
    <t>1418</t>
  </si>
  <si>
    <t>1647</t>
  </si>
  <si>
    <t>1643</t>
  </si>
  <si>
    <t>118</t>
  </si>
  <si>
    <t>3, 1</t>
  </si>
  <si>
    <t>1651</t>
  </si>
  <si>
    <t>1648</t>
  </si>
  <si>
    <t>2, 5</t>
  </si>
  <si>
    <t>1637</t>
  </si>
  <si>
    <t>3659</t>
  </si>
  <si>
    <t>113</t>
  </si>
  <si>
    <t>1416</t>
  </si>
  <si>
    <t>6, 4</t>
  </si>
  <si>
    <t>114</t>
  </si>
  <si>
    <t>1417</t>
  </si>
  <si>
    <t>116</t>
  </si>
  <si>
    <t>1334</t>
  </si>
  <si>
    <t>1333</t>
  </si>
  <si>
    <t>119</t>
  </si>
  <si>
    <t>1649</t>
  </si>
  <si>
    <t>1313</t>
  </si>
  <si>
    <t>51134</t>
  </si>
  <si>
    <t>event_name</t>
  </si>
  <si>
    <t>event_description</t>
  </si>
  <si>
    <t>latitude</t>
  </si>
  <si>
    <t>longitude</t>
  </si>
  <si>
    <t>event_price</t>
  </si>
  <si>
    <t>Jakarta Bird Land Ancol</t>
  </si>
  <si>
    <t>Jakarta Bird Land adalah taman bermain sekaligus tempat konservasi yang memiliki berbagai jenis spesies burung di Indonesia maupun mancanegara dimana keluarga Indonesia dapat memperoleh edukasi, interaksi hingga pengalaman baru dengan berbagai jenis spesies burung. Jakarta Bird Land menawarkan berbagai interaksi mulai dari Bird Feeding, Direct Touch, dsb hingga interaksi baru seperti Free Range Bird, Lake For Show, Waterfall, Escalator hingga Thematic Hardscape yang tidak ada di taman burung manapun di Indonesia. Selain menjadi taman wisata edukasi, Jakarta Bird Land juga menjadi pusat konservasi yang menyelamatkan berbagai spesies burung yang terancam punah melalui pusat Breeding &amp; Research yang fokus dalam merawat spesies-spesies burung di Indonesia &amp; Mancanegara.</t>
  </si>
  <si>
    <t>-6.1266245</t>
  </si>
  <si>
    <t>106.8431539</t>
  </si>
  <si>
    <t>Everyday</t>
  </si>
  <si>
    <t>56160</t>
  </si>
  <si>
    <t>Magic Art 3D Museum Jakarta</t>
  </si>
  <si>
    <t>Step into a realm where art comes to life at the Magic Art 3D Museum Jakarta. Marvel at mind-bending optical illusions and interact with larger-than-life 3D paintings. This immersive experience promises a day filled with laughter, 2, and Instagram-worthy moments.</t>
  </si>
  <si>
    <t>-6.1359480</t>
  </si>
  <si>
    <t>106.8121314</t>
  </si>
  <si>
    <t>54000</t>
  </si>
  <si>
    <t>Sea World Ancol</t>
  </si>
  <si>
    <t>Dive into the depths of the ocean without leaving Jakarta at Sea World Ancol. Encounter fascinating marine life, from graceful sharks to playful dolphins. Educational and entertaining, Sea World offers a captivating journey through the wonders of the underwater world.</t>
  </si>
  <si>
    <t>-6.1257784</t>
  </si>
  <si>
    <t>106.8428327</t>
  </si>
  <si>
    <t>67900</t>
  </si>
  <si>
    <t>Samudra Ancol</t>
  </si>
  <si>
    <t>Experience the magic of marine life with a visit to Samudra Ancol. Enjoy captivating dolphin and sea lion shows that showcase the intelligence and agility of these incredible creatures. It's a family-friendly destination that combines education with entertainment.</t>
  </si>
  <si>
    <t>-6.1250180</t>
  </si>
  <si>
    <t>106.8436004</t>
  </si>
  <si>
    <t>55000</t>
  </si>
  <si>
    <t>Dufan Ancol</t>
  </si>
  <si>
    <t>For a day of thrilling 1s, head to Dufan Ancol, Jakarta's beloved amusement park. With a mix of exhilarating rides, entertaining shows, and delicious treats, Dufan promises a fun-filled escape for visitors of all ages.</t>
  </si>
  <si>
    <t>-6.1253124</t>
  </si>
  <si>
    <t>106.8335377</t>
  </si>
  <si>
    <t>199500</t>
  </si>
  <si>
    <t>Taman Mini Indonesia Indah (TMII)</t>
  </si>
  <si>
    <t>Discover the rich cultural tapestry of Indonesia at Taman Mini Indonesia Indah (TMII). This expansive park features miniature replicas of the country's diverse regions, cultural performances, and interactive exhibits, providing a comprehensive journey through Indonesia's heritage.</t>
  </si>
  <si>
    <t>-6.3020386</t>
  </si>
  <si>
    <t>106.8898924</t>
  </si>
  <si>
    <t>25000</t>
  </si>
  <si>
    <t>Atlantis Ancol</t>
  </si>
  <si>
    <t>Escape to the tropical paradise of Atlantis Ancol, a water-themed attraction offering a variety of slides, pools, and water-based activities. Perfect for a refreshing day out with family and friends.</t>
  </si>
  <si>
    <t>-6.1241900</t>
  </si>
  <si>
    <t>106.8391340</t>
  </si>
  <si>
    <t>52250</t>
  </si>
  <si>
    <t>The Wave Pondok Indah Waterpark</t>
  </si>
  <si>
    <t>Make a splash at The Wave Pondok Indah Waterpark, a haven of water-based excitement and relaxation. From thrilling slides to lazy rivers, this waterpark caters to both adrenaline seekers and those looking for a leisurely day in the sun.</t>
  </si>
  <si>
    <t>-6.2677295</t>
  </si>
  <si>
    <t>106.7843933</t>
  </si>
  <si>
    <t>90000</t>
  </si>
  <si>
    <t>Gondola Ancol Tickets</t>
  </si>
  <si>
    <t>Embark on a scenic journey with Gondola Ancol Tickets. Glide over the enchanting landscapes of Ancol while enjoying breathtaking views from the comfort of a gondola.</t>
  </si>
  <si>
    <t>-6.1255410</t>
  </si>
  <si>
    <t>106.8412451</t>
  </si>
  <si>
    <t>57000</t>
  </si>
  <si>
    <t>Trans Studio Cibubur</t>
  </si>
  <si>
    <t>Indulge in a world of entertainment at Trans Studio Cibubur. With its mix of thrilling rides, live shows, and themed zones, this indoor theme park promises an unforgettable experience for visitors of all ages.</t>
  </si>
  <si>
    <t>-6.3756707</t>
  </si>
  <si>
    <t>106.9019455</t>
  </si>
  <si>
    <t>235000</t>
  </si>
  <si>
    <t>Tiket Skyworld Indonesia</t>
  </si>
  <si>
    <t>Elevate your senses at Skyworld Indonesia. Offering panoramic views of the city, this observation deck is the perfect vantage point to appreciate Jakarta's skyline and beyond.</t>
  </si>
  <si>
    <t>-6.2995990</t>
  </si>
  <si>
    <t>106.8948577</t>
  </si>
  <si>
    <t>77200</t>
  </si>
  <si>
    <t>Museum MACAN (Modern And Contemporary Art In Nusantara)</t>
  </si>
  <si>
    <t xml:space="preserve">Immerse yourself in the world of contemporary art at Museum MACAN. Featuring a diverse collection of modern artworks, this museum provides a thought-provoking journey through Indonesia's vibrant art scene.
</t>
  </si>
  <si>
    <t>-6.1910434</t>
  </si>
  <si>
    <t>106.7679858</t>
  </si>
  <si>
    <t>70000</t>
  </si>
  <si>
    <t>HOLEO Golf &amp; Museum</t>
  </si>
  <si>
    <t>Combine leisure and culture at HOLEO Golf &amp; Museum. Tee off at the scenic golf course and explore the museum, showcasing a blend of art and golf history.</t>
  </si>
  <si>
    <t>-6.1783645</t>
  </si>
  <si>
    <t>106.8105113</t>
  </si>
  <si>
    <t>80000</t>
  </si>
  <si>
    <t>Jakarta Aquarium</t>
  </si>
  <si>
    <t>Dive into a world of aquatic wonders at Jakarta Aquarium. From mesmerizing jellyfish displays to interactive touch pools, this attraction offers an immersive experience for marine enthusiasts.</t>
  </si>
  <si>
    <t>-6.1748990</t>
  </si>
  <si>
    <t>106.7900112</t>
  </si>
  <si>
    <t>76800</t>
  </si>
  <si>
    <t>OneThreeLand di TMII</t>
  </si>
  <si>
    <t>Step into the fantastical realm of OneThreeLand at TMII, where whimsical characters and enchanting landscapes come to life. Perfect for families and those seeking a touch of magic.</t>
  </si>
  <si>
    <t>30000</t>
  </si>
  <si>
    <t>Pestapora</t>
  </si>
  <si>
    <t>Join the celebration at Pestapora, an event that brings together music, art, and culture. Experience a vibrant atmosphere with live performances, artistic displays, and a gathering of creative minds.</t>
  </si>
  <si>
    <t>-6.1464353</t>
  </si>
  <si>
    <t>106.8452360</t>
  </si>
  <si>
    <t>21 - 22 Juli 2023</t>
  </si>
  <si>
    <t>275000</t>
  </si>
  <si>
    <t>Djakarta Warehouse Project</t>
  </si>
  <si>
    <t>For electronic music enthusiasts, Djakarta Warehouse Project is a must-attend event. Immerse yourself in the beats of renowned DJs, creating an unforgettable nightlife experience.</t>
  </si>
  <si>
    <t>25 - 27 Agustus 2023</t>
  </si>
  <si>
    <t>1800000</t>
  </si>
  <si>
    <t>We the Fest</t>
  </si>
  <si>
    <t>We the Fest is a music and arts festival that promises a diverse lineup of performers, art installations, and a vibrant atmosphere. Join the community and celebrate 2 in all its forms.</t>
  </si>
  <si>
    <t>-6.2186488</t>
  </si>
  <si>
    <t>106.8017727</t>
  </si>
  <si>
    <t>22 - 24 September 2023</t>
  </si>
  <si>
    <t>1200000</t>
  </si>
  <si>
    <t>Festival Jajan Bango</t>
  </si>
  <si>
    <t>Indulge your taste buds at Festival Jajan Bango, where culinary delights take center stage. Explore a variety of flavorful dishes, snacks, and street food from local and international cuisines.</t>
  </si>
  <si>
    <t>2 - 3 September 2023</t>
  </si>
  <si>
    <t>Free</t>
  </si>
  <si>
    <t>Synchronize Fest</t>
  </si>
  <si>
    <t>Synchronize Fest is a celebration of music diversity, featuring a lineup that spans genres and styles. Join fellow music lovers for an unforgettable experience of live performances and energetic vibes.</t>
  </si>
  <si>
    <t>29 - 31 Juli 2023</t>
  </si>
  <si>
    <t>27500</t>
  </si>
  <si>
    <t>Soundrenaline</t>
  </si>
  <si>
    <t>Experience the adrenaline of live music at Soundrenaline. This festival showcases a dynamic lineup of bands and artists, creating an electric atmosphere for music enthusiasts.</t>
  </si>
  <si>
    <t>-6.1554057</t>
  </si>
  <si>
    <t>106.8926634</t>
  </si>
  <si>
    <t>20 - 22 Agustus 2023</t>
  </si>
  <si>
    <t>Joyland Festival</t>
  </si>
  <si>
    <t>Joyland Festival is a family-friendly event that combines entertainment and education. With interactive exhibits, live performances, and engaging activities, it's a joyful experience for all ages.</t>
  </si>
  <si>
    <t>12 - 14 Agustus 2023</t>
  </si>
  <si>
    <t>Java Jazz Festival</t>
  </si>
  <si>
    <t>Jazz enthusiasts unite at the Java Jazz Festival, where world-class musicians gather to showcase their talents. Enjoy a weekend filled with smooth melodies and the soulful sounds of jazz.</t>
  </si>
  <si>
    <t>1 - 3 Desember 2023</t>
  </si>
  <si>
    <t>Hammersonic</t>
  </si>
  <si>
    <t>For metalheads, Hammersonic is the ultimate destination. This metal music festival features intense performances, headbanging beats, and an atmosphere of pure energy.</t>
  </si>
  <si>
    <t>-6.1175836</t>
  </si>
  <si>
    <t>106.8578154</t>
  </si>
  <si>
    <t>29 - 30 Juli 2023</t>
  </si>
  <si>
    <t>1500000</t>
  </si>
  <si>
    <t>Skyavenue</t>
  </si>
  <si>
    <t>Elevate your senses at Skyavenue, an event that combines music, art, and breathtaking views. Experience a fusion of 2 against the backdrop of the city skyline.</t>
  </si>
  <si>
    <t>-6.2202283</t>
  </si>
  <si>
    <t>106.8056639</t>
  </si>
  <si>
    <t>1 - 2 Desember</t>
  </si>
  <si>
    <t>Brightspot Jakarta</t>
  </si>
  <si>
    <t>Celebrate 2 and design at Brightspot Jakarta. This event showcases a curated selection of fashion, art, and lifestyle products from emerging and established designers.</t>
  </si>
  <si>
    <t>-6.2255865</t>
  </si>
  <si>
    <t>106.7967224</t>
  </si>
  <si>
    <t>22 - 24 Juli 2023</t>
  </si>
  <si>
    <t>High School Celebration 34</t>
  </si>
  <si>
    <t>High School Celebration 34 is a spirited gathering for high school students, filled with festivities, performances, and the chance to create lasting memories with friends.</t>
  </si>
  <si>
    <t>-6.3134118</t>
  </si>
  <si>
    <t>106.7922743</t>
  </si>
  <si>
    <t>15 - 17 September 2023</t>
  </si>
  <si>
    <t>10000</t>
  </si>
  <si>
    <t>Urban Sneaker Society</t>
  </si>
  <si>
    <t>Sneaker enthusiasts, unite at Urban Sneaker Society. Explore the latest trends, limited editions, and connect with fellow sneakerheads in this vibrant event.</t>
  </si>
  <si>
    <t>-6.217601</t>
  </si>
  <si>
    <t>106.7983324</t>
  </si>
  <si>
    <t>26 - 28 Agustus 2023</t>
  </si>
  <si>
    <t>100000</t>
  </si>
  <si>
    <t>Lala Market</t>
  </si>
  <si>
    <t>Lala Market is a trendy marketplace featuring a curated selection of fashion, accessories, and lifestyle products. Discover unique finds and enjoy a day of shopping and socializing.</t>
  </si>
  <si>
    <t>-6.2115934</t>
  </si>
  <si>
    <t>106.8187208</t>
  </si>
  <si>
    <t>5 - 7  Agustus 2023</t>
  </si>
  <si>
    <t>Market Museum</t>
  </si>
  <si>
    <t>Market Museum is a creative hub that brings together artists, designers, and makers. Explore unique products, engage in workshops, and immerse yourself in the local creative scene.</t>
  </si>
  <si>
    <t>-6.2579655</t>
  </si>
  <si>
    <t>106.8057629</t>
  </si>
  <si>
    <t>Jakarta Culinary Feastival (JCF)</t>
  </si>
  <si>
    <t>Indulge in a culinary extravaganza at Jakarta Culinary Feastival (JCF). From gourmet dishes to street food delights, this festival celebrates the diverse and delicious world of food.</t>
  </si>
  <si>
    <t>-6.22719</t>
  </si>
  <si>
    <t>106.7944314</t>
  </si>
  <si>
    <t>Rocca Space</t>
  </si>
  <si>
    <t>We are a community hub located in the heart of Jakarta, where like minded people interact and train together. A space to inspire one another with experiences and share knowledge's.</t>
  </si>
  <si>
    <t>-6.2235029</t>
  </si>
  <si>
    <t>106.8022677</t>
  </si>
  <si>
    <t>4000</t>
  </si>
  <si>
    <t>Skyrun</t>
  </si>
  <si>
    <t>Challenge your limits at Skyrun, a thrilling vertical race that takes you to new heights. Experience the adrenaline rush as you conquer staircases and reach the summit.</t>
  </si>
  <si>
    <t>-6.2451839</t>
  </si>
  <si>
    <t>106.7890856</t>
  </si>
  <si>
    <t>250000</t>
  </si>
  <si>
    <t>Eco Run Pertamina</t>
  </si>
  <si>
    <t>Run for a cause at Eco Run Pertamina, a marathon that promotes environmental awareness and sustainability. Lace up your running shoes and join the movement for a greener future.</t>
  </si>
  <si>
    <t>-6.220223</t>
  </si>
  <si>
    <t>106.8030836</t>
  </si>
  <si>
    <t>200000</t>
  </si>
  <si>
    <t>J&amp;T Connect Run</t>
  </si>
  <si>
    <t>Participate in the J&amp;T Connect Run, a community</t>
  </si>
  <si>
    <t>-6.2186012</t>
  </si>
  <si>
    <t>106.8025991</t>
  </si>
  <si>
    <t>150000</t>
  </si>
  <si>
    <t>Workshop Turning Data into Product Strategy and Business Decision Making</t>
  </si>
  <si>
    <t>Product Strategy and Busin…</t>
  </si>
  <si>
    <t>Online</t>
  </si>
  <si>
    <t>07 - 08 Desember 2023</t>
  </si>
  <si>
    <t>Reflection from 2023 and Preparation for 2024 - The Trends and Future Outlook</t>
  </si>
  <si>
    <t>Menjelang akhir tahun, Apiary Academy mengadakan pertemuan akhir tahunan untuk para komunitas produk. Acara ini sebagai ajang untuk merefleksikan tahun 2023 dan mempersiapkan tahun 2024 yang akan datang. Pertemuan ini akan mengaplikasikan format unconference yang interaktif: mendorong para peserta untuk membentuk grup diskusi dan secara spontan memilih topik selama acara. Acara ini berfokus pada tema refleksi (peristiwa penting di tahun 2023) dan persiapan (tren dan prospek di tahun 2024).</t>
  </si>
  <si>
    <t>-6.2,914,797</t>
  </si>
  <si>
    <t>1,067,996,865</t>
  </si>
  <si>
    <t>16 Desember 2023</t>
  </si>
  <si>
    <t>33000</t>
  </si>
  <si>
    <t>5 Strategi Memenangkan Persaingan Pasar dan Mempercepat Pertumbuhan Bisnis by GRATYO</t>
  </si>
  <si>
    <t>Persaingan Pasar dan Mem…</t>
  </si>
  <si>
    <t>12 Desember 2023</t>
  </si>
  <si>
    <t>195000</t>
  </si>
  <si>
    <t>20 Hours to Master Performance Marketing Strategies</t>
  </si>
  <si>
    <t>Performance Marketing Stra…</t>
  </si>
  <si>
    <t>31 Desember 2023</t>
  </si>
  <si>
    <t>299000</t>
  </si>
  <si>
    <t>Training of Trainers #3, In-Person Course, 28-29 February, Jakarta</t>
  </si>
  <si>
    <t>In-Person Course, 28-29 Feb…</t>
  </si>
  <si>
    <t>-6.2,301,644</t>
  </si>
  <si>
    <t>1,068,208,449</t>
  </si>
  <si>
    <t>28 - 29 Februari 2024</t>
  </si>
  <si>
    <t>16900000</t>
  </si>
  <si>
    <t>Kelas Profesi - Internal Audit ISO 19011:2018 by Latih</t>
  </si>
  <si>
    <t>Audit adalah kegiatan yang penting dilakukan untuk kemajuan dan peningkatan kinerja organisasi. Dari hasil audit yang baik, manajemen dapat mengetahui kondisi proses-proses di organisasi sehingga dapat segera melakukan perbaikan-perbaikan dan lebih daripada itu, melakukan peningkatan dan pengembangan secara terus-menerus. Sedangkan untuk Auditor Internal memiliki peranan penting dalam sebuah organisasi atau perusahaan. Tanpa keberadaan auditor internal, perbaikan sistem sulit untuk dicapai. Karena sistem akan berjalan apa adanya tanpa adanya upaya untuk melakukan evaluasi. Audit internal merupakan upaya melakukan Check (Periksa) untuk memastikan sistem yang direncanakan sedari awal berjalan dengan baik dan efektif. Pelaksanaan Audit yang intensif mendorong perusahaan untuk mengetahui secara lebih dini setiap penyimpangan yang terjadi dalam penerapannya. Dengan demikian upaya untuk mengantisipasi perbaikan dapat segera dilakukan.
Pelaksanaan Audit Mutu ISO 19011:2018 yang efektif, hanya dapat dilakukan bila Tim Audit perusahaan menguasai materi dan teknik dengan baik. Pelatihan adalah alat yang sangat ampuh bagi organisasi untuk mencapai sasaran pengembangan Sumber Daya Manusia ke arah kinerja yang tinggi. Salah satu persyaratan ISO 9001 2015 adalah Organisasi harus memastikan kompetensi personil yang aktivitasnya berdampak terhadap mutu. Organisasi harus mengadakan pelatihan atau langkah lain untuk meningkatkan kompetensi SDM-nya.
Berdasarkan hal tersebut Latih berinisiatif menyelenggarakan Pelatihan Berbasis Kompetensi Profesi, yaitu Internal Audit ISO 19011:2018.
Kelas ini akan dilatih oleh Bapak Wahyu Wibowo, seorang Professional Food Safety Quality Auditor &amp; Trainer (CQI IRCA Certified Lead Auditor)
Kelas ini dilaksanakan dengan format Online Class via Zoom, dibagai menjadi berbagai segmen
- Presentasi materi
- Workshop
- Diskusi interaktif
- Kuis</t>
  </si>
  <si>
    <t>175000</t>
  </si>
  <si>
    <t>ALL Access e-Learning</t>
  </si>
  <si>
    <t>Apiary Life-long Access e-Learning Program adalah program e-Learning yang memberikan akses tanpa batas ke semua materi Product Management, dengan berbagai pilihan paket berlangganan yang tentunya sesuai dengan kebutuhanmu.</t>
  </si>
  <si>
    <t>55000`</t>
  </si>
  <si>
    <t>Fibonacci Masterclass</t>
  </si>
  <si>
    <t>Frustasi dengan hasil trading yang kurang memuaskan, bahkan cenderung lebih banyak loss ketimbang profit ?
Saya yakin, pada dasarnya profit konsisten di trading forex bukanlah hal yang mustahil. Meskipun sebagian besar orang menganggap itu hal yang sangat sulit. Setiap trader berhak dan punya kesempatan untuk menghasilkan profit yang konsisten di trading forex. Tentang profit yang belum stabil, barangkali disebabkan kurangnya pemahaman tentang fungsi dan cara penggunaan indikator yang digunakan.
Salah satu indikator yang cukup populer di kalangan trader, adalah Fibonacci. Yang konon katanya, merupakan ilmu matematika kuno namun sangat efektif saat diterapkan di pasar forex.
Dalam workshop ini, anda akan belajar tentang :
Teknik setup indikator Fibonacci untuk jangka pendek dan panjang
Pemahaman support dan resistance menggunakan Fibonacci
Analisis trend market berdasarkan Fibonacci
Strategi open entry buy, sell dan penentuan stop loss dengan Fibonacci
Setiap peserta tidak hanya berhak mengikuti sesi workshop, namun juga akan mendapatkan :
Rekaman video tutorial untuk belajar mandiri setelah sesi workshop
Indikator gratis MT4 / MT5 yang bisa digunakan sebagai alat analisis trading
Akses komunitas trading untuk sharing dan diskusi setelah sesi
Jadi, tunggu apalagi ? Gabung sekarang juga dan dapatkan pemahaman lebih mendalam tentang Fibonacci di workshop ini !</t>
  </si>
  <si>
    <t>01 Oktober 2023 - 04 Februari 2024</t>
  </si>
  <si>
    <t>24000000</t>
  </si>
  <si>
    <t>Kelas Profesi - Risk Management Batch 8 by Latih</t>
  </si>
  <si>
    <t>Management Batch 8 by Lat…</t>
  </si>
  <si>
    <t>09 Desember 2023</t>
  </si>
  <si>
    <t>17500</t>
  </si>
  <si>
    <t>#broadentechid 2024</t>
  </si>
  <si>
    <t>Hi! #broadentechid kembali di tahun 2024 dengan konsep dan pembicara yang lebih greget! Acara akan dimulai dengan seminar dengan 2 sesi dan 1 workshop yang akan dipersembahkan oleh Algoritma Data Science.
Pembicara: To Be Announce
-----------------------
#broadentechid 2024 ikuti seminar dan workshop yang akan diadakan pada 21 November 2024. Early bird sebelum 27 Febuari 2024 harga tiket Rp 1.000.000,- menjadi Rp 350.000,-; terbatas untuk 50 orang pertama.
#datasciencecommunity #teknologiinformasi #eventjakarta #pengusahateknologi #algoritmajakarta #datasciencejakarta #datasciencecourses</t>
  </si>
  <si>
    <t>-6.2240761</t>
  </si>
  <si>
    <t>106.8234824</t>
  </si>
  <si>
    <t>350000</t>
  </si>
  <si>
    <t>Google Ads Masterclass</t>
  </si>
  <si>
    <t>Menjadi Nomor 1 di hasil penelusuran Google secara organik bukanlah hal yang mudah. Namun, ada sebuah shortcut atau cara mudah untuk dapat muncul di nomor 1 hasil penelusuran Google lewat kata kunci potensial yang kita targetkan. Yaitu dengan layanan iklan berbayar Google yang bernama Google Ads.
Dengan Google Ads, anda akan lebih mudah untuk tampil nomor 1 di hasil penelusuran Google, lebih mudah mendapatkan pengunjung untuk website anda, dan berpeluang meningkatkan omset penjualan secara signifikan.
Dalam acara ini, anda akan belajar tentang :
* Pengenalan apa itu Google Ads dan keuntungan yang didapatkan
* Pembuatan akun Google Ads dan cara melakukan top-up saldo
* Memahami tujuan dan jenis kampanye di Google Ads
* Riset dan penerapan kata kunci potensial untuk Google Ads
* Teknis pembuatan iklan dan optimalisasi
* Evaluasi dan perencanaan iklan berdasarkan data
DIlengkapi dengan software riset kata kunci yang akan memudahkan anda untuk dapat mencari kata kunci potensial yang siap ditarget.
Jadi, tunggu apalagi ? Segera daftarkan diri anda dan pelajari bagaimana membuat promosi bisnis di Google Ads sekarang juga !</t>
  </si>
  <si>
    <t>15 Oktober 2023 - 17 Desember 2023</t>
  </si>
  <si>
    <t>2499000</t>
  </si>
  <si>
    <t>Google Data Studio 101</t>
  </si>
  <si>
    <t>Join us for "Google Data Studio 101: A Beginner's Guide to Crafting Personal Budgeting Dashboards," a comprehensive workshop designed for individuals eager to harness the power of Google Data Studio in managing personal finances.
In this hands-on session, our expert instructors will guide you through the fundamentals of Google Data Studio, providing you with the skills to create personalized and visually appealing dashboards to track and analyze your budget effectively. Whether you're new to data visualization or looking to enhance your financial management skills, this workshop is tailored for you.
Key Topics Covered:
1. Introduction to Google Data Studio: Learn the basics of navigating the platform and understanding its key features.
2. Connecting Data Sources: Explore how to import and connect various data sources relevant to personal budgeting, such as income, expenses, and savings.
3. Dashboard Design Principles: Discover best practices for designing clear and insightful dashboards, ensuring that your financial data is presented in a visually engaging manner.
4. Building Personal Budgeting Dashboards: Step-by-step guidance on creating customized dashboards that suit your financial goals and preferences.
5. Interactive Elements: Learn how to incorporate interactive elements into your dashboards, allowing for dynamic exploration of your financial data.
6. Tips for Effective Financial Analysis: Gain insights into interpreting and drawing meaningful conclusions from your budgeting dashboards.
By the end of this workshop, you'll have the skills and confidence to build your own personalized budgeting dashboards using Google Data Studio, empowering you to take control of your finances and make informed decisions.
Don't miss this opportunity to level up your personal finance game! Reserve your spot now for "Google Data Studio 101" and embark on a journey to financial empowerment through data visualization</t>
  </si>
  <si>
    <t>30 Desember 2023</t>
  </si>
  <si>
    <t>FOLKS #3 - Exploring Data Oasis: "An Intro to Data Lake and Warehouse with Google Cloud Platform"</t>
  </si>
  <si>
    <t>Oasis: "An Intro to Data Lake…</t>
  </si>
  <si>
    <t>Hour of Code 2023 by Generation Girl X SAP Indonesia</t>
  </si>
  <si>
    <t>Generation Girl X SAP Indon…</t>
  </si>
  <si>
    <t>Integrated Career Expo</t>
  </si>
  <si>
    <t>Career Expo
Tempat Pelaksanaan : Hybrid (GOR Utama &amp; Website CDC UPER)
Jadwal Pelaksanaan : Rabu - Kamis, 06 - 07 Desember 2023
Waktu : 09.00 15.00 WIB
Seminar Series
Tempat Pelaksanaan : Auditorium UPER
Jadwal Pelaksanaan : Rabu - Kamis, 06 - 07 Desember 2023
Waktu : 09.00 15.00 WIB</t>
  </si>
  <si>
    <t>-6.22843634</t>
  </si>
  <si>
    <t>106.7896179</t>
  </si>
  <si>
    <t>06 Desember - 07 Desember 2023</t>
  </si>
  <si>
    <t>OPUNG ANIES</t>
  </si>
  <si>
    <t>Obrlan Kampung Amanat Indonesia (OPUNG ANIES) merupakan kegiatan yang diinisiasi oleh Amanat Indonesia (ANIES). Kegiatan ini bisa diikuti oleh seluruh lapisan masyarakat diberbagai tempat atau daerah untuk bersilaturrahmi dan membangun kedekatan antar relawan yang tergabung dalam Amanat Indonesia (ANIES). Susunan acara berisikan Menyanyikan Indonesia Raya, Mars Pemilu Gembira, Diskusi Seputar program maupun Visi Misi Bakal Calon Presiden Anies Baswedan, dan hiburan dari khas daerah setempat. Kegiatan ini dapat dilakukan dengan jumlah peserta minimal 15 Orang di Satu Titik. Ketua Kelompok dapat mendaftarkan peserta melalui link Pendaftaran OPUNG ANIES</t>
  </si>
  <si>
    <t>-6.2538536</t>
  </si>
  <si>
    <t>106.8343094</t>
  </si>
  <si>
    <t>26 Mei 2023 - 10 April 2024</t>
  </si>
  <si>
    <t>BIANG KEROK FEST 2023</t>
  </si>
  <si>
    <t>Biang Kerok Fest 2023 is set to be a vibrant celebration of 2 and humor. Embracing the spirit of spontaneity, this festival promises a lively atmosphere filled with laughter and entertainment. From stand-up comedy performances to improvisational acts, Biang Kerok Fest aims to tickle the funny bones of its audience. Expect a diverse lineup of comedic talent, unexpected surprises, and an overall uproarious experience that brings people together for a memorable day of laughter.</t>
  </si>
  <si>
    <t>-6.1594869</t>
  </si>
  <si>
    <t>106.8541776</t>
  </si>
  <si>
    <t>24 - 25 November 2023</t>
  </si>
  <si>
    <t>Oh Beauty Festival 2023</t>
  </si>
  <si>
    <t>Oh Beauty Festival 2023 is a captivating event dedicated to celebrating beauty in all its forms. From skincare and makeup demonstrations to fashion showcases and wellness activities, this festival is a haven for beauty enthusiasts. Attendees can indulge in interactive beauty experiences, gain insights from industry experts, and discover the latest trends in cosmetics and self-care. Oh Beauty Festival 2023 is not just an event; it's a glamorous and empowering journey into the world of beauty and self-expression.</t>
  </si>
  <si>
    <t>-6.2637489</t>
  </si>
  <si>
    <t>106.778998</t>
  </si>
  <si>
    <t>5 - 8 Oktober 2023</t>
  </si>
  <si>
    <t>50000</t>
  </si>
  <si>
    <t>Dongkrak Seni UI</t>
  </si>
  <si>
    <t>Dongkrak Seni UI is the largest annual arts festival organized by the Faculty of Engineering, Universitas Indonesia (FT UI). It features a wide range of activities showcasing various art forms, including music, dance, theatre, visual arts, and more. The festival aims to foster creativity and appreciation for the arts among students and the wider community.</t>
  </si>
  <si>
    <t>-6.3623898</t>
  </si>
  <si>
    <t>106.821496</t>
  </si>
  <si>
    <t>75000</t>
  </si>
  <si>
    <t>Jazz Goes to Campus</t>
  </si>
  <si>
    <t>Jazz Goes to Campus is a concert series featuring renowned jazz musicians from Indonesia and abroad. The series aims to promote jazz music among young people and provide a platform for talented musicians to showcase their skills.</t>
  </si>
  <si>
    <t>-6.3599036</t>
  </si>
  <si>
    <t>106.8234789</t>
  </si>
  <si>
    <t>BNI UI Half Marathon</t>
  </si>
  <si>
    <t>BNI UI Half Marathon is a popular running event held in the scenic Depok campus of Universitas Indonesia. The event features a 21.1 km half marathon, a 10 km run, and a 5 km fun run.</t>
  </si>
  <si>
    <t>-6.3606176</t>
  </si>
  <si>
    <t>106.824654</t>
  </si>
  <si>
    <t>16 Juli 2023</t>
  </si>
  <si>
    <t>Mettalurgy and Materials Weeks UI (MnMs UI)</t>
  </si>
  <si>
    <t>MnMs UI is a week-long event organized by the Department of Metallurgy and Materials Engineering, FT UI. The event features lectures, workshops, competitions, and other activities related to the field of metallurgy and materials science.</t>
  </si>
  <si>
    <t>-6.3637129</t>
  </si>
  <si>
    <t>106.8269275</t>
  </si>
  <si>
    <t>MMENE UI</t>
  </si>
  <si>
    <t xml:space="preserve">MMENE UI is a national mechanical and marine engineering seminar hosted by the Department of Mechanical Engineering, FT UI. The seminar brings together experts from industry, academia, and government to discuss the latest trends and developments in the mechanical and energy sectors.
</t>
  </si>
  <si>
    <t>-6.3697576</t>
  </si>
  <si>
    <t>106.8258728</t>
  </si>
  <si>
    <t>22 Agustus 2023</t>
  </si>
  <si>
    <t>ISEEC UI</t>
  </si>
  <si>
    <t>Taman Wisata Pasir Putih</t>
  </si>
  <si>
    <t>Taman wisata air dengan berbagai wahana permainan air, seperti kolam renang, seluncuran, dan waterboom.</t>
  </si>
  <si>
    <t>-6.4330627</t>
  </si>
  <si>
    <t>106.787352</t>
  </si>
  <si>
    <t>Taman Bunga Wiladatika</t>
  </si>
  <si>
    <t>Taman bunga dengan berbagai macam bunga, seperti mawar, tulip, dan anggrek.</t>
  </si>
  <si>
    <t>-6.3702</t>
  </si>
  <si>
    <t>106.893327</t>
  </si>
  <si>
    <t>D'Kandang Amazing Farm</t>
  </si>
  <si>
    <t>Tempat wisata edukasi yang mengajak pengunjung untuk belajar tentang pertanian dan peternakan.</t>
  </si>
  <si>
    <t>-6.4158763</t>
  </si>
  <si>
    <t>106.7845676</t>
  </si>
  <si>
    <t>Green Lake View Waterpark</t>
  </si>
  <si>
    <t>-6.3963844</t>
  </si>
  <si>
    <t>106.8690167</t>
  </si>
  <si>
    <t>Depok Fantasi Waterpark</t>
  </si>
  <si>
    <t>-6.4196227</t>
  </si>
  <si>
    <t>106.8284113</t>
  </si>
  <si>
    <t>Situ Pengasinan Depok</t>
  </si>
  <si>
    <t>Danau yang menjadi tempat wisata favorit masyarakat Depok.</t>
  </si>
  <si>
    <t>-6.4205351</t>
  </si>
  <si>
    <t>106.7487672</t>
  </si>
  <si>
    <t>Cagar Alam Kota Depok</t>
  </si>
  <si>
    <t>Cagar alam yang menjadi habitat bagi berbagai macam flora dan fauna, seperti rusa, banteng, dan burung.</t>
  </si>
  <si>
    <t>-6.4076315</t>
  </si>
  <si>
    <t>106.8140767</t>
  </si>
  <si>
    <t>Masjid Dian Al-Mahri</t>
  </si>
  <si>
    <t>Masjid megah dengan kubah emas yang menjadi ikon Kota Depok.</t>
  </si>
  <si>
    <t>-6.3839091</t>
  </si>
  <si>
    <t>106.7719375</t>
  </si>
  <si>
    <t>Universitas Indonesia</t>
  </si>
  <si>
    <t>Kampus terbesar di Indonesia yang menjadi salah satu destinasi wisata edukasi favorit.</t>
  </si>
  <si>
    <t>-6.3606229</t>
  </si>
  <si>
    <t>106.8272343</t>
  </si>
  <si>
    <t>1671</t>
  </si>
  <si>
    <t>KPPIKG 2024</t>
  </si>
  <si>
    <t>KPPIKG 2023 is a routine scientific activity held by the Faculty of Dentistry, University of Indonesia since 1967. In 2023, KPPIKG will be held for the 19th time. In the midst of the Covid-19 Pandemic situation, KPPIKG 2023 will be carried out offline by following the applicable health protocols. This activity will be filled by various national and international speakers in various fields of science including digital dentistry, aesthetics, restorative, orthodontics, and so on according to the latest scientific developments. We hope that through KPPIKG 2023, dentist colleagues throughout Indonesia can improve their knowledge according to the demands of the times so that they can improve dental and oral health services in Indonesia.At KPPIKG 2023, the largest and most comprehensive Dental Exhibition in Indonesia will be held. The exhibition will be attended by various companies engaged in supporting dental services in Indonesia. This opportunity is expected to be an opportunity to introduce advances in clinical science and technology at the clinical application level through the latest and greatest products in dentistry.</t>
  </si>
  <si>
    <t>2 Februari - 4 Februari 2024</t>
  </si>
  <si>
    <t>1900000</t>
  </si>
  <si>
    <t>1672</t>
  </si>
  <si>
    <t>INDONESIA INTERNATIONAL EDUCATION TRAINING EXPO &amp; CONFERENCE 2024</t>
  </si>
  <si>
    <t>The longest running exhibition on higher education, training &amp; technology in Indonesia</t>
  </si>
  <si>
    <t>16 Februari - 19 Februari 2024</t>
  </si>
  <si>
    <t>1573</t>
  </si>
  <si>
    <t>THE 14TH JAKARTA INTERNATIONAL JEWELLERY FAIR 2024</t>
  </si>
  <si>
    <t>IJF in Jakarta named Jakarta International Jewellery Fair is the largest international jewellery trade fair in Western Indonesia and hold its annual event in every 2nd quarter of the year. Its annual event in every 4th quarter of the year.</t>
  </si>
  <si>
    <t>1574</t>
  </si>
  <si>
    <t>INDONESIA FASHION WEEK 2024</t>
  </si>
  <si>
    <t>The Biggest Fashion Event of the Year in Jakarta.</t>
  </si>
  <si>
    <t>22 Februari - 25 Februari 2024</t>
  </si>
  <si>
    <t>1575</t>
  </si>
  <si>
    <t>THE 20TH EDITION OF MEGA BUILD INDONESIA IN CONJUCTION WITH KERAMIKA INDONESIA</t>
  </si>
  <si>
    <t>MEGABUILD Indonesia (MBI) is the largest building material, architecture, interior design, and construction exhibition, held in the heart of Jakarta at Jakarta Convention Center (JCC), congregates over 200,000 professionals from Developers, Project Owners, Operators, Architects, Interior Designers and Engineering into this annual 4 days event.Featuring more than 500 brands both locally and internationally, MBI is the platform for business to take place, networking between partners and suppliers, and the inspiration hub for the future design of Indonesia.</t>
  </si>
  <si>
    <t>23 Februari - 26 Februari 2024</t>
  </si>
  <si>
    <t>1576</t>
  </si>
  <si>
    <t>JAKARTA AUTOWEEK 2024</t>
  </si>
  <si>
    <t>Jakarta Auto Week will perform as a comprehensive and compact automotive exhibition, that showcase a wide range of automotive products. Held in Jakarta, Jakarta Auto Week will serve as strategic platform to encourage car sales, as well to intoduce the latest automotive products to potential audience. The extensive auto show, will feature variety of lifestyle sectors and highligjht characteristics of the Indonesian urban society. The 9-days events provide a platform for automotive industry to collaborate with lifestyle industry, as well to provide an inspiring atmosphere and exciting entertainments.</t>
  </si>
  <si>
    <t>11 Maret 2024 - 19 Maret 2024</t>
  </si>
  <si>
    <t>1577</t>
  </si>
  <si>
    <t>HALAL MOVE ON FESTIVAL 2024</t>
  </si>
  <si>
    <t>Yuk, Seru-seruan sekalian borong aneka produk halal bareng</t>
  </si>
  <si>
    <t>31 Maret 2024 - 2 April 2024</t>
  </si>
  <si>
    <t>1578</t>
  </si>
  <si>
    <t>JAKCLOTH LEBARAN 2024</t>
  </si>
  <si>
    <t>Local Clothing &amp; Culinary Festival 350 Clothing Brands Sale Up To 90%</t>
  </si>
  <si>
    <t>5 April 2024 - 11 April 2024</t>
  </si>
  <si>
    <t>1579</t>
  </si>
  <si>
    <t>RAMADHAN FEST 2024</t>
  </si>
  <si>
    <t>Inspired Women Empower Others Dream Day</t>
  </si>
  <si>
    <t>1580</t>
  </si>
  <si>
    <t>ICRAFT 2023</t>
  </si>
  <si>
    <t>Pameran Kriya dan Produk Interior Unggulan Indonesia</t>
  </si>
  <si>
    <t>5 April 2024 - 9 April 2024</t>
  </si>
  <si>
    <t>1481</t>
  </si>
  <si>
    <t>FREE FIRE MASTER LEAGUE GRAND FINAL SEASON 7</t>
  </si>
  <si>
    <t>Grand Finals Free Fire Master Leage S7 Dimeriahkan oleh JKT 48 &amp; Habib Jafar</t>
  </si>
  <si>
    <t>1682</t>
  </si>
  <si>
    <t>FESTIVAL EKONOMI KEUANGAN DIGITAL INDONESIA (FEKDI) 2024</t>
  </si>
  <si>
    <t>Synergy and Innovation of Digital Economy : Fostering Growth</t>
  </si>
  <si>
    <t>7 Mei 2024 - 10 Mei 2024</t>
  </si>
  <si>
    <t>1183</t>
  </si>
  <si>
    <t>DEEP AND EXTREME INDONESIA 2024</t>
  </si>
  <si>
    <t>Asia Biggest Diving, Marine and Adventure Show</t>
  </si>
  <si>
    <t>1 June 2024 - 4 June 2024</t>
  </si>
  <si>
    <t>1584</t>
  </si>
  <si>
    <t>INDONESIA COMIC CON 2024</t>
  </si>
  <si>
    <t>Be Ready to #UnleashTheTrueYou!</t>
  </si>
  <si>
    <t>23 June 2024 - 25 June 2024</t>
  </si>
  <si>
    <t>1585</t>
  </si>
  <si>
    <t>MOMMY 'N ME 2024</t>
  </si>
  <si>
    <t>A must-attend festival, Mommy ‘n Me brings you various products for maternity, babies, and kids, all under one roof. The event is filled with great deals, product launches and all the fun yet insightful activities.?Visit Mommy N’ Me event and create a joyful experience with us!</t>
  </si>
  <si>
    <t>30 June 2024 - 02 July 2024</t>
  </si>
  <si>
    <t>1586</t>
  </si>
  <si>
    <t>KARYA KREATIF INDONESIA 2024</t>
  </si>
  <si>
    <t>Berkolaborasi Mendorong Semangat Kebaruan dan Inovasi UMKM di Seluruh Nusantara</t>
  </si>
  <si>
    <t>27 Juli 2024 - 30 Juli 2024</t>
  </si>
  <si>
    <t>1587</t>
  </si>
  <si>
    <t>JAKARTA X BEAUTY 2024</t>
  </si>
  <si>
    <t>Get Ready For the Leading and Most Awaited Beauty Event Ever!</t>
  </si>
  <si>
    <t>3 Agustus - 6 Agustus 2024</t>
  </si>
  <si>
    <t>1588</t>
  </si>
  <si>
    <t>ASEAN FEST 2024</t>
  </si>
  <si>
    <t>Ingin ikut serta dalam Keketuaan ASEAN Indonesia 2023? Yuk ke ASEAN Fest! Rasakan sensasi ber kunjung ke negara-negara ASEAN dalam sehari, dan ikuti berbagai aktivitasnya. Menangkan berbagai hadiah menarik bertema ASEAN!</t>
  </si>
  <si>
    <t>22 Agustus 2024 - 25 Agustus 2024</t>
  </si>
  <si>
    <t>1689</t>
  </si>
  <si>
    <t>PLN NUSANTARA POWER CONNECT 2024</t>
  </si>
  <si>
    <t>Stregthening The Base, Expanding the Business</t>
  </si>
  <si>
    <t>11 September 2024 - 12 September 2024</t>
  </si>
  <si>
    <t>1290</t>
  </si>
  <si>
    <t>PAMERAN KRIYA NUSA 2024</t>
  </si>
  <si>
    <t>Kriya Unggul, Indonesia Maju</t>
  </si>
  <si>
    <t>13 September 2024 - 17 September 2024</t>
  </si>
  <si>
    <t>1591</t>
  </si>
  <si>
    <t>JIPREMIUM 2024</t>
  </si>
  <si>
    <t xml:space="preserve">The Biggest Jakarta Premium Products Fair </t>
  </si>
  <si>
    <t>1692</t>
  </si>
  <si>
    <t>INDONESIA DENTAL EXHIBITION &amp; CONFERENCE (IDEC) 2024</t>
  </si>
  <si>
    <t>Together with The Indonesia Dental Association (PDGI) Traya Eksibisi Internasional, PT. are proud to present the third edition of Indonesia Dental Exhibition and Conference. Aiming to be the leading dental exhibition in the country, the exhibition will continue to gather leading local distributors, suppliers and the dental community.</t>
  </si>
  <si>
    <t>15 September 2024 - 17 September 2024</t>
  </si>
  <si>
    <t>1693</t>
  </si>
  <si>
    <t>THE 9TH INDONESIA INTERNATIONAL GEOTHERMAL CONVENTION &amp; EXHIBITION (IIGCE) 2024</t>
  </si>
  <si>
    <t>For the past eight years, the Indonesian Geothermal Association (INAGA) as the association for the Geothermal industry in Indonesia has been proud and successful in hosting the Indonesia International Geothermal Convention &amp; Exhibition (IIGCE) offline in Jakarta Convention Center, Indonesia. The COVID-19 virus clearly prevented us from holding the event as usual in 2020-2021, as there is no guarantee the safety and health of participants will be well managed, so we brought the event virtually for two years. This year INAGA is proud to host and present again The 9th Indonesia International Geothermal Convention &amp; Exhibition (IIGCE) 2023 in conjunction with The 23rd INAGA’s Annual Scientific Meeting. The event will be held on 20-22 September 2023 at the Assembly Hall Jakarta Convention Center. We enthusiastically encourage you to attend this premier event of the geothermal industry in the region and benefit from its strategic programs.</t>
  </si>
  <si>
    <t>20 - 22 September 2024</t>
  </si>
  <si>
    <t>1594</t>
  </si>
  <si>
    <t>KREASI BHAYANGKARI NUSANTARA 2024</t>
  </si>
  <si>
    <t>UMKM Bhayangkari Naik Kelas Menciptakan Bhayangkari Mandiri</t>
  </si>
  <si>
    <t>20 - 24 September 2024</t>
  </si>
  <si>
    <t>1695</t>
  </si>
  <si>
    <t>IDEAFEST 2024</t>
  </si>
  <si>
    <t>IDEAFEST is the biggest festival in the creative industry, connecting and empowering creative communities to grow. For 11th consecutive years, we have gathered and collaborated with National and International experts from various fields like music, film, fashion, and tech to share insights and collaborate. This year #IdeaFest2023 brings hundreds of brilliant minds, visionary thinkers, and talented leaders from various fields to speak out loud and bold. Unleash your inner leadership to the next level, to the world stage. Whether you are an aspiring artist, a budding entrepreneur, a tech enthusiast, or simply someone with a passion for creativity, it's time to Lead The Leap through</t>
  </si>
  <si>
    <t>29 September 2023 - 01 October 2024</t>
  </si>
  <si>
    <t>1596</t>
  </si>
  <si>
    <t>INDONESIA MODIFICATION &amp; LIFESTYLE EXPO 2024</t>
  </si>
  <si>
    <t>IMX 2023 will be present in its 6th year after being successful in the previous 5 years, the strong theme “The Future of Creativity” this year will bring the creativity of every young person to welcome a new era in technology and every breakthrough in changing trends in the Indonesian automotive industry. The strength of young people, both millennials and Gen Z generations, will of course become a new foundation for the future of the Nation, with a spirit of creativity for new ideas including the concept of electrification and digitalization which of course is supported by regulations in collaboration with the Government of the Republic of Indonesia through various Ministries, IMX 2023 will be present become a new milestone and barometer for the Indonesian automotive industry.</t>
  </si>
  <si>
    <t>1597</t>
  </si>
  <si>
    <t>INACRAFT ON OCTOBER</t>
  </si>
  <si>
    <t>Smart Village to Global Market</t>
  </si>
  <si>
    <t>4 - 8 Oktober 2024</t>
  </si>
  <si>
    <t>1598</t>
  </si>
  <si>
    <t>COSMOBEAUTE 2024</t>
  </si>
  <si>
    <t>Indonesia’s beauty industry is one of the most promising mainstay industries and growing rapidly. The growth of the beauty market in Indonesia increased by 7% in 2022. Indonesia has a very large potential to produce attractive and high-quality beauty products that meet the tastes and needs of the world market. Indonesia has promising markets to support the beauty industry.
With a population of over 270 million, Indonesia is the largest nation in Southeast Asia and the demand of beauty products are increasing among consumer in Indonesia. Revenue in the Beauty market amounts to US$7.23BN in 2022. The market is expected to grow annually by 5.81% (CAGR 2022-2027).
Cosmobeauté Indonesia has been continuing its commitment to be the most proven sourcing platform for beauty trade professionals to explore business in the spectrum of Aesthetic, Beauty, Cosmetic, Hair, Nail, Spa and Wellness industry. The 16th edition of Cosmobeauté Indonesia will be held on 12 – 14 October 2023 at Jakarta Convention Center (JCC), Indonesia.</t>
  </si>
  <si>
    <t>12 - 14 Oktober 2024</t>
  </si>
  <si>
    <t>1599</t>
  </si>
  <si>
    <t>INDONESIA ESSENTIAL OIL, SEASONING, SPICES MARKET &amp; EXPO 2024</t>
  </si>
  <si>
    <t>Responsible Collaboration &amp; Sustainability Kebangkitan Rempah Nusantara</t>
  </si>
  <si>
    <t>12 - 15 Oktober 2024</t>
  </si>
  <si>
    <t>16100</t>
  </si>
  <si>
    <t>THE 21ST FRANCHISE &amp; LICENSE EXPO 2024</t>
  </si>
  <si>
    <t>Franchise &amp; License Expo Indonesia (FLEI) is a three-day event held in Jakarta that showcases local and international franchise and license-related brands from various business categories. Attendees can explore different brands and learn about their business models, products, and services, providing a fantastic opportunity to network with industry experts, investors, and other entrepreneurs.</t>
  </si>
  <si>
    <t>13 - 15 October 2024</t>
  </si>
  <si>
    <t>16101</t>
  </si>
  <si>
    <t>THE 35TH HOSPITAL EXPO 2024</t>
  </si>
  <si>
    <t>THE LEADING HOSPITAL, MEDICAL, PHARMACEUTICAL, CLINICAL, LABORATORIES EQUIPMENT &amp; MEDICINE EXPO SINCE 1978 IN SOUTH EAST ASIA</t>
  </si>
  <si>
    <t>18 - 21 October 2024</t>
  </si>
  <si>
    <t>15102</t>
  </si>
  <si>
    <t>THE 10TH INDONESIA SHARIA ECONOMIC FESTIVAL 2024 X HALAL EXPO INDONESIA 2024</t>
  </si>
  <si>
    <t>Indonesia Sharia Economic Festival
ISEF is an initiative of the Central Bank of Indonesia in partnership with all key stakeholders of Indonesia Islamic Economic and Finance industry to build an international event in Islamic economic and finance industry.</t>
  </si>
  <si>
    <t>25- 29 October 2024</t>
  </si>
  <si>
    <t>15103</t>
  </si>
  <si>
    <t>INDONESIA COMICCON 2024</t>
  </si>
  <si>
    <t>Assembly, Cendrawasih &amp; Plenary Hall</t>
  </si>
  <si>
    <t>04 - 05 November 2024</t>
  </si>
  <si>
    <t>15104</t>
  </si>
  <si>
    <t>WIC BAZAAR 2024</t>
  </si>
  <si>
    <t>Let’s come &amp; shop with an Impact!</t>
  </si>
  <si>
    <t>08 - 09 November 2024</t>
  </si>
  <si>
    <t>16105</t>
  </si>
  <si>
    <t>PAMERAN INOVASI DAN TEKNOLOGI KESEHATAN DALAM TRANSFORMASI KESEHATAN</t>
  </si>
  <si>
    <t>Pameran Inovasi dan Teknologi Kesehatan Dalam Transformasi Kesehatan</t>
  </si>
  <si>
    <t>9 - 11 November 2024</t>
  </si>
  <si>
    <t>15106</t>
  </si>
  <si>
    <t>VAPE FAIR 2024</t>
  </si>
  <si>
    <t>Biggest fair for Vapers in Indonesia</t>
  </si>
  <si>
    <t>11 - 12 November 2024</t>
  </si>
  <si>
    <t>15107</t>
  </si>
  <si>
    <t>BULAN MUTU NASIONAL 2024 &amp; SNI EXPO</t>
  </si>
  <si>
    <t>Datang dan Meriahkan, pameran produk ber-SNI terbesar di Indonesia</t>
  </si>
  <si>
    <t>15 - 16 November 2024</t>
  </si>
  <si>
    <t>16108</t>
  </si>
  <si>
    <t>FORUM KAPASITAS NASIONAL III 2024</t>
  </si>
  <si>
    <t>“Pengembangan Integrasi Kapabilitas Dalam Negeri dalam Rangka Peningkatan Kapasitas Nasional”</t>
  </si>
  <si>
    <t>23 - 24 November 2024</t>
  </si>
  <si>
    <t>16109</t>
  </si>
  <si>
    <t>APKASI PROCUREMENT NETWORK 2024</t>
  </si>
  <si>
    <t>Produk Indonesia Menjadi Tuan Rumah Di Negeri Sendiri</t>
  </si>
  <si>
    <t>27 - 28 November 2024</t>
  </si>
  <si>
    <t>15110</t>
  </si>
  <si>
    <t>THE 14TH INDONESIA MATERNITY, BABY &amp; KIDS EXPO 2024</t>
  </si>
  <si>
    <t>Indonesia Maternity, Baby &amp; Kids Expo also known as IMBEX; is Indonesia’s largest exhibition for maternity, baby &amp; kids products and service. IMBEX have served the market since 2008. The 14th edition will be held on 1 – 3 December 2023 at Jakarta Convention Centre, Hall A, B,  Cendrawasih &amp; Plenary. Showcasing hundreds of local and international brands, IMBEX is staged not only as business and trading platforms but offers an exciting 3 days event filled with education and activities; creating an unforgettable experience for the kids, babies, parents and others who visit.</t>
  </si>
  <si>
    <t>1 - 3 Desember 2024</t>
  </si>
  <si>
    <t>15111</t>
  </si>
  <si>
    <t>GLOBAL SOURCES ELECTRONIC INDONESIA 2024</t>
  </si>
  <si>
    <t>Experience world-class sourcing for consumer electronics, mobile electronics, and electronic components right on your doorstep in Jakarta!</t>
  </si>
  <si>
    <t>6 - 8 Desember 2024</t>
  </si>
  <si>
    <t>15112</t>
  </si>
  <si>
    <t>BRILIANPRENEUR 2024</t>
  </si>
  <si>
    <t>Micro, Small, and Medium Enterprises (MSMEs) play a pivotal role in developing the Indonesian economy. They represent a significant economic potential due to their capacity to generate employment opportunities and their potential for breaking through the international market.
In an effort to harness this potential, BRI, as Indonesia's largest bank, has once again organized Brilianpreneur.
This year's event revolves around the theme “Crafting Global Connection”, a reflection of BRI's ambition and commitment to encouraging MSMEs to expand their presence on an international stage. In this era of globalization, it is important for MSMEs to keep up with evolving trends and establish connections with the global community. And BRI will present more than 500 selected MSMEs from five different categories: Home Decor &amp; Craft, Food &amp; Beverage, Accessories &amp; Beauty, Fashion &amp; Wastra, and Healthcare/Wellness. The annual exhibition also presents series of interesting and valuable programs for the audience: Expo Showcase UMKM, Bazaar, Business Matching, Pojok Konsultasi, UMKM Award, Entertainment &amp; Art Installation, Live Shopping, Creative Lab, dan Community Activation.</t>
  </si>
  <si>
    <t>7 - 10 Desember 2024</t>
  </si>
  <si>
    <t>16113</t>
  </si>
  <si>
    <t>THE 18TH HR EXPO &amp; FORUM 2023</t>
  </si>
  <si>
    <t>Building Excellent People in Resilent Company Challengees and Opportunities to Face Business Competition in 2024</t>
  </si>
  <si>
    <t>13 - 14 Desember 2023</t>
  </si>
  <si>
    <t>5000000</t>
  </si>
  <si>
    <t>15114</t>
  </si>
  <si>
    <t>JAKARTA X BEAUTY ON DECEMBER 2023</t>
  </si>
  <si>
    <t>Have you wondered how to recharge your beauty?🌸
#JakartaXBeauty2023</t>
  </si>
  <si>
    <t>14 - 17 December 2023</t>
  </si>
  <si>
    <t>15115</t>
  </si>
  <si>
    <t>JAKARTA HALAL FESTIVAL 2023</t>
  </si>
  <si>
    <t>Mewujudkan Ekosistem Halal Nasional</t>
  </si>
  <si>
    <t>22 - 25 December 2023</t>
  </si>
  <si>
    <t>16116</t>
  </si>
  <si>
    <t>Google Cloud Summit Jakarta 2023</t>
  </si>
  <si>
    <t>Bergabunglah bersama kami dalam acara di mana komunitas cloud berkumpul! Jalin networking sesama profesional di industri, terhubung dengan pemimpin Google Cloud, dan jelajahi tren teknologi seputar AI &amp; machine learning, data analytics, cyber security, business application integration dan masih banyak lagi.
Segalanya yang Anda butuhkan untuk mempercepat transformasi digital dan meningkatkan kinerja perusahaan dapat Anda temukan di sini.</t>
  </si>
  <si>
    <t>-6.2026997</t>
  </si>
  <si>
    <t>106.8186391</t>
  </si>
  <si>
    <t>22 Juni 2024</t>
  </si>
  <si>
    <t>41117</t>
  </si>
  <si>
    <t>Pandora Experience</t>
  </si>
  <si>
    <t xml:space="preserve">Apa jadinya kalau kamu dikunci di sebuah ruangan dan harus kabur dari seorang pembunuh? Atau kamu harus mencari jalan keluar di hutan berhantu? Jawabannya bisa kamu rasakan sendiri di Pandora Experience Alam Sutera!
Di escape room ini, kamu dan teman-teman maksimal 10 orang akan "dikunci" di sebuah ruangan. Kamu harus bisa keluar dari ruangan itu dalam jangka waktu 120 menit dengan cara memecahkan puzzle dan jalan menelusuri ruangan rahasia, dan masih banyak tantangan lagi. Jadi, kamu harus kompak supaya bisa selamat dari ruangan ini ya! </t>
  </si>
  <si>
    <t>-6.222227</t>
  </si>
  <si>
    <t>106.651973</t>
  </si>
  <si>
    <t>41118</t>
  </si>
  <si>
    <t>SDC Skatepark</t>
  </si>
  <si>
    <t>Sejak booming-nya olahraga skateboard di Indonesia pada awal tahun 2000-an, banyak tempat-tempat yang dibangun untuk arena rekreasi para skater di Indonesia, salah satunya berada di area Summarecon Digital Center, Serpong. Buat kamu yang mau bermain skateboard dan motorcross bisa datang ke sini, di tempat ini juga menyediakan jasa pelatihan bagi pemula yang ingin belajar dan mencoba olahraga tersebut.
Kalau kamu belum punya alat-alatnya, bisa juga menyewa di area skatepark ini. Selain itu di area ini juga tersedia toko skateboard dan perlengkapan bermain motorcross.</t>
  </si>
  <si>
    <t>-6.2563</t>
  </si>
  <si>
    <t>106.6167</t>
  </si>
  <si>
    <t>41119</t>
  </si>
  <si>
    <t>Bukit Pondok Cabe</t>
  </si>
  <si>
    <t xml:space="preserve">Pondok cabe merupakan lapangan terbang pendek yang kerap dipakai untuk komunitas aero modeling dan penggemar drone. Di sini kamu dibebaskan menerbangkan pesawat nirawak dengan ketinggian tertentu. Selain itu tempatnya luas, tidak ramai dengan lalu lalang orang, sehingga dinilai aman. Banyak orang yang menggunakan lapangan satu ini untuk beragam kegiatan, salah satunya yang sedang hits adalah bermain drone. Nah buat kamu yang lagi suka main drone, boleh dicoba main di sini! </t>
  </si>
  <si>
    <t>-6.3547181</t>
  </si>
  <si>
    <t>106.7663887</t>
  </si>
  <si>
    <t>41120</t>
  </si>
  <si>
    <t>Lagoon the Bahama</t>
  </si>
  <si>
    <t>Kalau kamu mau bertamasya ke Ocean Park BSD, liburan ini, kamu gak boleh sampai melewatkan wahana Lagoon The Bahama (Pijat Air) ya! Sambil mengelilingi kolam arus, terdapat beberapa air terjun buatan. Air terjun ini dapat difungsikan sebagai pijat air. Kepala atau pundak yang terasa pegal dapat menggunakan air terjun ini. Pijat air ini terdapat juga di area bermain air. Asyik banget kan?</t>
  </si>
  <si>
    <t>-6.2932105</t>
  </si>
  <si>
    <t>106.6499533</t>
  </si>
  <si>
    <t>41121</t>
  </si>
  <si>
    <t>Wall Climbing at Ocean Park</t>
  </si>
  <si>
    <t xml:space="preserve">Ke Ocean Park BSD yuk! Kamu bisa bersenang-senang bersama keluarga dan orang-orang terdekat. Kalau kamu gak mau basah-basahan, tenang aja. Bukan cuma kolam renang aja, tapi ada juga permainan yang bisa kamu nikmati seperti Wall Climbing. Kamu bisa rasakan sensasi memanjat tebing di sini.
Bukan hanya untuk orang dewasa, wahana satu ini juga bisa dicoba untuk anak-anak, lho. Namun tetap dalam pengawasan orang dewasa. Jangan sampai melewatkan keseruannya! </t>
  </si>
  <si>
    <t>41122</t>
  </si>
  <si>
    <t>Pemancingan Telaga Metro</t>
  </si>
  <si>
    <t>Telaga Metro merupakan pemancingan terbesar dan termegah di daerah Ciledug, Tangerang. Tepatnya di Ciledug karang tengah, Perumahan Metro Permata 1. Untuk kamu yang memiliki hobi memancing, atau sekedar ingin coba memancing kamu bisa coba di pemancingan satu ini. Pemancingan di buka setiap hari Selasa sampai Minggu (Senin tutup, untuk perawatan kolam).</t>
  </si>
  <si>
    <t>-6.2003902</t>
  </si>
  <si>
    <t>106.7103626</t>
  </si>
  <si>
    <t>41123</t>
  </si>
  <si>
    <t>Tanah Tingal</t>
  </si>
  <si>
    <t>Sedang kehabisan ide untuk kegiatan di akhir pekan ini? Bagaimana kalau berkunjung ke Tanah Tinggal? Taman Wisata Alam Tanah Tingal adalah sarana hiburan warga DKI Jakarta, Tangerang Selatan, dan sekitarnya untuk mengusir kepenatan. Tanah Tinggal yang berlokasi di Desa Baru, Ciputat - Tangerang, ini bisa jadi pilihan untuk kegiatan berlibur kamu di dalam kota. Sambil memperkenalkan alam pada si kecil, belajar untuk kreatif, dan bersosialisasi dengan alam sekitar lingkungannya.
Di Tanah Tinggal tersedia beragam fasilitas seperti arena bermain anak, kolam renang, fasilitas outbound, dan restoran serta lingkungan asri dipenuhi pepohonan serta aneka burung yang terbang bebas. Areanya yang cukup luas, yaitu sekitar 10 hektar, sangat cocok sebagai tempat outbound, employee outing, employee gathering, team building dan kegiatan outdoor lainnya.</t>
  </si>
  <si>
    <t>-6.3029798</t>
  </si>
  <si>
    <t>106.7183241</t>
  </si>
  <si>
    <t>41124</t>
  </si>
  <si>
    <t>Kandank Jurank Doank</t>
  </si>
  <si>
    <t xml:space="preserve">Untuk anak-anak, liburan di Kandank Jurank Doank bisa menjadi alternatif yang mengasyikan. Karena di sana mereka bebas melakukan permainan apa saja. Kegiatan di Kandank Jurank Doank berkaitan dengan aktivitas luar ruang dan berhubungan dengan alam. 
Mereka bisa bermain lumpur di sawah, belajar menanam padi, atau memandikan kerbau. Bagi yang hobi menggambar, pemandangan di Kandank Jurank merupakan objek yang menarik. Ada pula kegiatan mendengarkan dongeng, mengenal satwa, serta memainkan permainan tradisional.
Kandank Jurank Doank dapat dikunjungi setiap hari tanpa dipungut biaya. Pengunjung baru dikenai tarif bila ingin menikmati wahana-wahana permainan yang umumnya dihargai antara Rp20.000,- hingga Rp25.000,-. Sedangkan paket outbond-nya bisa diikuti dengan biaya minimal Rp120.000,-. </t>
  </si>
  <si>
    <t>-6.2959203</t>
  </si>
  <si>
    <t>106.7239562</t>
  </si>
  <si>
    <t>41125</t>
  </si>
  <si>
    <t>Lockdown Indonesia</t>
  </si>
  <si>
    <t>Lockdown Indonesia is a reality first-person adventure game simulating online room escape games. In the game, the player is locked in a room and must exploit his or her surroundings in order to escape.
The escape game requires players to be observant and use critical thinking skills in order to solve the challenges and riddles. Each team has only 60 minutes to Escape. Will you be the one who succeeds? Come to Lockdown Indonesia!</t>
  </si>
  <si>
    <t>-6.2349004</t>
  </si>
  <si>
    <t>106.658702</t>
  </si>
  <si>
    <t>51126</t>
  </si>
  <si>
    <t>Redline Go Kart</t>
  </si>
  <si>
    <t>Lahan bermain Go Kart ini berada di rooftop Blu Plaza, lebih tepatnya di lantai 2. Sebelum kamu bermain cepat-cepatan di sirkuit Go Kart, kamu diharuskan membuat SIM khas Redline, dan memakan biaya sebesar Rp20.000. Setelah itu, kamu diharuskan menggunakan helm dan pakaian khusus Go Kart. 
Durasi satu permainannya adalah 5 menit, dan siapa yang tercepat dalam 1 lintasan, ia akan mendapat penghargaan khusus dan special prize di kafe Redline. Seru banget kan? Yuk, ajak teman-temanmu beradu cepat di Reline Go Kart!</t>
  </si>
  <si>
    <t>-6.2559905</t>
  </si>
  <si>
    <t>107.0047847</t>
  </si>
  <si>
    <t>51127</t>
  </si>
  <si>
    <t>Fun Park Bekasi Timur Regensi</t>
  </si>
  <si>
    <t>Tinggal di negara tropis, tentu salah satu alternatif rekreasi yang paling banyak dicari adalah berenang dan bermain di taman air. Nah, ada taman air yang seru buat kamu datangi nih, namanya Fun Park Bekasi Timur Regensi. 
Fun park ini memiliki 4 kolam renang dengan ukuran dan kedalaman yang berbeda-beda. Yang 1 kedalaman air antara 120-150 cm, cocok untuk dewasa atau yang ingin belajar berenang. Kolam yang kedua memiliki kedalaman air 50cm, kolam ketiga memiliki kedalaman 5-20 cm. Kedua kolam ini cocok untuk balita dan juga anak. Kolam terakhir yang paling digemari oleh anak-anak. Kolam berkedalaman 30 cm ini dilengkapi dengan pernak-pernik permainan anak dan terdapat seperti sebuah istana. Lengkap dengan seluncurannya.
Kalau gitu, yuk ajak keluargamu ke Fun Park Bekasi Timur Regensi!</t>
  </si>
  <si>
    <t>-6.3236733</t>
  </si>
  <si>
    <t>107.0006003</t>
  </si>
  <si>
    <t>51128</t>
  </si>
  <si>
    <t>Tugu Skatepark</t>
  </si>
  <si>
    <t xml:space="preserve">Buat kamu yang suka dengan olahraga ekstrem skateboarding, ada tempat yang bisa jadi arena unjuk kebolehanmu, lho, di bilangan Bekasi, tepatnya di daerah Pekayon. Tugu Skatepark didirikan pada tahun 2012, dan di arena skate ini pengunjung yang datang banyak juga yang berasal dari luar Bekasi. Selain menyewakan arena skate, di Tugu juga menjual berbagai aksesoris skateboard, seperti papan skate, sepatu, tas dan kaos.  </t>
  </si>
  <si>
    <t>-6.25906</t>
  </si>
  <si>
    <t>106.9821224</t>
  </si>
  <si>
    <t>51129</t>
  </si>
  <si>
    <t>Taman Buaya Indonesia Jaya</t>
  </si>
  <si>
    <t xml:space="preserve">Ini adalah tempat wisata di Bekasi yang tak boleh dilewatkan pecinta buaya. Taman Buaya Indonesia Jaya merupakan tempat penangkaran buaya yang berada di Jalan Raya Serang Cibarusah, Desa Sukaragam. Sebelum masuk, kamu akan disambut dengan sebuah patung buaya besar di halaman depan tempat penangkaran buaya ini. 
Tempat wisata yang dibangun pada tahun 1990 ini memiliki 5 kolam besar yang mampu menampung masing-masing 100 ekor buaya. Kolam-kolam ini dibatasi dengan pagar besi setinggi 1,5 meter demi keamanan pengunjung. Tak hanya kolam penampungan buaya dewasa, di tempat penangkaran ini juga terdapat ruang penetasan telur buaya dan kolam kecil untuk bayi buaya. Selain buaya, kamu juga bisa menemukan kandang monyet di sini. 
Yang menarik, kamu bisa menyaksikan pertunjukan debus Banten di mana pemainnya melawan buaya dan ular buas di sini. Pertunjukan ini diadakan setiap hari Minggu dan hari libur lainnya dua kali dalam sehari, yaitu pada pukul 11:00 dan 14:00. Jika melewatkan pertunjukan debus, kamu masih bisa menikmati tempat wisata di Bekasi ini dengan memetik buah sawo sepuasnya langsung dari pohonnya di sini.
</t>
  </si>
  <si>
    <t>-6.3930612</t>
  </si>
  <si>
    <t>107.0847378</t>
  </si>
  <si>
    <t>Weekdays</t>
  </si>
  <si>
    <t>52130</t>
  </si>
  <si>
    <t>Klenteng Hok Lay Kiong</t>
  </si>
  <si>
    <t>Klenteng Hok Lay Kiong merupakan salah satu klenteng tertua di Bekasi. Tak ada yang tahu pasti kapan tepatnya klenteng yang berada di Jalan Kenari, Margahayu, ini dibangun, namun diperkirakan klenteng ini sudah berdiri sejak 300 sampai 400 tahun yang lalu. Tak berbeda dengan kebanyakan klenteng, di sini warna merah masih mendominasi bangunan dan segala ornamennya. 
Jika ingin menikmati suasana yang berbeda dengan hari lainnya, cobalah datang pada saat perayaan imlek. Saat itu, biasa dilakukan upacara penyucian patung dewa dan karnaval barongsai. Ada juga ritual Tabur Sial, di mana dilakukan pelarungan kertas berisi harapan ke Sungai Bekasi dan pelepasan kura-kura.</t>
  </si>
  <si>
    <t>-6.2440966</t>
  </si>
  <si>
    <t>107.0006544</t>
  </si>
  <si>
    <t>52131</t>
  </si>
  <si>
    <t>Saung Ranggon</t>
  </si>
  <si>
    <t xml:space="preserve">Bekasi yang kita anggap daerah dari planet lain ternyata menyimpan beberapa spot menarik yang asik dikunjungi. Salah satunya adalah Saung Ranggon. Saung Ranggon adalah rumah panggung kuno yang berada di Desa Cikedokan, Cikarang Barat. Saung ini berukuran 7,6 x 7,2 meter dengan tinggi lantai 2,5 lantai dari atas tanah. Terdapat tujuh buah anak tangga untuk naik ke lantai utama. Bagian dalam saung merupakan ruangan luas tanpa sekat ataupun jendela.
Tempat wisata di Bekasi ini dibangun pada abad ke-16 oleh Pangeran Rangga yang merupakan anak dari Pangeran Jayakarta. Pangeran Rangga membangun saung ini sebagai tempat persembunyian saat lari dari kejaran Belanda. Saung Ranggon baru ditemukan pada tahun 1821 oleh Raden Abbas. Meskipun telah mengalami renovasi beberapa kali, namun bangunan dan ornamennya sebagian besar masih asli. Buat kamu yang penasaran dengan Harta-yang-tersembunyi di Bekasi ini, mendingan langsung datang kesini. </t>
  </si>
  <si>
    <t>-6.3386474</t>
  </si>
  <si>
    <t>107.0683878</t>
  </si>
  <si>
    <t>52132</t>
  </si>
  <si>
    <t>Nanotenri 2023</t>
  </si>
  <si>
    <t xml:space="preserve">Festival budaya Jepang yang diselenggarakan oleh ekskul Bahasa Jepang SMA Labschool Cibubur dengan lomba - lomba, obakeyashiki, hanabi, special performance dan lain-lain. 
Menampilkan berbagai performance, dari peserta lomba hingga guest star spesial kami! </t>
  </si>
  <si>
    <t>-6.3433894</t>
  </si>
  <si>
    <t>106.9252924</t>
  </si>
  <si>
    <t>27 Januari 2024</t>
  </si>
  <si>
    <t>35000</t>
  </si>
  <si>
    <t>43133</t>
  </si>
  <si>
    <t>BLISSFUL RUN 2023</t>
  </si>
  <si>
    <t xml:space="preserve">Daftarkan dirimu dalam Fun Run 2,5K dan dapatkan berbagai merchandise menarik hingga kesempatan untuk bertemu dengan Komunitas Olahraga yang bisa bikin kalian makin sehat!
Sabtu, 16 Desember 2023 
Ring-O Area (Broadway, The Flavor Bliss) 
05.30 - 09.30
Get ready to
Bliss.
Run.
Repeat  </t>
  </si>
  <si>
    <t>-6.2429921</t>
  </si>
  <si>
    <t>106.6519753</t>
  </si>
  <si>
    <t>Go! Wet Waterpark</t>
  </si>
  <si>
    <t>Are you and your family members up for some thrilling rides on your next short getaway? If that's the case, go pump up your adrenaline at Go! Wet Waterpark Bekasi! Bring your whole family along and enjoy exciting slides, such as Go! Splash, Go! Speed, and Go! Sprint. If you need to catch a break, simply relax in the Go! Lazy where you can cruise down the pool surrounded by lush greenery.
You have your kids with you? Worry no more! Go! Wet Waterpark will keep your little ones busy playing at the children-friendly rides. Go take them to have the time of their lives at the Go! Fun, Go! Boomer, Go! Play, Go! Round, and also Go! Spray. At the end of the day, you and your family will have the best holiday experience ever!</t>
  </si>
  <si>
    <t>-6.2978275</t>
  </si>
  <si>
    <t>107.0482725</t>
  </si>
  <si>
    <t>66000</t>
  </si>
  <si>
    <t>51135</t>
  </si>
  <si>
    <t>Waterboom Lippo Cikarang</t>
  </si>
  <si>
    <t>Bertemakan alam Bali, Waterboom Lippo Cikarang merupakan tempat yang tepat untuk liburan keluarga. Dari kolam renang, seluncuran, dan lazy river, taman air ini memiliki semuanya dan maish banyak lagi! Bingung mau mulai petuangalan Anda darimana? Coba saja wahana populernya lebih dulu, seperti Keong Kompyang dan Jeram Berang-Berang. Lalu, bersantailah di Kolam Ceria ditemani segelas (atau lebih) minuman segar dari Juice Station. Sementara itu, si kecil bisa bermain di Kiddy Area dan Kolam Arus Anak.
Di sini, Anda juga bisa memanjakan diri dengan perawatan spa atau bahkan fish therapy. Ada juga fasilitas outbound dengan permainan dan instruktur profesional untuk menemani pengunjung. Jangan lupa nikmati kuliner Bali di restoran dan minuman-minuman segar di café. Baik untuk bersantai dikelilingi taman hijau atau bermain di seluncuran yang memacu adrenalin, inilah tempat yang tepat untuk liburan singkat yang menyenangkan!</t>
  </si>
  <si>
    <t>-6.3313907</t>
  </si>
  <si>
    <t>107.1357055</t>
  </si>
  <si>
    <t>22136</t>
  </si>
  <si>
    <t>Kebun Raya Bogor</t>
  </si>
  <si>
    <t>Kebun Raya Bogor merupakan salah satu taman botani terbesar di Asia Tenggara. Kebun ini memiliki luas sekitar 87 hektar dan memiliki koleksi tanaman yang sangat beragam, mulai dari tanaman tropis, subtropis, hingga tanaman langka. Kebun Raya Bogor juga memiliki banyak fasilitas yang dapat digunakan oleh pengunjung, seperti taman bermain, restoran, dan kafe.</t>
  </si>
  <si>
    <t>-6.5976236</t>
  </si>
  <si>
    <t>106.7969895</t>
  </si>
  <si>
    <t>21137</t>
  </si>
  <si>
    <t>Taman Safari Indonesia</t>
  </si>
  <si>
    <t>Taman Safari Indonesia merupakan salah satu kebun binatang terbesar di Indonesia. Kebun binatang ini memiliki luas sekitar 170 hektar dan memiliki koleksi satwa yang sangat beragam, mulai dari satwa Afrika, Asia, hingga Amerika. Pengunjung dapat melihat satwa-satwa tersebut secara langsung dari kendaraan yang telah disediakan</t>
  </si>
  <si>
    <t>-6.7206439</t>
  </si>
  <si>
    <t>106.9482552</t>
  </si>
  <si>
    <t>21138</t>
  </si>
  <si>
    <t>JungleLand Adventure Theme Park</t>
  </si>
  <si>
    <t>JungleLand Adventure Theme Park merupakan taman bermain terbesar di Bogor. Taman bermain ini memiliki luas sekitar 35 hektar dan memiliki berbagai macam wahana permainan yang menarik, mulai dari wahana permainan anak-anak hingga wahana permainan dewasa yang memacu adrenalin.</t>
  </si>
  <si>
    <t>-6.5731714</t>
  </si>
  <si>
    <t>106.8886346</t>
  </si>
  <si>
    <t>21139</t>
  </si>
  <si>
    <t>The Jungle Waterpark</t>
  </si>
  <si>
    <t>The Jungle Waterpark merupakan salah satu taman air terbesar di Bogor. Taman air ini memiliki luas sekitar 3,5 hektar dan memiliki berbagai macam wahana permainan air yang menarik, mulai dari wahana permainan anak-anak hingga wahana permainan dewasa yang seru.</t>
  </si>
  <si>
    <t>180000</t>
  </si>
  <si>
    <t>22140</t>
  </si>
  <si>
    <t>Museum Zoologi Bogor</t>
  </si>
  <si>
    <t>Museum Zoologi Bogor merupakan salah satu museum zoologi tertua di Indonesia. Museum ini memiliki koleksi fosil, spesimen, dan preparat hewan yang sangat beragam, mulai dari hewan purba hingga hewan modern. Museum Zoologi Bogor juga memiliki fasilitas yang dapat digunakan oleh pengunjung, seperti perpustakaan, ruang audio visual, dan ruang edukasi.</t>
  </si>
  <si>
    <t>-6.6036081</t>
  </si>
  <si>
    <t>106.7943564</t>
  </si>
  <si>
    <t>21141</t>
  </si>
  <si>
    <t>Kebun Binatang Taman Yasmin</t>
  </si>
  <si>
    <t>Kebun Binatang Taman Yasmin merupakan salah satu kebun binatang yang populer di Bogor. Kebun binatang ini memiliki luas sekitar 10 hektar dan memiliki koleksi satwa yang beragam, mulai dari satwa lokal hingga satwa asing. Kebun Binatang Taman Yasmin juga memiliki fasilitas yang dapat digunakan oleh pengunjung, seperti taman bermain, restoran, dan kafe.</t>
  </si>
  <si>
    <t>-6.3325152</t>
  </si>
  <si>
    <t>106.6221484</t>
  </si>
  <si>
    <t>21142</t>
  </si>
  <si>
    <t>Situ Gede</t>
  </si>
  <si>
    <t>Situ Gede merupakan salah satu danau terbesar di Bogor. Danau ini memiliki luas sekitar 87 hektar dan memiliki pemandangan yang indah. Pengunjung dapat berkeliling danau dengan menggunakan perahu yang disewakan oleh penduduk setempat.</t>
  </si>
  <si>
    <t>-6.5534606</t>
  </si>
  <si>
    <t>106.7360063</t>
  </si>
  <si>
    <t>26143</t>
  </si>
  <si>
    <t>Istana Bogor</t>
  </si>
  <si>
    <t>Istana Bogor merupakan salah satu istana kepresidenan Republik Indonesia. Istana ini terletak di tengah kota Bogor dan memiliki pemandangan yang indah. Istana Bogor dapat dikunjungi oleh masyarakat umum dengan mengikuti tur wisata yang disediakan.
Istana Bogor didirikan pada tahun 1745 oleh Gubernur Jenderal Hindia Belanda, Gustaaf Willem Baron van Imhoff. Istana ini telah menjadi tempat kediaman para presiden Indonesia sejak masa pemerintahan Soekarno.</t>
  </si>
  <si>
    <t>-6.5979993</t>
  </si>
  <si>
    <t>106.7948863</t>
  </si>
  <si>
    <t>21144</t>
  </si>
  <si>
    <t>Kebun Botani Cibodas</t>
  </si>
  <si>
    <t>Kebun Botani Cibodas merupakan salah satu kebun botani terbesar di Indonesia. Kebun ini terletak di kaki Gunung Gede Pangrango dan memiliki koleksi tanaman yang sangat beragam, mulai dari tanaman tropis, subtropis, hingga tanaman langka. Kebun Botani Cibodas didirikan pada tahun 1852 oleh Pemerintah Hindia Belanda. Kebun ini memiliki luas sekitar 87 hektar dan telah menjadi salah satu tujuan wisata favorit di Jawa Barat.</t>
  </si>
  <si>
    <t>-6.7412738</t>
  </si>
  <si>
    <t>107.0050282</t>
  </si>
  <si>
    <t>21145</t>
  </si>
  <si>
    <t>The Legend Star Bogor</t>
  </si>
  <si>
    <t>The Legend Star Bogor merupakan taman hiburan indoor yang bertema sejarah dan budaya Indonesia. Taman ini memiliki berbagai macam wahana permainan, mulai dari wahana permainan anak-anak hingga wahana permainan dewasa yang memacu adrenalin. The Legend Star Bogor didirikan pada tahun 2017. Taman ini memiliki luas sekitar 2 hektar dan telah menjadi salah satu tujuan wisata favorit di Bogor.</t>
  </si>
  <si>
    <t>adanya di jatim bukan bogor</t>
  </si>
  <si>
    <t>22146</t>
  </si>
  <si>
    <t>Taman Budaya Sentul City</t>
  </si>
  <si>
    <t>Taman Budaya Sentul City merupakan taman budaya yang terletak di kawasan Sentul City. Taman ini memiliki berbagai macam fasilitas, mulai dari gedung pertunjukan, museum, hingga taman bermain. Taman Budaya Sentul City didirikan pada tahun 2006. Taman ini telah menjadi salah satu tujuan wisata favorit di Bogor.</t>
  </si>
  <si>
    <t>-6.5839969</t>
  </si>
  <si>
    <t>106.8802024</t>
  </si>
  <si>
    <t>21147</t>
  </si>
  <si>
    <t>Taman Wisata Matahari</t>
  </si>
  <si>
    <t>Taman Wisata Matahari merupakan salah satu taman rekreasi keluarga terbesar di Bogor. Taman ini memiliki berbagai macam wahana permainan, mulai dari wahana permainan anak-anak hingga wahana permainan dewasa yang memacu adrenalin.
Taman Wisata Matahari didirikan pada tahun 1996. Taman ini telah menjadi salah satu tujuan wisata favorit di Bogor.</t>
  </si>
  <si>
    <t>-6.6562039</t>
  </si>
  <si>
    <t>106.9139869</t>
  </si>
  <si>
    <t>21148</t>
  </si>
  <si>
    <t>Kebun Raya Cibodas</t>
  </si>
  <si>
    <t>Kebun Raya Cibodas merupakan salah satu kebun botani terbesar di Indonesia. Kebun ini terletak di kaki Gunung Gede Pangrango dan memiliki koleksi tanaman yang sangat beragam, mulai dari tanaman tropis, subtropis, hingga tanaman langka. Kebun Raya Cibodas didirikan pada tahun 1852 oleh Pemerintah Hindia Belanda. Kebun ini memiliki luas sekitar 87 hektar dan telah menjadi salah satu tujuan wisata favorit di Jawa Barat. Kebun Raya Cibodas memiliki beberapa daya tarik utama, yaitu: Koleksi tanaman yang sangat beragam, mulai dari tanaman tropis, subtropis, hingga tanaman langka. Pemandangan alam yang indah, terutama pada saat musim hujan. Fasilitas yang lengkap, mulai dari restoran, kafe, hingga tempat parkir. Kebun Raya Cibodas cocok untuk dikunjungi oleh semua kalangan, mulai dari keluarga, pelajar, hingga wisatawan mancanegara.</t>
  </si>
  <si>
    <t>13149</t>
  </si>
  <si>
    <t>Monumen Nasional</t>
  </si>
  <si>
    <t xml:space="preserve">
Monumen Nasional
Monumen Nasional (Monas) merupakan salah satu ikon Kota Jakarta. Monas terletak di pusat kota Jakarta dan memiliki ketinggian 132 meter. Monas dapat dikunjungi oleh masyarakat umum secara gratis.
Monas merupakan tempat yang cocok untuk berolahraga, terutama jogging. Jogging di Monas dapat dilakukan dengan mengelilingi area Monas atau berlari di jalur yang telah disediakan. Jarak yang dapat ditempuh dengan jogging di Monas sekitar 1,5 kilometer.
Selain jogging, Monas juga dapat digunakan untuk berolahraga lainnya, seperti bersepeda, senam, atau bermain bola. Monas memiliki lahan yang luas dan terbuka, sehingga sangat cocok untuk berolahraga.</t>
  </si>
  <si>
    <t>-6.1753871</t>
  </si>
  <si>
    <t>106.8245725</t>
  </si>
  <si>
    <t>13150</t>
  </si>
  <si>
    <t>Gelora Bung Karno</t>
  </si>
  <si>
    <t>Gelora Bung Karno (GBK) merupakan kompleks olahraga terbesar di Indonesia. GBK terletak di Jakarta Pusat dan memiliki luas sekitar 117 hektar. GBK dapat dikunjungi oleh masyarakat umum secara gratis.
GBK merupakan tempat yang cocok untuk berolahraga, terutama untuk olahraga yang membutuhkan lapangan yang luas, seperti sepak bola, atletik, atau tenis. GBK memiliki berbagai macam fasilitas olahraga, mulai dari lapangan sepak bola, lintasan atletik, hingga lapangan tenis.
Selain itu, GBK juga memiliki berbagai macam fasilitas pendukung, seperti tempat parkir, restoran, dan kafe.</t>
  </si>
  <si>
    <t>-6.2186271</t>
  </si>
  <si>
    <t>106.7833401</t>
  </si>
  <si>
    <t>user_interest_category</t>
  </si>
  <si>
    <t>user_past_event_category</t>
  </si>
  <si>
    <t>Maya Putri</t>
  </si>
  <si>
    <t>3163, 1646</t>
  </si>
  <si>
    <t>Dian Putri</t>
  </si>
  <si>
    <t>113, 3163</t>
  </si>
  <si>
    <t>Fandi Wijaya</t>
  </si>
  <si>
    <t>1645, 1642</t>
  </si>
  <si>
    <t>Dina Utami</t>
  </si>
  <si>
    <t>1640, 1420</t>
  </si>
  <si>
    <t>Hadi Nurhayati</t>
  </si>
  <si>
    <t>3163, 3170</t>
  </si>
  <si>
    <t>Arif Putri</t>
  </si>
  <si>
    <t>1427, 1639</t>
  </si>
  <si>
    <t>Maya Sari</t>
  </si>
  <si>
    <t>3455, 1111</t>
  </si>
  <si>
    <t>Bambang Kurniawan</t>
  </si>
  <si>
    <t>1420, 3168</t>
  </si>
  <si>
    <t>Dina Pratama</t>
  </si>
  <si>
    <t>1528, 3657</t>
  </si>
  <si>
    <t>Dina Susanto</t>
  </si>
  <si>
    <t>3167, 3170</t>
  </si>
  <si>
    <t>Arif Sari</t>
  </si>
  <si>
    <t>116, 1423</t>
  </si>
  <si>
    <t>Joko Susanto</t>
  </si>
  <si>
    <t>3166, 1114</t>
  </si>
  <si>
    <t>Hadi Kurniawan</t>
  </si>
  <si>
    <t>1642, 1647</t>
  </si>
  <si>
    <t>Ani Purnama</t>
  </si>
  <si>
    <t>3164, 1313</t>
  </si>
  <si>
    <t>Arif Kurniawan</t>
  </si>
  <si>
    <t>3454, 1647</t>
  </si>
  <si>
    <t>Siti Utami</t>
  </si>
  <si>
    <t>1420, 1215</t>
  </si>
  <si>
    <t>Fajar Wijaya</t>
  </si>
  <si>
    <t>1333, 1528</t>
  </si>
  <si>
    <t>Rudi Santoso</t>
  </si>
  <si>
    <t>1636, 115</t>
  </si>
  <si>
    <t>Siti Purnama</t>
  </si>
  <si>
    <t>1638, 1636</t>
  </si>
  <si>
    <t>Arif Septiani</t>
  </si>
  <si>
    <t>1651, 3169</t>
  </si>
  <si>
    <t>Budi Santoso</t>
  </si>
  <si>
    <t>1422, 3168</t>
  </si>
  <si>
    <t>1639, 1640</t>
  </si>
  <si>
    <t>Fajar Kusuma</t>
  </si>
  <si>
    <t>1650, 1650</t>
  </si>
  <si>
    <t>Andi Septiani</t>
  </si>
  <si>
    <t>1650, 1421</t>
  </si>
  <si>
    <t>Agus Hartono</t>
  </si>
  <si>
    <t>1313, 1335</t>
  </si>
  <si>
    <t>Citra Sari</t>
  </si>
  <si>
    <t>1332, 3658</t>
  </si>
  <si>
    <t>Fandi Purnama</t>
  </si>
  <si>
    <t>3162, 1417</t>
  </si>
  <si>
    <t>Fandi Putri</t>
  </si>
  <si>
    <t>1652, 1333</t>
  </si>
  <si>
    <t>Bambang Putri</t>
  </si>
  <si>
    <t>3658, 1422</t>
  </si>
  <si>
    <t>Fajar Kurniawan</t>
  </si>
  <si>
    <t>1651, 1212</t>
  </si>
  <si>
    <t>Dian Hidayat</t>
  </si>
  <si>
    <t>3356, 3455</t>
  </si>
  <si>
    <t>Ani Setiawan</t>
  </si>
  <si>
    <t>1640, 3170</t>
  </si>
  <si>
    <t>Dewi Wijaya</t>
  </si>
  <si>
    <t>3659, 3168</t>
  </si>
  <si>
    <t>1110, 3163</t>
  </si>
  <si>
    <t>Maya Nugroho</t>
  </si>
  <si>
    <t>1648, 119</t>
  </si>
  <si>
    <t>Arif Susanto</t>
  </si>
  <si>
    <t>1639, 1650</t>
  </si>
  <si>
    <t>Lina Susanto</t>
  </si>
  <si>
    <t>1531, 111</t>
  </si>
  <si>
    <t>Maya Utami</t>
  </si>
  <si>
    <t>1639, 1530</t>
  </si>
  <si>
    <t>Desi Utami</t>
  </si>
  <si>
    <t>1638, 1645</t>
  </si>
  <si>
    <t>Joko Sari</t>
  </si>
  <si>
    <t>111, 1418</t>
  </si>
  <si>
    <t>Wahyu Susanto</t>
  </si>
  <si>
    <t>1529, 1651</t>
  </si>
  <si>
    <t>Desi Putri</t>
  </si>
  <si>
    <t>1334, 1313</t>
  </si>
  <si>
    <t>Lina Putri</t>
  </si>
  <si>
    <t>3165, 3162</t>
  </si>
  <si>
    <t>1652, 3454</t>
  </si>
  <si>
    <t>Siti Kurniawan</t>
  </si>
  <si>
    <t>3169, 3169</t>
  </si>
  <si>
    <t>Dian Wijaya</t>
  </si>
  <si>
    <t>1422, 3165</t>
  </si>
  <si>
    <t>Fandi Kurniawan</t>
  </si>
  <si>
    <t>1423, 3163</t>
  </si>
  <si>
    <t>Maya Kusuma</t>
  </si>
  <si>
    <t>1637, 1639</t>
  </si>
  <si>
    <t>Fajar Hidayat</t>
  </si>
  <si>
    <t>117, 3164</t>
  </si>
  <si>
    <t>Hadi Santoso</t>
  </si>
  <si>
    <t>1212, 1530</t>
  </si>
  <si>
    <t>Fandi Pratama</t>
  </si>
  <si>
    <t>1114, 1642</t>
  </si>
  <si>
    <t>Ani Nurhayati</t>
  </si>
  <si>
    <t>3170, 118</t>
  </si>
  <si>
    <t>Wahyu Santoso</t>
  </si>
  <si>
    <t>117, 1652</t>
  </si>
  <si>
    <t>Andi Kurniawan</t>
  </si>
  <si>
    <t>3167, 1422</t>
  </si>
  <si>
    <t>1528, 1530</t>
  </si>
  <si>
    <t>111, 3658</t>
  </si>
  <si>
    <t>Hadi Sari</t>
  </si>
  <si>
    <t>1416, 3658</t>
  </si>
  <si>
    <t>Joko Septiani</t>
  </si>
  <si>
    <t>3170, 3659</t>
  </si>
  <si>
    <t>Siti Rahayu</t>
  </si>
  <si>
    <t>1424, 1647</t>
  </si>
  <si>
    <t>Rudi Septiani</t>
  </si>
  <si>
    <t>1652, 1334</t>
  </si>
  <si>
    <t>Agus Setiawan</t>
  </si>
  <si>
    <t>114, 1637</t>
  </si>
  <si>
    <t>1636, 1424</t>
  </si>
  <si>
    <t>1530, 1652</t>
  </si>
  <si>
    <t>Fajar Utami</t>
  </si>
  <si>
    <t>118, 1114</t>
  </si>
  <si>
    <t>Siti Pratama</t>
  </si>
  <si>
    <t>1649, 1553</t>
  </si>
  <si>
    <t>Agus Wijaya</t>
  </si>
  <si>
    <t>1641, 118</t>
  </si>
  <si>
    <t>Joko Pratama</t>
  </si>
  <si>
    <t>3168, 1313</t>
  </si>
  <si>
    <t>Wahyu Wijaya</t>
  </si>
  <si>
    <t>3168, 1519</t>
  </si>
  <si>
    <t>Citra Rahayu</t>
  </si>
  <si>
    <t>3657, 1111</t>
  </si>
  <si>
    <t>Fandi Hadiwijaya</t>
  </si>
  <si>
    <t>3167, 1418</t>
  </si>
  <si>
    <t>Hadi Putri</t>
  </si>
  <si>
    <t>3166, 118</t>
  </si>
  <si>
    <t>Wahyu Kurniawan</t>
  </si>
  <si>
    <t>117, 116</t>
  </si>
  <si>
    <t>116, 1642</t>
  </si>
  <si>
    <t>Arif Purnama</t>
  </si>
  <si>
    <t>3658, 1638</t>
  </si>
  <si>
    <t>1648, 1110</t>
  </si>
  <si>
    <t>Sinta Hidayat</t>
  </si>
  <si>
    <t>3455, 1416</t>
  </si>
  <si>
    <t>Desi Wijaya</t>
  </si>
  <si>
    <t>1649, 1529</t>
  </si>
  <si>
    <t>115, 1332</t>
  </si>
  <si>
    <t>Arif Nugroho</t>
  </si>
  <si>
    <t>1420, 3164</t>
  </si>
  <si>
    <t>Sinta Susanto</t>
  </si>
  <si>
    <t>122, 1645</t>
  </si>
  <si>
    <t>Lina Rahayu</t>
  </si>
  <si>
    <t>1529, 1648</t>
  </si>
  <si>
    <t>Fandi Nurhayati</t>
  </si>
  <si>
    <t>1114, 1313</t>
  </si>
  <si>
    <t>Sinta Nurhayati</t>
  </si>
  <si>
    <t>1212, 113</t>
  </si>
  <si>
    <t>Budi Hermawan</t>
  </si>
  <si>
    <t>1332, 115</t>
  </si>
  <si>
    <t>Maya Susanto</t>
  </si>
  <si>
    <t>1640, 1529</t>
  </si>
  <si>
    <t>Lina Santoso</t>
  </si>
  <si>
    <t>1333, 1335</t>
  </si>
  <si>
    <t>Budi Setiawan</t>
  </si>
  <si>
    <t>Fajar Hadiwijaya</t>
  </si>
  <si>
    <t>1215, 1425</t>
  </si>
  <si>
    <t>Hadi Wijaya</t>
  </si>
  <si>
    <t>1333, 115</t>
  </si>
  <si>
    <t>Dina Saputra</t>
  </si>
  <si>
    <t>1639, 3167</t>
  </si>
  <si>
    <t>Bambang Wijaya</t>
  </si>
  <si>
    <t>115, 1531</t>
  </si>
  <si>
    <t>Andi Susanto</t>
  </si>
  <si>
    <t>3454, 3168</t>
  </si>
  <si>
    <t>1641, 1333</t>
  </si>
  <si>
    <t>Ani Susanto</t>
  </si>
  <si>
    <t>1333, 1215</t>
  </si>
  <si>
    <t>Ani Pratama</t>
  </si>
  <si>
    <t>1641, 116</t>
  </si>
  <si>
    <t>Budi Sari</t>
  </si>
  <si>
    <t>1519, 113</t>
  </si>
  <si>
    <t>Dewi Hidayat</t>
  </si>
  <si>
    <t>3356, 1212</t>
  </si>
  <si>
    <t>Agus Hidayat</t>
  </si>
  <si>
    <t>3163, 3167</t>
  </si>
  <si>
    <t>1519, 1651</t>
  </si>
  <si>
    <t>3658, 115</t>
  </si>
  <si>
    <t>Maya Hadiwijaya</t>
  </si>
  <si>
    <t>3170, 113</t>
  </si>
  <si>
    <t>Lina Nurhayati</t>
  </si>
  <si>
    <t>1644, 111</t>
  </si>
  <si>
    <t>1645, 3169</t>
  </si>
  <si>
    <t>Siti Susanto</t>
  </si>
  <si>
    <t>3454, 1526</t>
  </si>
  <si>
    <t>Budi Hidayat</t>
  </si>
  <si>
    <t>1646, 1110</t>
  </si>
  <si>
    <t>3168, 115</t>
  </si>
  <si>
    <t>Dewi Hadiwijaya</t>
  </si>
  <si>
    <t>3166, 1212</t>
  </si>
  <si>
    <t>Ani Sari</t>
  </si>
  <si>
    <t>122, 1334</t>
  </si>
  <si>
    <t>1427, 1638</t>
  </si>
  <si>
    <t>122, 114</t>
  </si>
  <si>
    <t>Ani Hadiwijaya</t>
  </si>
  <si>
    <t>1333, 3169</t>
  </si>
  <si>
    <t>Budi Wijaya</t>
  </si>
  <si>
    <t>1638, 1530</t>
  </si>
  <si>
    <t>1420, 1422</t>
  </si>
  <si>
    <t>Dewi Septiani</t>
  </si>
  <si>
    <t>3164, 1212</t>
  </si>
  <si>
    <t>Fandi Hartono</t>
  </si>
  <si>
    <t>1639, 3169</t>
  </si>
  <si>
    <t>Wahyu Sari</t>
  </si>
  <si>
    <t>1636, 3455</t>
  </si>
  <si>
    <t>Ani Santoso</t>
  </si>
  <si>
    <t>1332, 1416</t>
  </si>
  <si>
    <t>Budi Rahayu</t>
  </si>
  <si>
    <t>3169, 3162</t>
  </si>
  <si>
    <t>1519, 114</t>
  </si>
  <si>
    <t>Wahyu Saputra</t>
  </si>
  <si>
    <t>1651, 3659</t>
  </si>
  <si>
    <t>Maya Setiawan</t>
  </si>
  <si>
    <t>1334, 1334</t>
  </si>
  <si>
    <t>Lina Hartono</t>
  </si>
  <si>
    <t>1333, 3356</t>
  </si>
  <si>
    <t>Fandi Setiawan</t>
  </si>
  <si>
    <t>1642, 1639</t>
  </si>
  <si>
    <t>Fandi Hidayat</t>
  </si>
  <si>
    <t>1333, 1643</t>
  </si>
  <si>
    <t>Agus Santoso</t>
  </si>
  <si>
    <t>Sinta Wijaya</t>
  </si>
  <si>
    <t>3166, 3454</t>
  </si>
  <si>
    <t>Bambang Utami</t>
  </si>
  <si>
    <t>3657, 1335</t>
  </si>
  <si>
    <t>1416, 114</t>
  </si>
  <si>
    <t>Andi Putri</t>
  </si>
  <si>
    <t>3162, 1111</t>
  </si>
  <si>
    <t>Dian Purnama</t>
  </si>
  <si>
    <t>1420, 3659</t>
  </si>
  <si>
    <t>Joko Hartono</t>
  </si>
  <si>
    <t>1424, 3169</t>
  </si>
  <si>
    <t>Dewi Sari</t>
  </si>
  <si>
    <t>1335, 3164</t>
  </si>
  <si>
    <t>Maya Septiani</t>
  </si>
  <si>
    <t>1528, 3165</t>
  </si>
  <si>
    <t>Sinta Hermawan</t>
  </si>
  <si>
    <t>1418, 1335</t>
  </si>
  <si>
    <t>116, 1420</t>
  </si>
  <si>
    <t>Joko Hermawan</t>
  </si>
  <si>
    <t>1651, 1644</t>
  </si>
  <si>
    <t>Sinta Kurniawan</t>
  </si>
  <si>
    <t>117, 3169</t>
  </si>
  <si>
    <t>Maya Wijaya</t>
  </si>
  <si>
    <t>1313, 117</t>
  </si>
  <si>
    <t>Bambang Santoso</t>
  </si>
  <si>
    <t>1528, 1332</t>
  </si>
  <si>
    <t>1424, 1637</t>
  </si>
  <si>
    <t>Agus Putri</t>
  </si>
  <si>
    <t>122, 3162</t>
  </si>
  <si>
    <t>Sinta Rahayu</t>
  </si>
  <si>
    <t>3169, 1418</t>
  </si>
  <si>
    <t>Rudi Susanto</t>
  </si>
  <si>
    <t>117, 122</t>
  </si>
  <si>
    <t>Fajar Saputra</t>
  </si>
  <si>
    <t>1644, 3165</t>
  </si>
  <si>
    <t>Fajar Setiawan</t>
  </si>
  <si>
    <t>1639, 1423</t>
  </si>
  <si>
    <t>Dian Setiawan</t>
  </si>
  <si>
    <t>1553, 3168</t>
  </si>
  <si>
    <t>3168, 1424</t>
  </si>
  <si>
    <t>Maya Hidayat</t>
  </si>
  <si>
    <t>1647, 113</t>
  </si>
  <si>
    <t>Budi Kurniawan</t>
  </si>
  <si>
    <t>1418, 1638</t>
  </si>
  <si>
    <t>Budi Hartono</t>
  </si>
  <si>
    <t>3163, 119</t>
  </si>
  <si>
    <t>Dian Nurhayati</t>
  </si>
  <si>
    <t>1526, 111</t>
  </si>
  <si>
    <t>Sinta Saputra</t>
  </si>
  <si>
    <t>1648, 1652</t>
  </si>
  <si>
    <t>Lina Kusuma</t>
  </si>
  <si>
    <t>122, 1531</t>
  </si>
  <si>
    <t>1652, 117</t>
  </si>
  <si>
    <t>3455, 1421</t>
  </si>
  <si>
    <t>1313, 1636</t>
  </si>
  <si>
    <t>Hadi Hadiwijaya</t>
  </si>
  <si>
    <t>1333, 1421</t>
  </si>
  <si>
    <t>Lina Nugroho</t>
  </si>
  <si>
    <t>1528, 3163</t>
  </si>
  <si>
    <t>Dewi Nugroho</t>
  </si>
  <si>
    <t>1313, 1647</t>
  </si>
  <si>
    <t>Budi Susanto</t>
  </si>
  <si>
    <t>111, 1420</t>
  </si>
  <si>
    <t>Bambang Purnama</t>
  </si>
  <si>
    <t>1423, 3169</t>
  </si>
  <si>
    <t>Agus Pratama</t>
  </si>
  <si>
    <t>1416, 1417</t>
  </si>
  <si>
    <t>Fajar Nurhayati</t>
  </si>
  <si>
    <t>122, 1530</t>
  </si>
  <si>
    <t>Fandi Hermawan</t>
  </si>
  <si>
    <t>1636, 1519</t>
  </si>
  <si>
    <t>Lina Kurniawan</t>
  </si>
  <si>
    <t>1418, 1110</t>
  </si>
  <si>
    <t>Dian Saputra</t>
  </si>
  <si>
    <t>122, 1417</t>
  </si>
  <si>
    <t>Andi Sari</t>
  </si>
  <si>
    <t>1424, 1427</t>
  </si>
  <si>
    <t>Andi Santoso</t>
  </si>
  <si>
    <t>1529, 3454</t>
  </si>
  <si>
    <t>Dian Kurniawan</t>
  </si>
  <si>
    <t>1641, 1650</t>
  </si>
  <si>
    <t>Fajar Putri</t>
  </si>
  <si>
    <t>3657, 1644</t>
  </si>
  <si>
    <t>Maya Hermawan</t>
  </si>
  <si>
    <t>1421, 1425</t>
  </si>
  <si>
    <t>Siti Septiani</t>
  </si>
  <si>
    <t>1424, 1639</t>
  </si>
  <si>
    <t>Ani Hartono</t>
  </si>
  <si>
    <t>1313, 1526</t>
  </si>
  <si>
    <t>114, 1424</t>
  </si>
  <si>
    <t>3658, 3658</t>
  </si>
  <si>
    <t>118, 1638</t>
  </si>
  <si>
    <t>1334, 1332</t>
  </si>
  <si>
    <t>Andi Hadiwijaya</t>
  </si>
  <si>
    <t>113, 3454</t>
  </si>
  <si>
    <t>1526, 1529</t>
  </si>
  <si>
    <t>Siti Nugroho</t>
  </si>
  <si>
    <t>111, 1421</t>
  </si>
  <si>
    <t>1647, 3165</t>
  </si>
  <si>
    <t>1519, 1531</t>
  </si>
  <si>
    <t>1640, 1313</t>
  </si>
  <si>
    <t>Bambang Saputra</t>
  </si>
  <si>
    <t>1643, 1212</t>
  </si>
  <si>
    <t>Siti Setiawan</t>
  </si>
  <si>
    <t>3356, 1553</t>
  </si>
  <si>
    <t>3659, 3167</t>
  </si>
  <si>
    <t>Fajar Santoso</t>
  </si>
  <si>
    <t>113, 1416</t>
  </si>
  <si>
    <t>Rudi Hermawan</t>
  </si>
  <si>
    <t>1641, 1111</t>
  </si>
  <si>
    <t>Joko Hadiwijaya</t>
  </si>
  <si>
    <t>1417, 1652</t>
  </si>
  <si>
    <t>Dina Wijaya</t>
  </si>
  <si>
    <t>1421, 3162</t>
  </si>
  <si>
    <t>3454, 3164</t>
  </si>
  <si>
    <t>Rudi Purnama</t>
  </si>
  <si>
    <t>1640, 1519</t>
  </si>
  <si>
    <t>Dewi Susanto</t>
  </si>
  <si>
    <t>1333, 1648</t>
  </si>
  <si>
    <t>Dian Sari</t>
  </si>
  <si>
    <t>3163, 1645</t>
  </si>
  <si>
    <t>3167, 1427</t>
  </si>
  <si>
    <t>Rudi Putri</t>
  </si>
  <si>
    <t>1335, 1645</t>
  </si>
  <si>
    <t>1519, 1421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</si>
</sst>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quot;$&quot;#,##0.00"/>
    <numFmt numFmtId="166" formatCode="#,##0.0000000"/>
    <numFmt numFmtId="167" formatCode="d mmmm yyyy"/>
  </numFmts>
  <fonts count="14">
    <font>
      <sz val="10.0"/>
      <color rgb="FF000000"/>
      <name val="Arial"/>
      <scheme val="minor"/>
    </font>
    <font>
      <sz val="10.0"/>
      <color rgb="FF000000"/>
      <name val="Arial"/>
    </font>
    <font>
      <color theme="1"/>
      <name val="Arial"/>
      <scheme val="minor"/>
    </font>
    <font>
      <b/>
      <sz val="10.0"/>
      <color theme="1"/>
      <name val="Arial"/>
      <scheme val="minor"/>
    </font>
    <font>
      <b/>
      <color theme="1"/>
      <name val="Arial"/>
      <scheme val="minor"/>
    </font>
    <font>
      <sz val="10.0"/>
      <color theme="1"/>
      <name val="Arial"/>
      <scheme val="minor"/>
    </font>
    <font>
      <sz val="10.0"/>
      <color rgb="FF03121A"/>
      <name val="Arial"/>
      <scheme val="minor"/>
    </font>
    <font>
      <sz val="12.0"/>
      <color theme="1"/>
      <name val="Calibri"/>
    </font>
    <font>
      <sz val="12.0"/>
      <color rgb="FF1F1F1F"/>
      <name val="&quot;Google Sans&quot;"/>
    </font>
    <font>
      <color rgb="FF000000"/>
      <name val="Arial"/>
    </font>
    <font>
      <color rgb="FF1F1F1F"/>
      <name val="Arial"/>
      <scheme val="minor"/>
    </font>
    <font>
      <b/>
      <color theme="1"/>
      <name val="Arial"/>
    </font>
    <font>
      <color theme="1"/>
      <name val="Arial"/>
    </font>
    <font>
      <b/>
      <sz val="10.0"/>
      <color rgb="FF000000"/>
      <name val="Arial"/>
      <scheme val="minor"/>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6">
    <border/>
    <border>
      <left style="thin">
        <color rgb="FFDDDDDD"/>
      </left>
      <right style="thin">
        <color rgb="FFDDDDDD"/>
      </right>
      <bottom style="thin">
        <color rgb="FFDDDDDD"/>
      </bottom>
    </border>
    <border>
      <right style="thin">
        <color rgb="FFDDDDDD"/>
      </right>
      <bottom style="thin">
        <color rgb="FFDDDDDD"/>
      </bottom>
    </border>
    <border>
      <right style="thin">
        <color rgb="FFDDDDDD"/>
      </right>
      <bottom style="thin">
        <color rgb="FF000000"/>
      </bottom>
    </border>
    <border>
      <bottom style="thin">
        <color rgb="FF000000"/>
      </bottom>
    </border>
    <border>
      <left style="thin">
        <color rgb="FFDDDDDD"/>
      </left>
      <right style="thin">
        <color rgb="FFDDDDDD"/>
      </right>
      <top style="thin">
        <color rgb="FFDDDDDD"/>
      </top>
      <bottom style="thin">
        <color rgb="FFDDDDDD"/>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0" numFmtId="0" xfId="0" applyAlignment="1" applyFont="1">
      <alignment horizontal="center" readingOrder="0" vertical="center"/>
    </xf>
    <xf borderId="0" fillId="0" fontId="0" numFmtId="164" xfId="0" applyAlignment="1" applyFont="1" applyNumberFormat="1">
      <alignment horizontal="center" readingOrder="0" vertical="center"/>
    </xf>
    <xf borderId="0" fillId="0" fontId="0" numFmtId="0" xfId="0" applyAlignment="1" applyFont="1">
      <alignment horizontal="center" readingOrder="0" shrinkToFit="0" vertical="center" wrapText="0"/>
    </xf>
    <xf borderId="0" fillId="2" fontId="1" numFmtId="49" xfId="0" applyAlignment="1" applyFill="1" applyFont="1" applyNumberFormat="1">
      <alignment horizontal="center" vertical="center"/>
    </xf>
    <xf borderId="0" fillId="0" fontId="1" numFmtId="0" xfId="0" applyAlignment="1" applyFont="1">
      <alignment horizontal="center" vertical="center"/>
    </xf>
    <xf borderId="0" fillId="0" fontId="2" numFmtId="0" xfId="0" applyAlignment="1" applyFont="1">
      <alignment horizontal="center" vertical="center"/>
    </xf>
    <xf borderId="1" fillId="0" fontId="0" numFmtId="1" xfId="0" applyAlignment="1" applyBorder="1" applyFont="1" applyNumberFormat="1">
      <alignment horizontal="center" vertical="center"/>
    </xf>
    <xf borderId="2" fillId="0" fontId="0" numFmtId="164" xfId="0" applyAlignment="1" applyBorder="1" applyFont="1" applyNumberFormat="1">
      <alignment horizontal="center" readingOrder="0" vertical="center"/>
    </xf>
    <xf borderId="2" fillId="0" fontId="0" numFmtId="0" xfId="0" applyAlignment="1" applyBorder="1" applyFont="1">
      <alignment horizontal="left" readingOrder="0" shrinkToFit="0" vertical="center" wrapText="0"/>
    </xf>
    <xf borderId="2" fillId="0" fontId="0" numFmtId="0" xfId="0" applyAlignment="1" applyBorder="1" applyFont="1">
      <alignment horizontal="left" readingOrder="0" shrinkToFit="0" vertical="center" wrapText="0"/>
    </xf>
    <xf borderId="3" fillId="0" fontId="0" numFmtId="1" xfId="0" applyAlignment="1" applyBorder="1" applyFont="1" applyNumberFormat="1">
      <alignment horizontal="center" vertical="center"/>
    </xf>
    <xf borderId="3" fillId="0" fontId="0" numFmtId="164" xfId="0" applyAlignment="1" applyBorder="1" applyFont="1" applyNumberFormat="1">
      <alignment horizontal="center" readingOrder="0" vertical="center"/>
    </xf>
    <xf borderId="3" fillId="0" fontId="0" numFmtId="0" xfId="0" applyAlignment="1" applyBorder="1" applyFont="1">
      <alignment horizontal="left" readingOrder="0" shrinkToFit="0" vertical="center" wrapText="0"/>
    </xf>
    <xf borderId="4" fillId="0" fontId="2" numFmtId="0" xfId="0" applyBorder="1" applyFont="1"/>
    <xf borderId="5" fillId="0" fontId="0" numFmtId="1" xfId="0" applyAlignment="1" applyBorder="1" applyFont="1" applyNumberFormat="1">
      <alignment horizontal="center" vertical="center"/>
    </xf>
    <xf borderId="5" fillId="0" fontId="0" numFmtId="164" xfId="0" applyAlignment="1" applyBorder="1" applyFont="1" applyNumberFormat="1">
      <alignment horizontal="center" readingOrder="0" vertical="center"/>
    </xf>
    <xf borderId="5" fillId="0" fontId="0" numFmtId="0" xfId="0" applyAlignment="1" applyBorder="1" applyFont="1">
      <alignment horizontal="left" readingOrder="0" shrinkToFit="0" vertical="center" wrapText="0"/>
    </xf>
    <xf borderId="5" fillId="0" fontId="0" numFmtId="0" xfId="0" applyAlignment="1" applyBorder="1" applyFont="1">
      <alignment horizontal="left" shrinkToFit="0" vertical="center" wrapText="0"/>
    </xf>
    <xf borderId="0" fillId="0" fontId="2" numFmtId="0" xfId="0" applyAlignment="1" applyFont="1">
      <alignment shrinkToFit="0" wrapText="0"/>
    </xf>
    <xf borderId="0" fillId="0" fontId="0" numFmtId="1" xfId="0" applyAlignment="1" applyFont="1" applyNumberFormat="1">
      <alignment horizontal="center" vertical="center"/>
    </xf>
    <xf borderId="0" fillId="0" fontId="0" numFmtId="0" xfId="0" applyAlignment="1" applyFont="1">
      <alignment horizontal="left" readingOrder="0" shrinkToFit="0" vertical="center" wrapText="0"/>
    </xf>
    <xf borderId="0" fillId="0" fontId="0" numFmtId="0" xfId="0" applyAlignment="1" applyFont="1">
      <alignment horizontal="left" shrinkToFit="0" vertical="center" wrapText="0"/>
    </xf>
    <xf borderId="0" fillId="2" fontId="1" numFmtId="0" xfId="0" applyAlignment="1" applyFont="1">
      <alignment horizontal="center" vertical="center"/>
    </xf>
    <xf borderId="0" fillId="0" fontId="2" numFmtId="0" xfId="0" applyAlignment="1" applyFont="1">
      <alignment readingOrder="0"/>
    </xf>
    <xf borderId="0" fillId="0" fontId="3" numFmtId="49" xfId="0" applyAlignment="1" applyFont="1" applyNumberFormat="1">
      <alignment horizontal="center" readingOrder="0"/>
    </xf>
    <xf borderId="0" fillId="0" fontId="3" numFmtId="0" xfId="0" applyAlignment="1" applyFont="1">
      <alignment horizontal="center" readingOrder="0"/>
    </xf>
    <xf borderId="0" fillId="0" fontId="3" numFmtId="0" xfId="0" applyAlignment="1" applyFont="1">
      <alignment vertical="bottom"/>
    </xf>
    <xf borderId="0" fillId="0" fontId="3" numFmtId="0" xfId="0" applyAlignment="1" applyFont="1">
      <alignment readingOrder="0" shrinkToFit="0" wrapText="0"/>
    </xf>
    <xf borderId="0" fillId="0" fontId="3" numFmtId="1" xfId="0" applyAlignment="1" applyFont="1" applyNumberFormat="1">
      <alignment readingOrder="0"/>
    </xf>
    <xf borderId="0" fillId="0" fontId="3" numFmtId="0" xfId="0" applyAlignment="1" applyFont="1">
      <alignment readingOrder="0"/>
    </xf>
    <xf borderId="0" fillId="0" fontId="3" numFmtId="165" xfId="0" applyAlignment="1" applyFont="1" applyNumberFormat="1">
      <alignment vertical="bottom"/>
    </xf>
    <xf borderId="0" fillId="0" fontId="3" numFmtId="0" xfId="0" applyFont="1"/>
    <xf borderId="0" fillId="0" fontId="4" numFmtId="0" xfId="0" applyFont="1"/>
    <xf borderId="0" fillId="0" fontId="5" numFmtId="49" xfId="0" applyAlignment="1" applyFont="1" applyNumberFormat="1">
      <alignment horizontal="center" readingOrder="0"/>
    </xf>
    <xf borderId="0" fillId="0" fontId="5" numFmtId="0" xfId="0" applyAlignment="1" applyFont="1">
      <alignment horizontal="center" readingOrder="0"/>
    </xf>
    <xf borderId="0" fillId="0" fontId="5" numFmtId="0" xfId="0" applyAlignment="1" applyFont="1">
      <alignment readingOrder="0" vertical="bottom"/>
    </xf>
    <xf borderId="0" fillId="0" fontId="5" numFmtId="0" xfId="0" applyAlignment="1" applyFont="1">
      <alignment readingOrder="0" shrinkToFit="0" wrapText="0"/>
    </xf>
    <xf borderId="0" fillId="0" fontId="5" numFmtId="1" xfId="0" applyAlignment="1" applyFont="1" applyNumberFormat="1">
      <alignment readingOrder="0"/>
    </xf>
    <xf borderId="0" fillId="0" fontId="5" numFmtId="0" xfId="0" applyAlignment="1" applyFont="1">
      <alignment readingOrder="0"/>
    </xf>
    <xf borderId="0" fillId="0" fontId="5" numFmtId="165" xfId="0" applyAlignment="1" applyFont="1" applyNumberFormat="1">
      <alignment vertical="bottom"/>
    </xf>
    <xf borderId="0" fillId="0" fontId="5" numFmtId="0" xfId="0" applyFont="1"/>
    <xf borderId="0" fillId="0" fontId="2" numFmtId="0" xfId="0" applyFont="1"/>
    <xf borderId="0" fillId="0" fontId="5" numFmtId="0" xfId="0" applyAlignment="1" applyFont="1">
      <alignment vertical="bottom"/>
    </xf>
    <xf borderId="0" fillId="2" fontId="6" numFmtId="0" xfId="0" applyAlignment="1" applyFont="1">
      <alignment horizontal="left" readingOrder="0" shrinkToFit="0" wrapText="0"/>
    </xf>
    <xf borderId="0" fillId="0" fontId="5" numFmtId="165" xfId="0" applyAlignment="1" applyFont="1" applyNumberFormat="1">
      <alignment readingOrder="0"/>
    </xf>
    <xf borderId="0" fillId="0" fontId="5" numFmtId="166" xfId="0" applyAlignment="1" applyFont="1" applyNumberFormat="1">
      <alignment readingOrder="0"/>
    </xf>
    <xf borderId="0" fillId="0" fontId="5" numFmtId="49" xfId="0" applyAlignment="1" applyFont="1" applyNumberFormat="1">
      <alignment readingOrder="0"/>
    </xf>
    <xf borderId="0" fillId="0" fontId="5" numFmtId="167" xfId="0" applyAlignment="1" applyFont="1" applyNumberFormat="1">
      <alignment readingOrder="0"/>
    </xf>
    <xf borderId="0" fillId="0" fontId="5" numFmtId="165" xfId="0" applyAlignment="1" applyFont="1" applyNumberFormat="1">
      <alignment readingOrder="0" vertical="bottom"/>
    </xf>
    <xf borderId="0" fillId="0" fontId="5" numFmtId="0" xfId="0" applyAlignment="1" applyFont="1">
      <alignment shrinkToFit="0" vertical="bottom" wrapText="0"/>
    </xf>
    <xf borderId="0" fillId="0" fontId="5" numFmtId="0" xfId="0" applyAlignment="1" applyFont="1">
      <alignment readingOrder="0" shrinkToFit="0" vertical="bottom" wrapText="0"/>
    </xf>
    <xf borderId="0" fillId="0" fontId="5" numFmtId="3" xfId="0" applyAlignment="1" applyFont="1" applyNumberFormat="1">
      <alignment readingOrder="0"/>
    </xf>
    <xf borderId="0" fillId="2" fontId="0" numFmtId="49" xfId="0" applyAlignment="1" applyFont="1" applyNumberFormat="1">
      <alignment horizontal="right" readingOrder="0"/>
    </xf>
    <xf borderId="0" fillId="0" fontId="2" numFmtId="0" xfId="0" applyAlignment="1" applyFont="1">
      <alignment horizontal="center" readingOrder="0"/>
    </xf>
    <xf borderId="0" fillId="0" fontId="7" numFmtId="0" xfId="0" applyAlignment="1" applyFont="1">
      <alignment readingOrder="0" vertical="bottom"/>
    </xf>
    <xf borderId="0" fillId="2" fontId="8" numFmtId="0" xfId="0" applyAlignment="1" applyFont="1">
      <alignment horizontal="left" readingOrder="0"/>
    </xf>
    <xf borderId="0" fillId="0" fontId="2" numFmtId="49" xfId="0" applyFont="1" applyNumberFormat="1"/>
    <xf borderId="0" fillId="0" fontId="2" numFmtId="167" xfId="0" applyAlignment="1" applyFont="1" applyNumberFormat="1">
      <alignment readingOrder="0"/>
    </xf>
    <xf borderId="0" fillId="0" fontId="2" numFmtId="165" xfId="0" applyAlignment="1" applyFont="1" applyNumberFormat="1">
      <alignment readingOrder="0"/>
    </xf>
    <xf borderId="0" fillId="2" fontId="9" numFmtId="49" xfId="0" applyAlignment="1" applyFont="1" applyNumberFormat="1">
      <alignment horizontal="right" readingOrder="0"/>
    </xf>
    <xf borderId="0" fillId="0" fontId="2" numFmtId="167" xfId="0" applyFont="1" applyNumberFormat="1"/>
    <xf borderId="0" fillId="0" fontId="2" numFmtId="165" xfId="0" applyFont="1" applyNumberFormat="1"/>
    <xf borderId="0" fillId="0" fontId="10" numFmtId="0" xfId="0" applyAlignment="1" applyFont="1">
      <alignment readingOrder="0"/>
    </xf>
    <xf borderId="0" fillId="0" fontId="10" numFmtId="0" xfId="0" applyAlignment="1" applyFont="1">
      <alignment horizontal="center" readingOrder="0"/>
    </xf>
    <xf borderId="0" fillId="0" fontId="10" numFmtId="49" xfId="0" applyAlignment="1" applyFont="1" applyNumberFormat="1">
      <alignment readingOrder="0"/>
    </xf>
    <xf borderId="0" fillId="0" fontId="2" numFmtId="49" xfId="0" applyAlignment="1" applyFont="1" applyNumberFormat="1">
      <alignment horizontal="center"/>
    </xf>
    <xf borderId="0" fillId="0" fontId="2" numFmtId="0" xfId="0" applyAlignment="1" applyFont="1">
      <alignment horizontal="center"/>
    </xf>
    <xf borderId="0" fillId="0" fontId="10" numFmtId="0" xfId="0" applyFont="1"/>
    <xf borderId="0" fillId="0" fontId="7" numFmtId="0" xfId="0" applyFont="1"/>
    <xf borderId="0" fillId="3" fontId="5" numFmtId="49" xfId="0" applyAlignment="1" applyFill="1" applyFont="1" applyNumberFormat="1">
      <alignment horizontal="center" readingOrder="0"/>
    </xf>
    <xf borderId="0" fillId="3" fontId="5" numFmtId="0" xfId="0" applyAlignment="1" applyFont="1">
      <alignment readingOrder="0" vertical="bottom"/>
    </xf>
    <xf borderId="0" fillId="3" fontId="5" numFmtId="0" xfId="0" applyAlignment="1" applyFont="1">
      <alignment horizontal="center" readingOrder="0"/>
    </xf>
    <xf borderId="0" fillId="3" fontId="5" numFmtId="0" xfId="0" applyAlignment="1" applyFont="1">
      <alignment shrinkToFit="0" vertical="bottom" wrapText="0"/>
    </xf>
    <xf borderId="0" fillId="3" fontId="5" numFmtId="49" xfId="0" applyAlignment="1" applyFont="1" applyNumberFormat="1">
      <alignment readingOrder="0"/>
    </xf>
    <xf borderId="0" fillId="3" fontId="5" numFmtId="0" xfId="0" applyAlignment="1" applyFont="1">
      <alignment readingOrder="0"/>
    </xf>
    <xf borderId="0" fillId="3" fontId="5" numFmtId="165" xfId="0" applyAlignment="1" applyFont="1" applyNumberFormat="1">
      <alignment readingOrder="0" vertical="bottom"/>
    </xf>
    <xf borderId="0" fillId="3" fontId="2" numFmtId="0" xfId="0" applyFont="1"/>
    <xf borderId="0" fillId="3" fontId="5" numFmtId="0" xfId="0" applyAlignment="1" applyFont="1">
      <alignment readingOrder="0" shrinkToFit="0" vertical="bottom" wrapText="0"/>
    </xf>
    <xf borderId="0" fillId="3" fontId="5" numFmtId="167" xfId="0" applyAlignment="1" applyFont="1" applyNumberFormat="1">
      <alignment readingOrder="0"/>
    </xf>
    <xf borderId="0" fillId="0" fontId="11" numFmtId="0" xfId="0" applyAlignment="1" applyFont="1">
      <alignment horizontal="center" readingOrder="0"/>
    </xf>
    <xf borderId="0" fillId="0" fontId="11" numFmtId="0" xfId="0" applyAlignment="1" applyFont="1">
      <alignment horizontal="center"/>
    </xf>
    <xf borderId="0" fillId="0" fontId="11" numFmtId="4" xfId="0" applyAlignment="1" applyFont="1" applyNumberFormat="1">
      <alignment horizontal="center" readingOrder="0"/>
    </xf>
    <xf borderId="0" fillId="0" fontId="11" numFmtId="0" xfId="0" applyAlignment="1" applyFont="1">
      <alignment horizontal="center" readingOrder="0" shrinkToFit="0" wrapText="0"/>
    </xf>
    <xf borderId="0" fillId="0" fontId="12" numFmtId="0" xfId="0" applyAlignment="1" applyFont="1">
      <alignment vertical="bottom"/>
    </xf>
    <xf borderId="0" fillId="0" fontId="12" numFmtId="0" xfId="0" applyAlignment="1" applyFont="1">
      <alignment horizontal="center" readingOrder="0"/>
    </xf>
    <xf borderId="0" fillId="0" fontId="12" numFmtId="0" xfId="0" applyAlignment="1" applyFont="1">
      <alignment horizontal="center"/>
    </xf>
    <xf borderId="0" fillId="0" fontId="12" numFmtId="0" xfId="0" applyFont="1"/>
    <xf borderId="0" fillId="0" fontId="12" numFmtId="0" xfId="0" applyFont="1"/>
    <xf borderId="0" fillId="0" fontId="12" numFmtId="4" xfId="0" applyAlignment="1" applyFont="1" applyNumberFormat="1">
      <alignment horizontal="center"/>
    </xf>
    <xf borderId="0" fillId="0" fontId="12" numFmtId="0" xfId="0" applyAlignment="1" applyFont="1">
      <alignment horizontal="center"/>
    </xf>
    <xf borderId="0" fillId="2" fontId="13" numFmtId="0" xfId="0" applyAlignment="1" applyFont="1">
      <alignment horizontal="center" vertical="center"/>
    </xf>
    <xf borderId="0" fillId="0" fontId="3" numFmtId="0" xfId="0" applyAlignment="1" applyFont="1">
      <alignment horizontal="center" vertical="center"/>
    </xf>
    <xf borderId="0" fillId="0" fontId="5" numFmtId="0" xfId="0" applyAlignment="1" applyFont="1">
      <alignment horizontal="center" vertical="center"/>
    </xf>
    <xf borderId="0" fillId="0" fontId="3" numFmtId="0" xfId="0" applyAlignment="1" applyFont="1">
      <alignment horizontal="center" readingOrder="0" vertical="center"/>
    </xf>
    <xf borderId="0" fillId="0" fontId="5" numFmtId="0" xfId="0" applyAlignment="1" applyFont="1">
      <alignment horizontal="center" readingOrder="0" vertical="center"/>
    </xf>
    <xf borderId="0" fillId="0" fontId="5"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 width="17.13"/>
    <col customWidth="1" min="8" max="8" width="17.5"/>
    <col customWidth="1" min="9" max="9" width="75.5"/>
  </cols>
  <sheetData>
    <row r="1">
      <c r="A1" s="1" t="s">
        <v>0</v>
      </c>
      <c r="B1" s="1" t="s">
        <v>1</v>
      </c>
      <c r="C1" s="1" t="s">
        <v>2</v>
      </c>
      <c r="D1" s="1" t="s">
        <v>3</v>
      </c>
      <c r="E1" s="1" t="s">
        <v>4</v>
      </c>
      <c r="F1" s="1" t="s">
        <v>5</v>
      </c>
      <c r="G1" s="2" t="s">
        <v>6</v>
      </c>
      <c r="H1" s="3" t="s">
        <v>7</v>
      </c>
      <c r="I1" s="4" t="s">
        <v>8</v>
      </c>
    </row>
    <row r="2">
      <c r="A2" s="5" t="str">
        <f t="array" ref="A2">INDEX(event_table!$A$2:$A$69, RANDBETWEEN(1, COUNTA(event_table!$A$2:$A$69)))</f>
        <v>3166</v>
      </c>
      <c r="B2" s="6">
        <f t="array" ref="B2">IFERROR(INDEX(event_table!$E$1:$E3686,MATCH(A2,event_table!$A$1:$A3686,0)),"")
</f>
        <v>1</v>
      </c>
      <c r="C2" s="7">
        <f t="shared" ref="C2:C3246" si="1">RANDBETWEEN(1, 200)
</f>
        <v>122</v>
      </c>
      <c r="D2" s="6" t="str">
        <f t="array" ref="D2">IFERROR(INDEX(user_table!$C$2:$C3686,MATCH(C2,user_table!$B$2:$B3686,0)),"")
</f>
        <v>Maya Setiawan</v>
      </c>
      <c r="E2" s="6" t="str">
        <f t="array" ref="E2">IFERROR(INDEX(user_table!$E$2:$E3686,MATCH(C2,user_table!$B$2:$B3686,0)),"")
</f>
        <v>2, 3</v>
      </c>
      <c r="F2" s="6" t="str">
        <f t="shared" ref="F2:F3246" si="2">A2&amp;""&amp;G2&amp;""&amp;B2&amp;""&amp;C2</f>
        <v>316651122</v>
      </c>
      <c r="G2" s="8">
        <v>5.0</v>
      </c>
      <c r="H2" s="9">
        <v>44735.0</v>
      </c>
      <c r="I2" s="10" t="s">
        <v>9</v>
      </c>
    </row>
    <row r="3">
      <c r="A3" s="5" t="str">
        <f t="array" ref="A3">INDEX(event_table!$A$2:$A$69, RANDBETWEEN(1, COUNTA(event_table!$A$2:$A$69)))</f>
        <v>3162</v>
      </c>
      <c r="B3" s="6">
        <f t="array" ref="B3">IFERROR(INDEX(event_table!$E$1:$E3686,MATCH(A3,event_table!$A$1:$A3686,0)),"")
</f>
        <v>1</v>
      </c>
      <c r="C3" s="7">
        <f t="shared" si="1"/>
        <v>36</v>
      </c>
      <c r="D3" s="6" t="str">
        <f t="array" ref="D3">IFERROR(INDEX(user_table!$C$2:$C3686,MATCH(C3,user_table!$B$2:$B3686,0)),"")
</f>
        <v>Arif Susanto</v>
      </c>
      <c r="E3" s="6" t="str">
        <f t="array" ref="E3">IFERROR(INDEX(user_table!$E$2:$E3686,MATCH(C3,user_table!$B$2:$B3686,0)),"")
</f>
        <v>3, 5</v>
      </c>
      <c r="F3" s="6" t="str">
        <f t="shared" si="2"/>
        <v>31625136</v>
      </c>
      <c r="G3" s="8">
        <v>5.0</v>
      </c>
      <c r="H3" s="9">
        <v>44712.0</v>
      </c>
      <c r="I3" s="10" t="s">
        <v>10</v>
      </c>
    </row>
    <row r="4">
      <c r="A4" s="5" t="str">
        <f t="array" ref="A4">INDEX(event_table!$A$2:$A$69, RANDBETWEEN(1, COUNTA(event_table!$A$2:$A$69)))</f>
        <v>1212</v>
      </c>
      <c r="B4" s="6">
        <f t="array" ref="B4">IFERROR(INDEX(event_table!$E$1:$E3686,MATCH(A4,event_table!$A$1:$A3686,0)),"")
</f>
        <v>2</v>
      </c>
      <c r="C4" s="7">
        <f t="shared" si="1"/>
        <v>132</v>
      </c>
      <c r="D4" s="6" t="str">
        <f t="array" ref="D4">IFERROR(INDEX(user_table!$C$2:$C3686,MATCH(C4,user_table!$B$2:$B3686,0)),"")
</f>
        <v>Joko Hartono</v>
      </c>
      <c r="E4" s="6" t="str">
        <f t="array" ref="E4">IFERROR(INDEX(user_table!$E$2:$E3686,MATCH(C4,user_table!$B$2:$B3686,0)),"")
</f>
        <v>1, 3</v>
      </c>
      <c r="F4" s="6" t="str">
        <f t="shared" si="2"/>
        <v>121252132</v>
      </c>
      <c r="G4" s="8">
        <v>5.0</v>
      </c>
      <c r="H4" s="9">
        <v>44709.0</v>
      </c>
      <c r="I4" s="10" t="s">
        <v>11</v>
      </c>
    </row>
    <row r="5">
      <c r="A5" s="5" t="str">
        <f t="array" ref="A5">INDEX(event_table!$A$2:$A$69, RANDBETWEEN(1, COUNTA(event_table!$A$2:$A$69)))</f>
        <v>3657</v>
      </c>
      <c r="B5" s="6">
        <f t="array" ref="B5">IFERROR(INDEX(event_table!$E$1:$E3686,MATCH(A5,event_table!$A$1:$A3686,0)),"")
</f>
        <v>6</v>
      </c>
      <c r="C5" s="7">
        <f t="shared" si="1"/>
        <v>164</v>
      </c>
      <c r="D5" s="6" t="str">
        <f t="array" ref="D5">IFERROR(INDEX(user_table!$C$2:$C3686,MATCH(C5,user_table!$B$2:$B3686,0)),"")
</f>
        <v>Bambang Purnama</v>
      </c>
      <c r="E5" s="6" t="str">
        <f t="array" ref="E5">IFERROR(INDEX(user_table!$E$2:$E3686,MATCH(C5,user_table!$B$2:$B3686,0)),"")
</f>
        <v>2, 3</v>
      </c>
      <c r="F5" s="6" t="str">
        <f t="shared" si="2"/>
        <v>365756164</v>
      </c>
      <c r="G5" s="8">
        <v>5.0</v>
      </c>
      <c r="H5" s="9">
        <v>44684.0</v>
      </c>
      <c r="I5" s="10" t="s">
        <v>12</v>
      </c>
    </row>
    <row r="6">
      <c r="A6" s="5" t="str">
        <f t="array" ref="A6">INDEX(event_table!$A$2:$A$69, RANDBETWEEN(1, COUNTA(event_table!$A$2:$A$69)))</f>
        <v>1528</v>
      </c>
      <c r="B6" s="6">
        <f t="array" ref="B6">IFERROR(INDEX(event_table!$E$1:$E3686,MATCH(A6,event_table!$A$1:$A3686,0)),"")
</f>
        <v>5</v>
      </c>
      <c r="C6" s="7">
        <f t="shared" si="1"/>
        <v>110</v>
      </c>
      <c r="D6" s="6" t="str">
        <f t="array" ref="D6">IFERROR(INDEX(user_table!$C$2:$C3686,MATCH(C6,user_table!$B$2:$B3686,0)),"")
</f>
        <v>Fajar Wijaya</v>
      </c>
      <c r="E6" s="6" t="str">
        <f t="array" ref="E6">IFERROR(INDEX(user_table!$E$2:$E3686,MATCH(C6,user_table!$B$2:$B3686,0)),"")
</f>
        <v>3, 6</v>
      </c>
      <c r="F6" s="6" t="str">
        <f t="shared" si="2"/>
        <v>152855110</v>
      </c>
      <c r="G6" s="8">
        <v>5.0</v>
      </c>
      <c r="H6" s="9">
        <v>44683.0</v>
      </c>
      <c r="I6" s="10" t="s">
        <v>13</v>
      </c>
    </row>
    <row r="7">
      <c r="A7" s="5" t="str">
        <f t="array" ref="A7">INDEX(event_table!$A$2:$A$69, RANDBETWEEN(1, COUNTA(event_table!$A$2:$A$69)))</f>
        <v>1529</v>
      </c>
      <c r="B7" s="6">
        <f t="array" ref="B7">IFERROR(INDEX(event_table!$E$1:$E3686,MATCH(A7,event_table!$A$1:$A3686,0)),"")
</f>
        <v>5</v>
      </c>
      <c r="C7" s="7">
        <f t="shared" si="1"/>
        <v>50</v>
      </c>
      <c r="D7" s="6" t="str">
        <f t="array" ref="D7">IFERROR(INDEX(user_table!$C$2:$C3686,MATCH(C7,user_table!$B$2:$B3686,0)),"")
</f>
        <v>Hadi Santoso</v>
      </c>
      <c r="E7" s="6" t="str">
        <f t="array" ref="E7">IFERROR(INDEX(user_table!$E$2:$E3686,MATCH(C7,user_table!$B$2:$B3686,0)),"")
</f>
        <v>5, 4</v>
      </c>
      <c r="F7" s="6" t="str">
        <f t="shared" si="2"/>
        <v>15295550</v>
      </c>
      <c r="G7" s="8">
        <v>5.0</v>
      </c>
      <c r="H7" s="9">
        <v>44681.0</v>
      </c>
      <c r="I7" s="10" t="s">
        <v>14</v>
      </c>
    </row>
    <row r="8">
      <c r="A8" s="5" t="str">
        <f t="array" ref="A8">INDEX(event_table!$A$2:$A$69, RANDBETWEEN(1, COUNTA(event_table!$A$2:$A$69)))</f>
        <v>1639</v>
      </c>
      <c r="B8" s="6">
        <f t="array" ref="B8">IFERROR(INDEX(event_table!$E$1:$E3686,MATCH(A8,event_table!$A$1:$A3686,0)),"")
</f>
        <v>6</v>
      </c>
      <c r="C8" s="7">
        <f t="shared" si="1"/>
        <v>98</v>
      </c>
      <c r="D8" s="6" t="str">
        <f t="array" ref="D8">IFERROR(INDEX(user_table!$C$2:$C3686,MATCH(C8,user_table!$B$2:$B3686,0)),"")
</f>
        <v>Agus Hidayat</v>
      </c>
      <c r="E8" s="6" t="str">
        <f t="array" ref="E8">IFERROR(INDEX(user_table!$E$2:$E3686,MATCH(C8,user_table!$B$2:$B3686,0)),"")
</f>
        <v>3, 6</v>
      </c>
      <c r="F8" s="6" t="str">
        <f t="shared" si="2"/>
        <v>16395698</v>
      </c>
      <c r="G8" s="8">
        <v>5.0</v>
      </c>
      <c r="H8" s="9">
        <v>45120.0</v>
      </c>
      <c r="I8" s="10" t="s">
        <v>15</v>
      </c>
    </row>
    <row r="9">
      <c r="A9" s="5" t="str">
        <f t="array" ref="A9">INDEX(event_table!$A$2:$A$69, RANDBETWEEN(1, COUNTA(event_table!$A$2:$A$69)))</f>
        <v>1651</v>
      </c>
      <c r="B9" s="6">
        <f t="array" ref="B9">IFERROR(INDEX(event_table!$E$1:$E3686,MATCH(A9,event_table!$A$1:$A3686,0)),"")
</f>
        <v>6</v>
      </c>
      <c r="C9" s="7">
        <f t="shared" si="1"/>
        <v>60</v>
      </c>
      <c r="D9" s="6" t="str">
        <f t="array" ref="D9">IFERROR(INDEX(user_table!$C$2:$C3686,MATCH(C9,user_table!$B$2:$B3686,0)),"")
</f>
        <v>Rudi Septiani</v>
      </c>
      <c r="E9" s="6" t="str">
        <f t="array" ref="E9">IFERROR(INDEX(user_table!$E$2:$E3686,MATCH(C9,user_table!$B$2:$B3686,0)),"")
</f>
        <v>6, 2</v>
      </c>
      <c r="F9" s="6" t="str">
        <f t="shared" si="2"/>
        <v>16515660</v>
      </c>
      <c r="G9" s="8">
        <v>5.0</v>
      </c>
      <c r="H9" s="9">
        <v>45110.0</v>
      </c>
      <c r="I9" s="10" t="s">
        <v>16</v>
      </c>
    </row>
    <row r="10">
      <c r="A10" s="5" t="str">
        <f t="array" ref="A10">INDEX(event_table!$A$2:$A$69, RANDBETWEEN(1, COUNTA(event_table!$A$2:$A$69)))</f>
        <v>1425</v>
      </c>
      <c r="B10" s="6">
        <f t="array" ref="B10">IFERROR(INDEX(event_table!$E$1:$E3686,MATCH(A10,event_table!$A$1:$A3686,0)),"")
</f>
        <v>4</v>
      </c>
      <c r="C10" s="7">
        <f t="shared" si="1"/>
        <v>43</v>
      </c>
      <c r="D10" s="6" t="str">
        <f t="array" ref="D10">IFERROR(INDEX(user_table!$C$2:$C3686,MATCH(C10,user_table!$B$2:$B3686,0)),"")
</f>
        <v>Lina Putri</v>
      </c>
      <c r="E10" s="6" t="str">
        <f t="array" ref="E10">IFERROR(INDEX(user_table!$E$2:$E3686,MATCH(C10,user_table!$B$2:$B3686,0)),"")
</f>
        <v>1, 6</v>
      </c>
      <c r="F10" s="6" t="str">
        <f t="shared" si="2"/>
        <v>14255443</v>
      </c>
      <c r="G10" s="8">
        <v>5.0</v>
      </c>
      <c r="H10" s="9">
        <v>45089.0</v>
      </c>
      <c r="I10" s="10" t="s">
        <v>17</v>
      </c>
    </row>
    <row r="11">
      <c r="A11" s="5" t="str">
        <f t="array" ref="A11">INDEX(event_table!$A$2:$A$69, RANDBETWEEN(1, COUNTA(event_table!$A$2:$A$69)))</f>
        <v>1421</v>
      </c>
      <c r="B11" s="6">
        <f t="array" ref="B11">IFERROR(INDEX(event_table!$E$1:$E3686,MATCH(A11,event_table!$A$1:$A3686,0)),"")
</f>
        <v>4</v>
      </c>
      <c r="C11" s="7">
        <f t="shared" si="1"/>
        <v>125</v>
      </c>
      <c r="D11" s="6" t="str">
        <f t="array" ref="D11">IFERROR(INDEX(user_table!$C$2:$C3686,MATCH(C11,user_table!$B$2:$B3686,0)),"")
</f>
        <v>Fandi Hidayat</v>
      </c>
      <c r="E11" s="6" t="str">
        <f t="array" ref="E11">IFERROR(INDEX(user_table!$E$2:$E3686,MATCH(C11,user_table!$B$2:$B3686,0)),"")
</f>
        <v>5, 2</v>
      </c>
      <c r="F11" s="6" t="str">
        <f t="shared" si="2"/>
        <v>142154125</v>
      </c>
      <c r="G11" s="8">
        <v>5.0</v>
      </c>
      <c r="H11" s="9">
        <v>44950.0</v>
      </c>
      <c r="I11" s="10" t="s">
        <v>18</v>
      </c>
    </row>
    <row r="12">
      <c r="A12" s="5" t="str">
        <f t="array" ref="A12">INDEX(event_table!$A$2:$A$69, RANDBETWEEN(1, COUNTA(event_table!$A$2:$A$69)))</f>
        <v>1420</v>
      </c>
      <c r="B12" s="6">
        <f t="array" ref="B12">IFERROR(INDEX(event_table!$E$1:$E3686,MATCH(A12,event_table!$A$1:$A3686,0)),"")
</f>
        <v>4</v>
      </c>
      <c r="C12" s="7">
        <f t="shared" si="1"/>
        <v>165</v>
      </c>
      <c r="D12" s="6" t="str">
        <f t="array" ref="D12">IFERROR(INDEX(user_table!$C$2:$C3686,MATCH(C12,user_table!$B$2:$B3686,0)),"")
</f>
        <v>Agus Pratama</v>
      </c>
      <c r="E12" s="6" t="str">
        <f t="array" ref="E12">IFERROR(INDEX(user_table!$E$2:$E3686,MATCH(C12,user_table!$B$2:$B3686,0)),"")
</f>
        <v>6, 2</v>
      </c>
      <c r="F12" s="6" t="str">
        <f t="shared" si="2"/>
        <v>142054165</v>
      </c>
      <c r="G12" s="8">
        <v>5.0</v>
      </c>
      <c r="H12" s="9">
        <v>44889.0</v>
      </c>
      <c r="I12" s="10" t="s">
        <v>19</v>
      </c>
    </row>
    <row r="13">
      <c r="A13" s="5" t="str">
        <f t="array" ref="A13">INDEX(event_table!$A$2:$A$69, RANDBETWEEN(1, COUNTA(event_table!$A$2:$A$69)))</f>
        <v>1418</v>
      </c>
      <c r="B13" s="6">
        <f t="array" ref="B13">IFERROR(INDEX(event_table!$E$1:$E3686,MATCH(A13,event_table!$A$1:$A3686,0)),"")
</f>
        <v>4</v>
      </c>
      <c r="C13" s="7">
        <f t="shared" si="1"/>
        <v>98</v>
      </c>
      <c r="D13" s="6" t="str">
        <f t="array" ref="D13">IFERROR(INDEX(user_table!$C$2:$C3686,MATCH(C13,user_table!$B$2:$B3686,0)),"")
</f>
        <v>Agus Hidayat</v>
      </c>
      <c r="E13" s="6" t="str">
        <f t="array" ref="E13">IFERROR(INDEX(user_table!$E$2:$E3686,MATCH(C13,user_table!$B$2:$B3686,0)),"")
</f>
        <v>3, 6</v>
      </c>
      <c r="F13" s="6" t="str">
        <f t="shared" si="2"/>
        <v>14185498</v>
      </c>
      <c r="G13" s="8">
        <v>5.0</v>
      </c>
      <c r="H13" s="9">
        <v>44797.0</v>
      </c>
      <c r="I13" s="10" t="s">
        <v>20</v>
      </c>
    </row>
    <row r="14">
      <c r="A14" s="5" t="str">
        <f t="array" ref="A14">INDEX(event_table!$A$2:$A$69, RANDBETWEEN(1, COUNTA(event_table!$A$2:$A$69)))</f>
        <v>1425</v>
      </c>
      <c r="B14" s="6">
        <f t="array" ref="B14">IFERROR(INDEX(event_table!$E$1:$E3686,MATCH(A14,event_table!$A$1:$A3686,0)),"")
</f>
        <v>4</v>
      </c>
      <c r="C14" s="7">
        <f t="shared" si="1"/>
        <v>166</v>
      </c>
      <c r="D14" s="6" t="str">
        <f t="array" ref="D14">IFERROR(INDEX(user_table!$C$2:$C3686,MATCH(C14,user_table!$B$2:$B3686,0)),"")
</f>
        <v>Fajar Nurhayati</v>
      </c>
      <c r="E14" s="6" t="str">
        <f t="array" ref="E14">IFERROR(INDEX(user_table!$E$2:$E3686,MATCH(C14,user_table!$B$2:$B3686,0)),"")
</f>
        <v>3, 5</v>
      </c>
      <c r="F14" s="6" t="str">
        <f t="shared" si="2"/>
        <v>142554166</v>
      </c>
      <c r="G14" s="8">
        <v>5.0</v>
      </c>
      <c r="H14" s="9">
        <v>44746.0</v>
      </c>
      <c r="I14" s="10" t="s">
        <v>21</v>
      </c>
    </row>
    <row r="15">
      <c r="A15" s="5" t="str">
        <f t="array" ref="A15">INDEX(event_table!$A$2:$A$69, RANDBETWEEN(1, COUNTA(event_table!$A$2:$A$69)))</f>
        <v>3657</v>
      </c>
      <c r="B15" s="6">
        <f t="array" ref="B15">IFERROR(INDEX(event_table!$E$1:$E3686,MATCH(A15,event_table!$A$1:$A3686,0)),"")
</f>
        <v>6</v>
      </c>
      <c r="C15" s="7">
        <f t="shared" si="1"/>
        <v>119</v>
      </c>
      <c r="D15" s="6" t="str">
        <f t="array" ref="D15">IFERROR(INDEX(user_table!$C$2:$C3686,MATCH(C15,user_table!$B$2:$B3686,0)),"")
</f>
        <v>Budi Rahayu</v>
      </c>
      <c r="E15" s="6" t="str">
        <f t="array" ref="E15">IFERROR(INDEX(user_table!$E$2:$E3686,MATCH(C15,user_table!$B$2:$B3686,0)),"")
</f>
        <v>1, 2</v>
      </c>
      <c r="F15" s="6" t="str">
        <f t="shared" si="2"/>
        <v>365756119</v>
      </c>
      <c r="G15" s="8">
        <v>5.0</v>
      </c>
      <c r="H15" s="9">
        <v>44745.0</v>
      </c>
      <c r="I15" s="10" t="s">
        <v>22</v>
      </c>
    </row>
    <row r="16">
      <c r="A16" s="5" t="str">
        <f t="array" ref="A16">INDEX(event_table!$A$2:$A$69, RANDBETWEEN(1, COUNTA(event_table!$A$2:$A$69)))</f>
        <v>1313</v>
      </c>
      <c r="B16" s="6">
        <f t="array" ref="B16">IFERROR(INDEX(event_table!$E$1:$E3686,MATCH(A16,event_table!$A$1:$A3686,0)),"")
</f>
        <v>3</v>
      </c>
      <c r="C16" s="7">
        <f t="shared" si="1"/>
        <v>135</v>
      </c>
      <c r="D16" s="6" t="str">
        <f t="array" ref="D16">IFERROR(INDEX(user_table!$C$2:$C3686,MATCH(C16,user_table!$B$2:$B3686,0)),"")
</f>
        <v>Sinta Hermawan</v>
      </c>
      <c r="E16" s="6" t="str">
        <f t="array" ref="E16">IFERROR(INDEX(user_table!$E$2:$E3686,MATCH(C16,user_table!$B$2:$B3686,0)),"")
</f>
        <v>1, 5</v>
      </c>
      <c r="F16" s="6" t="str">
        <f t="shared" si="2"/>
        <v>131343135</v>
      </c>
      <c r="G16" s="8">
        <v>4.0</v>
      </c>
      <c r="H16" s="9">
        <v>44715.0</v>
      </c>
      <c r="I16" s="10" t="s">
        <v>23</v>
      </c>
    </row>
    <row r="17">
      <c r="A17" s="5" t="str">
        <f t="array" ref="A17">INDEX(event_table!$A$2:$A$69, RANDBETWEEN(1, COUNTA(event_table!$A$2:$A$69)))</f>
        <v>3163</v>
      </c>
      <c r="B17" s="6">
        <f t="array" ref="B17">IFERROR(INDEX(event_table!$E$1:$E3686,MATCH(A17,event_table!$A$1:$A3686,0)),"")
</f>
        <v>1</v>
      </c>
      <c r="C17" s="7">
        <f t="shared" si="1"/>
        <v>133</v>
      </c>
      <c r="D17" s="6" t="str">
        <f t="array" ref="D17">IFERROR(INDEX(user_table!$C$2:$C3686,MATCH(C17,user_table!$B$2:$B3686,0)),"")
</f>
        <v>Dewi Sari</v>
      </c>
      <c r="E17" s="6" t="str">
        <f t="array" ref="E17">IFERROR(INDEX(user_table!$E$2:$E3686,MATCH(C17,user_table!$B$2:$B3686,0)),"")
</f>
        <v>6, 5</v>
      </c>
      <c r="F17" s="6" t="str">
        <f t="shared" si="2"/>
        <v>316341133</v>
      </c>
      <c r="G17" s="8">
        <v>4.0</v>
      </c>
      <c r="H17" s="9">
        <v>45020.0</v>
      </c>
      <c r="I17" s="10" t="s">
        <v>24</v>
      </c>
    </row>
    <row r="18">
      <c r="A18" s="5" t="str">
        <f t="array" ref="A18">INDEX(event_table!$A$2:$A$69, RANDBETWEEN(1, COUNTA(event_table!$A$2:$A$69)))</f>
        <v>1651</v>
      </c>
      <c r="B18" s="6">
        <f t="array" ref="B18">IFERROR(INDEX(event_table!$E$1:$E3686,MATCH(A18,event_table!$A$1:$A3686,0)),"")
</f>
        <v>6</v>
      </c>
      <c r="C18" s="7">
        <f t="shared" si="1"/>
        <v>76</v>
      </c>
      <c r="D18" s="6" t="str">
        <f t="array" ref="D18">IFERROR(INDEX(user_table!$C$2:$C3686,MATCH(C18,user_table!$B$2:$B3686,0)),"")
</f>
        <v>Sinta Hidayat</v>
      </c>
      <c r="E18" s="6" t="str">
        <f t="array" ref="E18">IFERROR(INDEX(user_table!$E$2:$E3686,MATCH(C18,user_table!$B$2:$B3686,0)),"")
</f>
        <v>3, 2</v>
      </c>
      <c r="F18" s="6" t="str">
        <f t="shared" si="2"/>
        <v>16514676</v>
      </c>
      <c r="G18" s="8">
        <v>4.0</v>
      </c>
      <c r="H18" s="9">
        <v>44815.0</v>
      </c>
      <c r="I18" s="10" t="s">
        <v>25</v>
      </c>
    </row>
    <row r="19">
      <c r="A19" s="5" t="str">
        <f t="array" ref="A19">INDEX(event_table!$A$2:$A$69, RANDBETWEEN(1, COUNTA(event_table!$A$2:$A$69)))</f>
        <v>1114</v>
      </c>
      <c r="B19" s="6">
        <f t="array" ref="B19">IFERROR(INDEX(event_table!$E$1:$E3686,MATCH(A19,event_table!$A$1:$A3686,0)),"")
</f>
        <v>1</v>
      </c>
      <c r="C19" s="7">
        <f t="shared" si="1"/>
        <v>155</v>
      </c>
      <c r="D19" s="6" t="str">
        <f t="array" ref="D19">IFERROR(INDEX(user_table!$C$2:$C3686,MATCH(C19,user_table!$B$2:$B3686,0)),"")
</f>
        <v>Sinta Saputra</v>
      </c>
      <c r="E19" s="6" t="str">
        <f t="array" ref="E19">IFERROR(INDEX(user_table!$E$2:$E3686,MATCH(C19,user_table!$B$2:$B3686,0)),"")
</f>
        <v>5, 2</v>
      </c>
      <c r="F19" s="6" t="str">
        <f t="shared" si="2"/>
        <v>111441155</v>
      </c>
      <c r="G19" s="8">
        <v>4.0</v>
      </c>
      <c r="H19" s="9">
        <v>44687.0</v>
      </c>
      <c r="I19" s="10" t="s">
        <v>26</v>
      </c>
    </row>
    <row r="20">
      <c r="A20" s="5" t="str">
        <f t="array" ref="A20">INDEX(event_table!$A$2:$A$69, RANDBETWEEN(1, COUNTA(event_table!$A$2:$A$69)))</f>
        <v>1420</v>
      </c>
      <c r="B20" s="6">
        <f t="array" ref="B20">IFERROR(INDEX(event_table!$E$1:$E3686,MATCH(A20,event_table!$A$1:$A3686,0)),"")
</f>
        <v>4</v>
      </c>
      <c r="C20" s="7">
        <f t="shared" si="1"/>
        <v>116</v>
      </c>
      <c r="D20" s="6" t="str">
        <f t="array" ref="D20">IFERROR(INDEX(user_table!$C$2:$C3686,MATCH(C20,user_table!$B$2:$B3686,0)),"")
</f>
        <v>Fandi Hartono</v>
      </c>
      <c r="E20" s="6" t="str">
        <f t="array" ref="E20">IFERROR(INDEX(user_table!$E$2:$E3686,MATCH(C20,user_table!$B$2:$B3686,0)),"")
</f>
        <v>2, 1</v>
      </c>
      <c r="F20" s="6" t="str">
        <f t="shared" si="2"/>
        <v>142044116</v>
      </c>
      <c r="G20" s="8">
        <v>4.0</v>
      </c>
      <c r="H20" s="9">
        <v>45232.0</v>
      </c>
      <c r="I20" s="10" t="s">
        <v>27</v>
      </c>
    </row>
    <row r="21">
      <c r="A21" s="5" t="str">
        <f t="array" ref="A21">INDEX(event_table!$A$2:$A$69, RANDBETWEEN(1, COUNTA(event_table!$A$2:$A$69)))</f>
        <v>118</v>
      </c>
      <c r="B21" s="6">
        <f t="array" ref="B21">IFERROR(INDEX(event_table!$E$1:$E3686,MATCH(A21,event_table!$A$1:$A3686,0)),"")
</f>
        <v>1</v>
      </c>
      <c r="C21" s="7">
        <f t="shared" si="1"/>
        <v>103</v>
      </c>
      <c r="D21" s="6" t="str">
        <f t="array" ref="D21">IFERROR(INDEX(user_table!$C$2:$C3686,MATCH(C21,user_table!$B$2:$B3686,0)),"")
</f>
        <v>Hadi Sari</v>
      </c>
      <c r="E21" s="6" t="str">
        <f t="array" ref="E21">IFERROR(INDEX(user_table!$E$2:$E3686,MATCH(C21,user_table!$B$2:$B3686,0)),"")
</f>
        <v>3, 1</v>
      </c>
      <c r="F21" s="6" t="str">
        <f t="shared" si="2"/>
        <v>11841103</v>
      </c>
      <c r="G21" s="8">
        <v>4.0</v>
      </c>
      <c r="H21" s="9">
        <v>44740.0</v>
      </c>
      <c r="I21" s="10" t="s">
        <v>28</v>
      </c>
    </row>
    <row r="22">
      <c r="A22" s="5" t="str">
        <f t="array" ref="A22">INDEX(event_table!$A$2:$A$69, RANDBETWEEN(1, COUNTA(event_table!$A$2:$A$69)))</f>
        <v>1423</v>
      </c>
      <c r="B22" s="6">
        <f t="array" ref="B22">IFERROR(INDEX(event_table!$E$1:$E3686,MATCH(A22,event_table!$A$1:$A3686,0)),"")
</f>
        <v>4</v>
      </c>
      <c r="C22" s="7">
        <f t="shared" si="1"/>
        <v>145</v>
      </c>
      <c r="D22" s="6" t="str">
        <f t="array" ref="D22">IFERROR(INDEX(user_table!$C$2:$C3686,MATCH(C22,user_table!$B$2:$B3686,0)),"")
</f>
        <v>Arif Nugroho</v>
      </c>
      <c r="E22" s="6" t="str">
        <f t="array" ref="E22">IFERROR(INDEX(user_table!$E$2:$E3686,MATCH(C22,user_table!$B$2:$B3686,0)),"")
</f>
        <v>1, 4</v>
      </c>
      <c r="F22" s="6" t="str">
        <f t="shared" si="2"/>
        <v>142344145</v>
      </c>
      <c r="G22" s="8">
        <v>4.0</v>
      </c>
      <c r="H22" s="9">
        <v>44739.0</v>
      </c>
      <c r="I22" s="10" t="s">
        <v>29</v>
      </c>
    </row>
    <row r="23">
      <c r="A23" s="5" t="str">
        <f t="array" ref="A23">INDEX(event_table!$A$2:$A$69, RANDBETWEEN(1, COUNTA(event_table!$A$2:$A$69)))</f>
        <v>1636</v>
      </c>
      <c r="B23" s="6">
        <f t="array" ref="B23">IFERROR(INDEX(event_table!$E$1:$E3686,MATCH(A23,event_table!$A$1:$A3686,0)),"")
</f>
        <v>6</v>
      </c>
      <c r="C23" s="7">
        <f t="shared" si="1"/>
        <v>103</v>
      </c>
      <c r="D23" s="6" t="str">
        <f t="array" ref="D23">IFERROR(INDEX(user_table!$C$2:$C3686,MATCH(C23,user_table!$B$2:$B3686,0)),"")
</f>
        <v>Hadi Sari</v>
      </c>
      <c r="E23" s="6" t="str">
        <f t="array" ref="E23">IFERROR(INDEX(user_table!$E$2:$E3686,MATCH(C23,user_table!$B$2:$B3686,0)),"")
</f>
        <v>3, 1</v>
      </c>
      <c r="F23" s="6" t="str">
        <f t="shared" si="2"/>
        <v>163636103</v>
      </c>
      <c r="G23" s="8">
        <v>3.0</v>
      </c>
      <c r="H23" s="9">
        <v>45124.0</v>
      </c>
      <c r="I23" s="10" t="s">
        <v>30</v>
      </c>
    </row>
    <row r="24">
      <c r="A24" s="5" t="str">
        <f t="array" ref="A24">INDEX(event_table!$A$2:$A$69, RANDBETWEEN(1, COUNTA(event_table!$A$2:$A$69)))</f>
        <v>1648</v>
      </c>
      <c r="B24" s="6">
        <f t="array" ref="B24">IFERROR(INDEX(event_table!$E$1:$E3686,MATCH(A24,event_table!$A$1:$A3686,0)),"")
</f>
        <v>6</v>
      </c>
      <c r="C24" s="7">
        <f t="shared" si="1"/>
        <v>63</v>
      </c>
      <c r="D24" s="6" t="str">
        <f t="array" ref="D24">IFERROR(INDEX(user_table!$C$2:$C3686,MATCH(C24,user_table!$B$2:$B3686,0)),"")
</f>
        <v>Desi Putri</v>
      </c>
      <c r="E24" s="6" t="str">
        <f t="array" ref="E24">IFERROR(INDEX(user_table!$E$2:$E3686,MATCH(C24,user_table!$B$2:$B3686,0)),"")
</f>
        <v>2, 5</v>
      </c>
      <c r="F24" s="6" t="str">
        <f t="shared" si="2"/>
        <v>16483663</v>
      </c>
      <c r="G24" s="8">
        <v>3.0</v>
      </c>
      <c r="H24" s="9">
        <v>44726.0</v>
      </c>
      <c r="I24" s="10" t="s">
        <v>31</v>
      </c>
    </row>
    <row r="25">
      <c r="A25" s="5" t="str">
        <f t="array" ref="A25">INDEX(event_table!$A$2:$A$69, RANDBETWEEN(1, COUNTA(event_table!$A$2:$A$69)))</f>
        <v>1110</v>
      </c>
      <c r="B25" s="6">
        <f t="array" ref="B25">IFERROR(INDEX(event_table!$E$1:$E3686,MATCH(A25,event_table!$A$1:$A3686,0)),"")
</f>
        <v>1</v>
      </c>
      <c r="C25" s="7">
        <f t="shared" si="1"/>
        <v>42</v>
      </c>
      <c r="D25" s="6" t="str">
        <f t="array" ref="D25">IFERROR(INDEX(user_table!$C$2:$C3686,MATCH(C25,user_table!$B$2:$B3686,0)),"")
</f>
        <v>Desi Putri</v>
      </c>
      <c r="E25" s="6" t="str">
        <f t="array" ref="E25">IFERROR(INDEX(user_table!$E$2:$E3686,MATCH(C25,user_table!$B$2:$B3686,0)),"")
</f>
        <v>4, 6</v>
      </c>
      <c r="F25" s="6" t="str">
        <f t="shared" si="2"/>
        <v>11103142</v>
      </c>
      <c r="G25" s="8">
        <v>3.0</v>
      </c>
      <c r="H25" s="9">
        <v>44908.0</v>
      </c>
      <c r="I25" s="10" t="s">
        <v>32</v>
      </c>
    </row>
    <row r="26">
      <c r="A26" s="5" t="str">
        <f t="array" ref="A26">INDEX(event_table!$A$2:$A$69, RANDBETWEEN(1, COUNTA(event_table!$A$2:$A$69)))</f>
        <v>1639</v>
      </c>
      <c r="B26" s="6">
        <f t="array" ref="B26">IFERROR(INDEX(event_table!$E$1:$E3686,MATCH(A26,event_table!$A$1:$A3686,0)),"")
</f>
        <v>6</v>
      </c>
      <c r="C26" s="7">
        <f t="shared" si="1"/>
        <v>191</v>
      </c>
      <c r="D26" s="6" t="str">
        <f t="array" ref="D26">IFERROR(INDEX(user_table!$C$2:$C3686,MATCH(C26,user_table!$B$2:$B3686,0)),"")
</f>
        <v>Rudi Hermawan</v>
      </c>
      <c r="E26" s="6" t="str">
        <f t="array" ref="E26">IFERROR(INDEX(user_table!$E$2:$E3686,MATCH(C26,user_table!$B$2:$B3686,0)),"")
</f>
        <v>5, 6</v>
      </c>
      <c r="F26" s="6" t="str">
        <f t="shared" si="2"/>
        <v>163936191</v>
      </c>
      <c r="G26" s="8">
        <v>3.0</v>
      </c>
      <c r="H26" s="9">
        <v>45263.0</v>
      </c>
      <c r="I26" s="10" t="s">
        <v>33</v>
      </c>
    </row>
    <row r="27">
      <c r="A27" s="5" t="str">
        <f t="array" ref="A27">INDEX(event_table!$A$2:$A$69, RANDBETWEEN(1, COUNTA(event_table!$A$2:$A$69)))</f>
        <v>1424</v>
      </c>
      <c r="B27" s="6">
        <f t="array" ref="B27">IFERROR(INDEX(event_table!$E$1:$E3686,MATCH(A27,event_table!$A$1:$A3686,0)),"")
</f>
        <v>4</v>
      </c>
      <c r="C27" s="7">
        <f t="shared" si="1"/>
        <v>168</v>
      </c>
      <c r="D27" s="6" t="str">
        <f t="array" ref="D27">IFERROR(INDEX(user_table!$C$2:$C3686,MATCH(C27,user_table!$B$2:$B3686,0)),"")
</f>
        <v>Lina Kurniawan</v>
      </c>
      <c r="E27" s="6" t="str">
        <f t="array" ref="E27">IFERROR(INDEX(user_table!$E$2:$E3686,MATCH(C27,user_table!$B$2:$B3686,0)),"")
</f>
        <v>2, 2</v>
      </c>
      <c r="F27" s="6" t="str">
        <f t="shared" si="2"/>
        <v>142434168</v>
      </c>
      <c r="G27" s="8">
        <v>3.0</v>
      </c>
      <c r="H27" s="9">
        <v>45192.0</v>
      </c>
      <c r="I27" s="10" t="s">
        <v>34</v>
      </c>
    </row>
    <row r="28">
      <c r="A28" s="5" t="str">
        <f t="array" ref="A28">INDEX(event_table!$A$2:$A$69, RANDBETWEEN(1, COUNTA(event_table!$A$2:$A$69)))</f>
        <v>1641</v>
      </c>
      <c r="B28" s="6">
        <f t="array" ref="B28">IFERROR(INDEX(event_table!$E$1:$E3686,MATCH(A28,event_table!$A$1:$A3686,0)),"")
</f>
        <v>6</v>
      </c>
      <c r="C28" s="7">
        <f t="shared" si="1"/>
        <v>97</v>
      </c>
      <c r="D28" s="6" t="str">
        <f t="array" ref="D28">IFERROR(INDEX(user_table!$C$2:$C3686,MATCH(C28,user_table!$B$2:$B3686,0)),"")
</f>
        <v>Dewi Hidayat</v>
      </c>
      <c r="E28" s="6" t="str">
        <f t="array" ref="E28">IFERROR(INDEX(user_table!$E$2:$E3686,MATCH(C28,user_table!$B$2:$B3686,0)),"")
</f>
        <v>2, 2</v>
      </c>
      <c r="F28" s="6" t="str">
        <f t="shared" si="2"/>
        <v>16412697</v>
      </c>
      <c r="G28" s="8">
        <v>2.0</v>
      </c>
      <c r="H28" s="9">
        <v>44796.0</v>
      </c>
      <c r="I28" s="10" t="s">
        <v>35</v>
      </c>
    </row>
    <row r="29">
      <c r="A29" s="5" t="str">
        <f t="array" ref="A29">INDEX(event_table!$A$2:$A$69, RANDBETWEEN(1, COUNTA(event_table!$A$2:$A$69)))</f>
        <v>1645</v>
      </c>
      <c r="B29" s="6">
        <f t="array" ref="B29">IFERROR(INDEX(event_table!$E$1:$E3686,MATCH(A29,event_table!$A$1:$A3686,0)),"")
</f>
        <v>6</v>
      </c>
      <c r="C29" s="7">
        <f t="shared" si="1"/>
        <v>136</v>
      </c>
      <c r="D29" s="6" t="str">
        <f t="array" ref="D29">IFERROR(INDEX(user_table!$C$2:$C3686,MATCH(C29,user_table!$B$2:$B3686,0)),"")
</f>
        <v>Fandi Purnama</v>
      </c>
      <c r="E29" s="6" t="str">
        <f t="array" ref="E29">IFERROR(INDEX(user_table!$E$2:$E3686,MATCH(C29,user_table!$B$2:$B3686,0)),"")
</f>
        <v>5, 6</v>
      </c>
      <c r="F29" s="6" t="str">
        <f t="shared" si="2"/>
        <v>164526136</v>
      </c>
      <c r="G29" s="8">
        <v>2.0</v>
      </c>
      <c r="H29" s="9">
        <v>45053.0</v>
      </c>
      <c r="I29" s="10" t="s">
        <v>36</v>
      </c>
    </row>
    <row r="30">
      <c r="A30" s="5" t="str">
        <f t="array" ref="A30">INDEX(event_table!$A$2:$A$69, RANDBETWEEN(1, COUNTA(event_table!$A$2:$A$69)))</f>
        <v>1333</v>
      </c>
      <c r="B30" s="6">
        <f t="array" ref="B30">IFERROR(INDEX(event_table!$E$1:$E3686,MATCH(A30,event_table!$A$1:$A3686,0)),"")
</f>
        <v>3</v>
      </c>
      <c r="C30" s="7">
        <f t="shared" si="1"/>
        <v>15</v>
      </c>
      <c r="D30" s="6" t="str">
        <f t="array" ref="D30">IFERROR(INDEX(user_table!$C$2:$C3686,MATCH(C30,user_table!$B$2:$B3686,0)),"")
</f>
        <v>Arif Kurniawan</v>
      </c>
      <c r="E30" s="6" t="str">
        <f t="array" ref="E30">IFERROR(INDEX(user_table!$E$2:$E3686,MATCH(C30,user_table!$B$2:$B3686,0)),"")
</f>
        <v>3, 1</v>
      </c>
      <c r="F30" s="6" t="str">
        <f t="shared" si="2"/>
        <v>13332315</v>
      </c>
      <c r="G30" s="8">
        <v>2.0</v>
      </c>
      <c r="H30" s="9">
        <v>45038.0</v>
      </c>
      <c r="I30" s="10" t="s">
        <v>37</v>
      </c>
    </row>
    <row r="31">
      <c r="A31" s="5" t="str">
        <f t="array" ref="A31">INDEX(event_table!$A$2:$A$69, RANDBETWEEN(1, COUNTA(event_table!$A$2:$A$69)))</f>
        <v>1640</v>
      </c>
      <c r="B31" s="6">
        <f t="array" ref="B31">IFERROR(INDEX(event_table!$E$1:$E3686,MATCH(A31,event_table!$A$1:$A3686,0)),"")
</f>
        <v>6</v>
      </c>
      <c r="C31" s="7">
        <f t="shared" si="1"/>
        <v>54</v>
      </c>
      <c r="D31" s="6" t="str">
        <f t="array" ref="D31">IFERROR(INDEX(user_table!$C$2:$C3686,MATCH(C31,user_table!$B$2:$B3686,0)),"")
</f>
        <v>Andi Kurniawan</v>
      </c>
      <c r="E31" s="6" t="str">
        <f t="array" ref="E31">IFERROR(INDEX(user_table!$E$2:$E3686,MATCH(C31,user_table!$B$2:$B3686,0)),"")
</f>
        <v>4, 4</v>
      </c>
      <c r="F31" s="6" t="str">
        <f t="shared" si="2"/>
        <v>16402654</v>
      </c>
      <c r="G31" s="8">
        <v>2.0</v>
      </c>
      <c r="H31" s="9">
        <v>45032.0</v>
      </c>
      <c r="I31" s="10" t="s">
        <v>38</v>
      </c>
    </row>
    <row r="32">
      <c r="A32" s="5" t="str">
        <f t="array" ref="A32">INDEX(event_table!$A$2:$A$69, RANDBETWEEN(1, COUNTA(event_table!$A$2:$A$69)))</f>
        <v>1648</v>
      </c>
      <c r="B32" s="6">
        <f t="array" ref="B32">IFERROR(INDEX(event_table!$E$1:$E3686,MATCH(A32,event_table!$A$1:$A3686,0)),"")
</f>
        <v>6</v>
      </c>
      <c r="C32" s="7">
        <f t="shared" si="1"/>
        <v>16</v>
      </c>
      <c r="D32" s="6" t="str">
        <f t="array" ref="D32">IFERROR(INDEX(user_table!$C$2:$C3686,MATCH(C32,user_table!$B$2:$B3686,0)),"")
</f>
        <v>Siti Utami</v>
      </c>
      <c r="E32" s="6" t="str">
        <f t="array" ref="E32">IFERROR(INDEX(user_table!$E$2:$E3686,MATCH(C32,user_table!$B$2:$B3686,0)),"")
</f>
        <v>1, 2</v>
      </c>
      <c r="F32" s="6" t="str">
        <f t="shared" si="2"/>
        <v>16482616</v>
      </c>
      <c r="G32" s="8">
        <v>2.0</v>
      </c>
      <c r="H32" s="9">
        <v>44899.0</v>
      </c>
      <c r="I32" s="10" t="s">
        <v>39</v>
      </c>
    </row>
    <row r="33">
      <c r="A33" s="5" t="str">
        <f t="array" ref="A33">INDEX(event_table!$A$2:$A$69, RANDBETWEEN(1, COUNTA(event_table!$A$2:$A$69)))</f>
        <v>122</v>
      </c>
      <c r="B33" s="6">
        <f t="array" ref="B33">IFERROR(INDEX(event_table!$E$1:$E3686,MATCH(A33,event_table!$A$1:$A3686,0)),"")
</f>
        <v>2</v>
      </c>
      <c r="C33" s="7">
        <f t="shared" si="1"/>
        <v>4</v>
      </c>
      <c r="D33" s="6" t="str">
        <f t="array" ref="D33">IFERROR(INDEX(user_table!$C$2:$C3686,MATCH(C33,user_table!$B$2:$B3686,0)),"")
</f>
        <v>Dina Utami</v>
      </c>
      <c r="E33" s="6" t="str">
        <f t="array" ref="E33">IFERROR(INDEX(user_table!$E$2:$E3686,MATCH(C33,user_table!$B$2:$B3686,0)),"")
</f>
        <v>6, 2</v>
      </c>
      <c r="F33" s="6" t="str">
        <f t="shared" si="2"/>
        <v>122224</v>
      </c>
      <c r="G33" s="8">
        <v>2.0</v>
      </c>
      <c r="H33" s="9">
        <v>44475.0</v>
      </c>
      <c r="I33" s="10" t="s">
        <v>40</v>
      </c>
    </row>
    <row r="34">
      <c r="A34" s="5" t="str">
        <f t="array" ref="A34">INDEX(event_table!$A$2:$A$69, RANDBETWEEN(1, COUNTA(event_table!$A$2:$A$69)))</f>
        <v>1650</v>
      </c>
      <c r="B34" s="6">
        <f t="array" ref="B34">IFERROR(INDEX(event_table!$E$1:$E3686,MATCH(A34,event_table!$A$1:$A3686,0)),"")
</f>
        <v>6</v>
      </c>
      <c r="C34" s="7">
        <f t="shared" si="1"/>
        <v>73</v>
      </c>
      <c r="D34" s="6" t="str">
        <f t="array" ref="D34">IFERROR(INDEX(user_table!$C$2:$C3686,MATCH(C34,user_table!$B$2:$B3686,0)),"")
</f>
        <v>Hadi Santoso</v>
      </c>
      <c r="E34" s="6" t="str">
        <f t="array" ref="E34">IFERROR(INDEX(user_table!$E$2:$E3686,MATCH(C34,user_table!$B$2:$B3686,0)),"")
</f>
        <v>6, 3</v>
      </c>
      <c r="F34" s="6" t="str">
        <f t="shared" si="2"/>
        <v>16502673</v>
      </c>
      <c r="G34" s="8">
        <v>2.0</v>
      </c>
      <c r="H34" s="9">
        <v>44442.0</v>
      </c>
      <c r="I34" s="10" t="s">
        <v>41</v>
      </c>
    </row>
    <row r="35">
      <c r="A35" s="5" t="str">
        <f t="array" ref="A35">INDEX(event_table!$A$2:$A$69, RANDBETWEEN(1, COUNTA(event_table!$A$2:$A$69)))</f>
        <v>1649</v>
      </c>
      <c r="B35" s="6">
        <f t="array" ref="B35">IFERROR(INDEX(event_table!$E$1:$E3686,MATCH(A35,event_table!$A$1:$A3686,0)),"")
</f>
        <v>6</v>
      </c>
      <c r="C35" s="7">
        <f t="shared" si="1"/>
        <v>87</v>
      </c>
      <c r="D35" s="6" t="str">
        <f t="array" ref="D35">IFERROR(INDEX(user_table!$C$2:$C3686,MATCH(C35,user_table!$B$2:$B3686,0)),"")
</f>
        <v>Budi Setiawan</v>
      </c>
      <c r="E35" s="6" t="str">
        <f t="array" ref="E35">IFERROR(INDEX(user_table!$E$2:$E3686,MATCH(C35,user_table!$B$2:$B3686,0)),"")
</f>
        <v>3, 5</v>
      </c>
      <c r="F35" s="6" t="str">
        <f t="shared" si="2"/>
        <v>16492687</v>
      </c>
      <c r="G35" s="8">
        <v>2.0</v>
      </c>
      <c r="H35" s="9">
        <v>45202.0</v>
      </c>
      <c r="I35" s="10" t="s">
        <v>42</v>
      </c>
    </row>
    <row r="36">
      <c r="A36" s="5" t="str">
        <f t="array" ref="A36">INDEX(event_table!$A$2:$A$69, RANDBETWEEN(1, COUNTA(event_table!$A$2:$A$69)))</f>
        <v>122</v>
      </c>
      <c r="B36" s="6">
        <f t="array" ref="B36">IFERROR(INDEX(event_table!$E$1:$E3686,MATCH(A36,event_table!$A$1:$A3686,0)),"")
</f>
        <v>2</v>
      </c>
      <c r="C36" s="7">
        <f t="shared" si="1"/>
        <v>26</v>
      </c>
      <c r="D36" s="6" t="str">
        <f t="array" ref="D36">IFERROR(INDEX(user_table!$C$2:$C3686,MATCH(C36,user_table!$B$2:$B3686,0)),"")
</f>
        <v>Citra Sari</v>
      </c>
      <c r="E36" s="6" t="str">
        <f t="array" ref="E36">IFERROR(INDEX(user_table!$E$2:$E3686,MATCH(C36,user_table!$B$2:$B3686,0)),"")
</f>
        <v>5, 1</v>
      </c>
      <c r="F36" s="6" t="str">
        <f t="shared" si="2"/>
        <v>1222226</v>
      </c>
      <c r="G36" s="8">
        <v>2.0</v>
      </c>
      <c r="H36" s="9">
        <v>45128.0</v>
      </c>
      <c r="I36" s="10" t="s">
        <v>43</v>
      </c>
    </row>
    <row r="37">
      <c r="A37" s="5" t="str">
        <f t="array" ref="A37">INDEX(event_table!$A$2:$A$69, RANDBETWEEN(1, COUNTA(event_table!$A$2:$A$69)))</f>
        <v>1639</v>
      </c>
      <c r="B37" s="6">
        <f t="array" ref="B37">IFERROR(INDEX(event_table!$E$1:$E3686,MATCH(A37,event_table!$A$1:$A3686,0)),"")
</f>
        <v>6</v>
      </c>
      <c r="C37" s="7">
        <f t="shared" si="1"/>
        <v>97</v>
      </c>
      <c r="D37" s="6" t="str">
        <f t="array" ref="D37">IFERROR(INDEX(user_table!$C$2:$C3686,MATCH(C37,user_table!$B$2:$B3686,0)),"")
</f>
        <v>Dewi Hidayat</v>
      </c>
      <c r="E37" s="6" t="str">
        <f t="array" ref="E37">IFERROR(INDEX(user_table!$E$2:$E3686,MATCH(C37,user_table!$B$2:$B3686,0)),"")
</f>
        <v>2, 2</v>
      </c>
      <c r="F37" s="6" t="str">
        <f t="shared" si="2"/>
        <v>16391697</v>
      </c>
      <c r="G37" s="8">
        <v>1.0</v>
      </c>
      <c r="H37" s="9">
        <v>45250.0</v>
      </c>
      <c r="I37" s="10" t="s">
        <v>44</v>
      </c>
    </row>
    <row r="38">
      <c r="A38" s="5" t="str">
        <f t="array" ref="A38">INDEX(event_table!$A$2:$A$69, RANDBETWEEN(1, COUNTA(event_table!$A$2:$A$69)))</f>
        <v>3166</v>
      </c>
      <c r="B38" s="6">
        <f t="array" ref="B38">IFERROR(INDEX(event_table!$E$1:$E3686,MATCH(A38,event_table!$A$1:$A3686,0)),"")
</f>
        <v>1</v>
      </c>
      <c r="C38" s="7">
        <f t="shared" si="1"/>
        <v>56</v>
      </c>
      <c r="D38" s="6" t="str">
        <f t="array" ref="D38">IFERROR(INDEX(user_table!$C$2:$C3686,MATCH(C38,user_table!$B$2:$B3686,0)),"")
</f>
        <v>Desi Putri</v>
      </c>
      <c r="E38" s="6" t="str">
        <f t="array" ref="E38">IFERROR(INDEX(user_table!$E$2:$E3686,MATCH(C38,user_table!$B$2:$B3686,0)),"")
</f>
        <v>1, 3</v>
      </c>
      <c r="F38" s="6" t="str">
        <f t="shared" si="2"/>
        <v>31661156</v>
      </c>
      <c r="G38" s="8">
        <v>1.0</v>
      </c>
      <c r="H38" s="9">
        <v>45245.0</v>
      </c>
      <c r="I38" s="10" t="s">
        <v>45</v>
      </c>
    </row>
    <row r="39">
      <c r="A39" s="5" t="str">
        <f t="array" ref="A39">INDEX(event_table!$A$2:$A$69, RANDBETWEEN(1, COUNTA(event_table!$A$2:$A$69)))</f>
        <v>1640</v>
      </c>
      <c r="B39" s="6">
        <f t="array" ref="B39">IFERROR(INDEX(event_table!$E$1:$E3686,MATCH(A39,event_table!$A$1:$A3686,0)),"")
</f>
        <v>6</v>
      </c>
      <c r="C39" s="7">
        <f t="shared" si="1"/>
        <v>200</v>
      </c>
      <c r="D39" s="6" t="str">
        <f t="array" ref="D39">IFERROR(INDEX(user_table!$C$2:$C3686,MATCH(C39,user_table!$B$2:$B3686,0)),"")
</f>
        <v>Dina Susanto</v>
      </c>
      <c r="E39" s="6" t="str">
        <f t="array" ref="E39">IFERROR(INDEX(user_table!$E$2:$E3686,MATCH(C39,user_table!$B$2:$B3686,0)),"")
</f>
        <v>5, 4</v>
      </c>
      <c r="F39" s="6" t="str">
        <f t="shared" si="2"/>
        <v>164016200</v>
      </c>
      <c r="G39" s="8">
        <v>1.0</v>
      </c>
      <c r="H39" s="9">
        <v>45238.0</v>
      </c>
      <c r="I39" s="10" t="s">
        <v>46</v>
      </c>
    </row>
    <row r="40">
      <c r="A40" s="5" t="str">
        <f t="array" ref="A40">INDEX(event_table!$A$2:$A$69, RANDBETWEEN(1, COUNTA(event_table!$A$2:$A$69)))</f>
        <v>1114</v>
      </c>
      <c r="B40" s="6">
        <f t="array" ref="B40">IFERROR(INDEX(event_table!$E$1:$E3686,MATCH(A40,event_table!$A$1:$A3686,0)),"")
</f>
        <v>1</v>
      </c>
      <c r="C40" s="7">
        <f t="shared" si="1"/>
        <v>27</v>
      </c>
      <c r="D40" s="6" t="str">
        <f t="array" ref="D40">IFERROR(INDEX(user_table!$C$2:$C3686,MATCH(C40,user_table!$B$2:$B3686,0)),"")
</f>
        <v>Fandi Purnama</v>
      </c>
      <c r="E40" s="6" t="str">
        <f t="array" ref="E40">IFERROR(INDEX(user_table!$E$2:$E3686,MATCH(C40,user_table!$B$2:$B3686,0)),"")
</f>
        <v>4, 6</v>
      </c>
      <c r="F40" s="6" t="str">
        <f t="shared" si="2"/>
        <v>11141127</v>
      </c>
      <c r="G40" s="8">
        <v>1.0</v>
      </c>
      <c r="H40" s="9">
        <v>45183.0</v>
      </c>
      <c r="I40" s="10" t="s">
        <v>47</v>
      </c>
    </row>
    <row r="41">
      <c r="A41" s="5" t="str">
        <f t="array" ref="A41">INDEX(event_table!$A$2:$A$69, RANDBETWEEN(1, COUNTA(event_table!$A$2:$A$69)))</f>
        <v>3658</v>
      </c>
      <c r="B41" s="6">
        <f t="array" ref="B41">IFERROR(INDEX(event_table!$E$1:$E3686,MATCH(A41,event_table!$A$1:$A3686,0)),"")
</f>
        <v>6</v>
      </c>
      <c r="C41" s="7">
        <f t="shared" si="1"/>
        <v>66</v>
      </c>
      <c r="D41" s="6" t="str">
        <f t="array" ref="D41">IFERROR(INDEX(user_table!$C$2:$C3686,MATCH(C41,user_table!$B$2:$B3686,0)),"")
</f>
        <v>Agus Wijaya</v>
      </c>
      <c r="E41" s="6" t="str">
        <f t="array" ref="E41">IFERROR(INDEX(user_table!$E$2:$E3686,MATCH(C41,user_table!$B$2:$B3686,0)),"")
</f>
        <v>5, 3</v>
      </c>
      <c r="F41" s="6" t="str">
        <f t="shared" si="2"/>
        <v>36581666</v>
      </c>
      <c r="G41" s="8">
        <v>1.0</v>
      </c>
      <c r="H41" s="9">
        <v>45187.0</v>
      </c>
      <c r="I41" s="10" t="s">
        <v>48</v>
      </c>
    </row>
    <row r="42">
      <c r="A42" s="5" t="str">
        <f t="array" ref="A42">INDEX(event_table!$A$2:$A$69, RANDBETWEEN(1, COUNTA(event_table!$A$2:$A$69)))</f>
        <v>1420</v>
      </c>
      <c r="B42" s="6">
        <f t="array" ref="B42">IFERROR(INDEX(event_table!$E$1:$E3686,MATCH(A42,event_table!$A$1:$A3686,0)),"")
</f>
        <v>4</v>
      </c>
      <c r="C42" s="7">
        <f t="shared" si="1"/>
        <v>65</v>
      </c>
      <c r="D42" s="6" t="str">
        <f t="array" ref="D42">IFERROR(INDEX(user_table!$C$2:$C3686,MATCH(C42,user_table!$B$2:$B3686,0)),"")
</f>
        <v>Siti Pratama</v>
      </c>
      <c r="E42" s="6" t="str">
        <f t="array" ref="E42">IFERROR(INDEX(user_table!$E$2:$E3686,MATCH(C42,user_table!$B$2:$B3686,0)),"")
</f>
        <v>5, 6</v>
      </c>
      <c r="F42" s="6" t="str">
        <f t="shared" si="2"/>
        <v>14201465</v>
      </c>
      <c r="G42" s="8">
        <v>1.0</v>
      </c>
      <c r="H42" s="9">
        <v>45198.0</v>
      </c>
      <c r="I42" s="10" t="s">
        <v>49</v>
      </c>
    </row>
    <row r="43">
      <c r="A43" s="5" t="str">
        <f t="array" ref="A43">INDEX(event_table!$A$2:$A$69, RANDBETWEEN(1, COUNTA(event_table!$A$2:$A$69)))</f>
        <v>1313</v>
      </c>
      <c r="B43" s="6">
        <f t="array" ref="B43">IFERROR(INDEX(event_table!$E$1:$E3686,MATCH(A43,event_table!$A$1:$A3686,0)),"")
</f>
        <v>3</v>
      </c>
      <c r="C43" s="7">
        <f t="shared" si="1"/>
        <v>143</v>
      </c>
      <c r="D43" s="6" t="str">
        <f t="array" ref="D43">IFERROR(INDEX(user_table!$C$2:$C3686,MATCH(C43,user_table!$B$2:$B3686,0)),"")
</f>
        <v>Agus Putri</v>
      </c>
      <c r="E43" s="6" t="str">
        <f t="array" ref="E43">IFERROR(INDEX(user_table!$E$2:$E3686,MATCH(C43,user_table!$B$2:$B3686,0)),"")
</f>
        <v>3, 3</v>
      </c>
      <c r="F43" s="6" t="str">
        <f t="shared" si="2"/>
        <v>131313143</v>
      </c>
      <c r="G43" s="8">
        <v>1.0</v>
      </c>
      <c r="H43" s="9">
        <v>45209.0</v>
      </c>
      <c r="I43" s="10" t="s">
        <v>50</v>
      </c>
    </row>
    <row r="44">
      <c r="A44" s="5" t="str">
        <f t="array" ref="A44">INDEX(event_table!$A$2:$A$69, RANDBETWEEN(1, COUNTA(event_table!$A$2:$A$69)))</f>
        <v>1651</v>
      </c>
      <c r="B44" s="6">
        <f t="array" ref="B44">IFERROR(INDEX(event_table!$E$1:$E3686,MATCH(A44,event_table!$A$1:$A3686,0)),"")
</f>
        <v>6</v>
      </c>
      <c r="C44" s="7">
        <f t="shared" si="1"/>
        <v>69</v>
      </c>
      <c r="D44" s="6" t="str">
        <f t="array" ref="D44">IFERROR(INDEX(user_table!$C$2:$C3686,MATCH(C44,user_table!$B$2:$B3686,0)),"")
</f>
        <v>Citra Rahayu</v>
      </c>
      <c r="E44" s="6" t="str">
        <f t="array" ref="E44">IFERROR(INDEX(user_table!$E$2:$E3686,MATCH(C44,user_table!$B$2:$B3686,0)),"")
</f>
        <v>5, 5</v>
      </c>
      <c r="F44" s="6" t="str">
        <f t="shared" si="2"/>
        <v>16511669</v>
      </c>
      <c r="G44" s="8">
        <v>1.0</v>
      </c>
      <c r="H44" s="9">
        <v>45247.0</v>
      </c>
      <c r="I44" s="10" t="s">
        <v>51</v>
      </c>
    </row>
    <row r="45">
      <c r="A45" s="5" t="str">
        <f t="array" ref="A45">INDEX(event_table!$A$2:$A$69, RANDBETWEEN(1, COUNTA(event_table!$A$2:$A$69)))</f>
        <v>1334</v>
      </c>
      <c r="B45" s="6">
        <f t="array" ref="B45">IFERROR(INDEX(event_table!$E$1:$E3686,MATCH(A45,event_table!$A$1:$A3686,0)),"")
</f>
        <v>3</v>
      </c>
      <c r="C45" s="7">
        <f t="shared" si="1"/>
        <v>165</v>
      </c>
      <c r="D45" s="6" t="str">
        <f t="array" ref="D45">IFERROR(INDEX(user_table!$C$2:$C3686,MATCH(C45,user_table!$B$2:$B3686,0)),"")
</f>
        <v>Agus Pratama</v>
      </c>
      <c r="E45" s="6" t="str">
        <f t="array" ref="E45">IFERROR(INDEX(user_table!$E$2:$E3686,MATCH(C45,user_table!$B$2:$B3686,0)),"")
</f>
        <v>6, 2</v>
      </c>
      <c r="F45" s="6" t="str">
        <f t="shared" si="2"/>
        <v>133413165</v>
      </c>
      <c r="G45" s="8">
        <v>1.0</v>
      </c>
      <c r="H45" s="9">
        <v>45202.0</v>
      </c>
      <c r="I45" s="10" t="s">
        <v>52</v>
      </c>
    </row>
    <row r="46">
      <c r="A46" s="5" t="str">
        <f t="array" ref="A46">INDEX(event_table!$A$2:$A$69, RANDBETWEEN(1, COUNTA(event_table!$A$2:$A$69)))</f>
        <v>1332</v>
      </c>
      <c r="B46" s="6">
        <f t="array" ref="B46">IFERROR(INDEX(event_table!$E$1:$E3686,MATCH(A46,event_table!$A$1:$A3686,0)),"")
</f>
        <v>3</v>
      </c>
      <c r="C46" s="7">
        <f t="shared" si="1"/>
        <v>177</v>
      </c>
      <c r="D46" s="6" t="str">
        <f t="array" ref="D46">IFERROR(INDEX(user_table!$C$2:$C3686,MATCH(C46,user_table!$B$2:$B3686,0)),"")
</f>
        <v>Andi Susanto</v>
      </c>
      <c r="E46" s="6" t="str">
        <f t="array" ref="E46">IFERROR(INDEX(user_table!$E$2:$E3686,MATCH(C46,user_table!$B$2:$B3686,0)),"")
</f>
        <v>2, 6</v>
      </c>
      <c r="F46" s="6" t="str">
        <f t="shared" si="2"/>
        <v>133213177</v>
      </c>
      <c r="G46" s="8">
        <v>1.0</v>
      </c>
      <c r="H46" s="9">
        <v>45144.0</v>
      </c>
      <c r="I46" s="10" t="s">
        <v>53</v>
      </c>
    </row>
    <row r="47">
      <c r="A47" s="5" t="str">
        <f t="array" ref="A47">INDEX(event_table!$A$2:$A$69, RANDBETWEEN(1, COUNTA(event_table!$A$2:$A$69)))</f>
        <v>1215</v>
      </c>
      <c r="B47" s="6">
        <f t="array" ref="B47">IFERROR(INDEX(event_table!$E$1:$E3686,MATCH(A47,event_table!$A$1:$A3686,0)),"")
</f>
        <v>2</v>
      </c>
      <c r="C47" s="7">
        <f t="shared" si="1"/>
        <v>102</v>
      </c>
      <c r="D47" s="6" t="str">
        <f t="array" ref="D47">IFERROR(INDEX(user_table!$C$2:$C3686,MATCH(C47,user_table!$B$2:$B3686,0)),"")
</f>
        <v>Lina Nurhayati</v>
      </c>
      <c r="E47" s="6" t="str">
        <f t="array" ref="E47">IFERROR(INDEX(user_table!$E$2:$E3686,MATCH(C47,user_table!$B$2:$B3686,0)),"")
</f>
        <v>1, 2</v>
      </c>
      <c r="F47" s="6" t="str">
        <f t="shared" si="2"/>
        <v>121512102</v>
      </c>
      <c r="G47" s="8">
        <v>1.0</v>
      </c>
      <c r="H47" s="9">
        <v>45068.0</v>
      </c>
      <c r="I47" s="10" t="s">
        <v>54</v>
      </c>
    </row>
    <row r="48">
      <c r="A48" s="5" t="str">
        <f t="array" ref="A48">INDEX(event_table!$A$2:$A$69, RANDBETWEEN(1, COUNTA(event_table!$A$2:$A$69)))</f>
        <v>1639</v>
      </c>
      <c r="B48" s="6">
        <f t="array" ref="B48">IFERROR(INDEX(event_table!$E$1:$E3686,MATCH(A48,event_table!$A$1:$A3686,0)),"")
</f>
        <v>6</v>
      </c>
      <c r="C48" s="7">
        <f t="shared" si="1"/>
        <v>77</v>
      </c>
      <c r="D48" s="6" t="str">
        <f t="array" ref="D48">IFERROR(INDEX(user_table!$C$2:$C3686,MATCH(C48,user_table!$B$2:$B3686,0)),"")
</f>
        <v>Desi Wijaya</v>
      </c>
      <c r="E48" s="6" t="str">
        <f t="array" ref="E48">IFERROR(INDEX(user_table!$E$2:$E3686,MATCH(C48,user_table!$B$2:$B3686,0)),"")
</f>
        <v>3, 1</v>
      </c>
      <c r="F48" s="6" t="str">
        <f t="shared" si="2"/>
        <v>16391677</v>
      </c>
      <c r="G48" s="8">
        <v>1.0</v>
      </c>
      <c r="H48" s="9">
        <v>45037.0</v>
      </c>
      <c r="I48" s="10" t="s">
        <v>55</v>
      </c>
    </row>
    <row r="49">
      <c r="A49" s="5" t="str">
        <f t="array" ref="A49">INDEX(event_table!$A$2:$A$69, RANDBETWEEN(1, COUNTA(event_table!$A$2:$A$69)))</f>
        <v>1332</v>
      </c>
      <c r="B49" s="6">
        <f t="array" ref="B49">IFERROR(INDEX(event_table!$E$1:$E3686,MATCH(A49,event_table!$A$1:$A3686,0)),"")
</f>
        <v>3</v>
      </c>
      <c r="C49" s="7">
        <f t="shared" si="1"/>
        <v>25</v>
      </c>
      <c r="D49" s="6" t="str">
        <f t="array" ref="D49">IFERROR(INDEX(user_table!$C$2:$C3686,MATCH(C49,user_table!$B$2:$B3686,0)),"")
</f>
        <v>Agus Hartono</v>
      </c>
      <c r="E49" s="6" t="str">
        <f t="array" ref="E49">IFERROR(INDEX(user_table!$E$2:$E3686,MATCH(C49,user_table!$B$2:$B3686,0)),"")
</f>
        <v>6, 3</v>
      </c>
      <c r="F49" s="6" t="str">
        <f t="shared" si="2"/>
        <v>13321325</v>
      </c>
      <c r="G49" s="8">
        <v>1.0</v>
      </c>
      <c r="H49" s="9">
        <v>45018.0</v>
      </c>
      <c r="I49" s="10" t="s">
        <v>56</v>
      </c>
    </row>
    <row r="50">
      <c r="A50" s="5" t="str">
        <f t="array" ref="A50">INDEX(event_table!$A$2:$A$69, RANDBETWEEN(1, COUNTA(event_table!$A$2:$A$69)))</f>
        <v>3454</v>
      </c>
      <c r="B50" s="6">
        <f t="array" ref="B50">IFERROR(INDEX(event_table!$E$1:$E3686,MATCH(A50,event_table!$A$1:$A3686,0)),"")
</f>
        <v>4</v>
      </c>
      <c r="C50" s="7">
        <f t="shared" si="1"/>
        <v>91</v>
      </c>
      <c r="D50" s="6" t="str">
        <f t="array" ref="D50">IFERROR(INDEX(user_table!$C$2:$C3686,MATCH(C50,user_table!$B$2:$B3686,0)),"")
</f>
        <v>Bambang Wijaya</v>
      </c>
      <c r="E50" s="6" t="str">
        <f t="array" ref="E50">IFERROR(INDEX(user_table!$E$2:$E3686,MATCH(C50,user_table!$B$2:$B3686,0)),"")
</f>
        <v>1, 2</v>
      </c>
      <c r="F50" s="6" t="str">
        <f t="shared" si="2"/>
        <v>34545491</v>
      </c>
      <c r="G50" s="8">
        <v>5.0</v>
      </c>
      <c r="H50" s="9">
        <v>44723.0</v>
      </c>
      <c r="I50" s="10" t="s">
        <v>57</v>
      </c>
    </row>
    <row r="51">
      <c r="A51" s="5" t="str">
        <f t="array" ref="A51">INDEX(event_table!$A$2:$A$69, RANDBETWEEN(1, COUNTA(event_table!$A$2:$A$69)))</f>
        <v>1529</v>
      </c>
      <c r="B51" s="6">
        <f t="array" ref="B51">IFERROR(INDEX(event_table!$E$1:$E3686,MATCH(A51,event_table!$A$1:$A3686,0)),"")
</f>
        <v>5</v>
      </c>
      <c r="C51" s="7">
        <f t="shared" si="1"/>
        <v>83</v>
      </c>
      <c r="D51" s="6" t="str">
        <f t="array" ref="D51">IFERROR(INDEX(user_table!$C$2:$C3686,MATCH(C51,user_table!$B$2:$B3686,0)),"")
</f>
        <v>Sinta Nurhayati</v>
      </c>
      <c r="E51" s="6" t="str">
        <f t="array" ref="E51">IFERROR(INDEX(user_table!$E$2:$E3686,MATCH(C51,user_table!$B$2:$B3686,0)),"")
</f>
        <v>5, 5</v>
      </c>
      <c r="F51" s="6" t="str">
        <f t="shared" si="2"/>
        <v>15295583</v>
      </c>
      <c r="G51" s="8">
        <v>5.0</v>
      </c>
      <c r="H51" s="9">
        <v>44711.0</v>
      </c>
      <c r="I51" s="10" t="s">
        <v>58</v>
      </c>
    </row>
    <row r="52">
      <c r="A52" s="5" t="str">
        <f t="array" ref="A52">INDEX(event_table!$A$2:$A$69, RANDBETWEEN(1, COUNTA(event_table!$A$2:$A$69)))</f>
        <v>1212</v>
      </c>
      <c r="B52" s="6">
        <f t="array" ref="B52">IFERROR(INDEX(event_table!$E$1:$E3686,MATCH(A52,event_table!$A$1:$A3686,0)),"")
</f>
        <v>2</v>
      </c>
      <c r="C52" s="7">
        <f t="shared" si="1"/>
        <v>39</v>
      </c>
      <c r="D52" s="6" t="str">
        <f t="array" ref="D52">IFERROR(INDEX(user_table!$C$2:$C3686,MATCH(C52,user_table!$B$2:$B3686,0)),"")
</f>
        <v>Desi Utami</v>
      </c>
      <c r="E52" s="6" t="str">
        <f t="array" ref="E52">IFERROR(INDEX(user_table!$E$2:$E3686,MATCH(C52,user_table!$B$2:$B3686,0)),"")
</f>
        <v>3, 1</v>
      </c>
      <c r="F52" s="6" t="str">
        <f t="shared" si="2"/>
        <v>12125239</v>
      </c>
      <c r="G52" s="8">
        <v>5.0</v>
      </c>
      <c r="H52" s="9">
        <v>44710.0</v>
      </c>
      <c r="I52" s="10" t="s">
        <v>59</v>
      </c>
    </row>
    <row r="53">
      <c r="A53" s="5" t="str">
        <f t="array" ref="A53">INDEX(event_table!$A$2:$A$69, RANDBETWEEN(1, COUNTA(event_table!$A$2:$A$69)))</f>
        <v>1649</v>
      </c>
      <c r="B53" s="6">
        <f t="array" ref="B53">IFERROR(INDEX(event_table!$E$1:$E3686,MATCH(A53,event_table!$A$1:$A3686,0)),"")
</f>
        <v>6</v>
      </c>
      <c r="C53" s="7">
        <f t="shared" si="1"/>
        <v>68</v>
      </c>
      <c r="D53" s="6" t="str">
        <f t="array" ref="D53">IFERROR(INDEX(user_table!$C$2:$C3686,MATCH(C53,user_table!$B$2:$B3686,0)),"")
</f>
        <v>Wahyu Wijaya</v>
      </c>
      <c r="E53" s="6" t="str">
        <f t="array" ref="E53">IFERROR(INDEX(user_table!$E$2:$E3686,MATCH(C53,user_table!$B$2:$B3686,0)),"")
</f>
        <v>4, 6</v>
      </c>
      <c r="F53" s="6" t="str">
        <f t="shared" si="2"/>
        <v>16495668</v>
      </c>
      <c r="G53" s="8">
        <v>5.0</v>
      </c>
      <c r="H53" s="9">
        <v>44708.0</v>
      </c>
      <c r="I53" s="10" t="s">
        <v>60</v>
      </c>
    </row>
    <row r="54">
      <c r="A54" s="5" t="str">
        <f t="array" ref="A54">INDEX(event_table!$A$2:$A$69, RANDBETWEEN(1, COUNTA(event_table!$A$2:$A$69)))</f>
        <v>1529</v>
      </c>
      <c r="B54" s="6">
        <f t="array" ref="B54">IFERROR(INDEX(event_table!$E$1:$E3686,MATCH(A54,event_table!$A$1:$A3686,0)),"")
</f>
        <v>5</v>
      </c>
      <c r="C54" s="7">
        <f t="shared" si="1"/>
        <v>129</v>
      </c>
      <c r="D54" s="6" t="str">
        <f t="array" ref="D54">IFERROR(INDEX(user_table!$C$2:$C3686,MATCH(C54,user_table!$B$2:$B3686,0)),"")
</f>
        <v>Maya Kusuma</v>
      </c>
      <c r="E54" s="6" t="str">
        <f t="array" ref="E54">IFERROR(INDEX(user_table!$E$2:$E3686,MATCH(C54,user_table!$B$2:$B3686,0)),"")
</f>
        <v>4, 6</v>
      </c>
      <c r="F54" s="6" t="str">
        <f t="shared" si="2"/>
        <v>152955129</v>
      </c>
      <c r="G54" s="8">
        <v>5.0</v>
      </c>
      <c r="H54" s="9">
        <v>44698.0</v>
      </c>
      <c r="I54" s="10" t="s">
        <v>61</v>
      </c>
    </row>
    <row r="55">
      <c r="A55" s="5" t="str">
        <f t="array" ref="A55">INDEX(event_table!$A$2:$A$69, RANDBETWEEN(1, COUNTA(event_table!$A$2:$A$69)))</f>
        <v>1424</v>
      </c>
      <c r="B55" s="6">
        <f t="array" ref="B55">IFERROR(INDEX(event_table!$E$1:$E3686,MATCH(A55,event_table!$A$1:$A3686,0)),"")
</f>
        <v>4</v>
      </c>
      <c r="C55" s="7">
        <f t="shared" si="1"/>
        <v>149</v>
      </c>
      <c r="D55" s="6" t="str">
        <f t="array" ref="D55">IFERROR(INDEX(user_table!$C$2:$C3686,MATCH(C55,user_table!$B$2:$B3686,0)),"")
</f>
        <v>Dian Setiawan</v>
      </c>
      <c r="E55" s="6" t="str">
        <f t="array" ref="E55">IFERROR(INDEX(user_table!$E$2:$E3686,MATCH(C55,user_table!$B$2:$B3686,0)),"")
</f>
        <v>2, 4</v>
      </c>
      <c r="F55" s="6" t="str">
        <f t="shared" si="2"/>
        <v>142454149</v>
      </c>
      <c r="G55" s="8">
        <v>5.0</v>
      </c>
      <c r="H55" s="9">
        <v>44690.0</v>
      </c>
      <c r="I55" s="10" t="s">
        <v>62</v>
      </c>
    </row>
    <row r="56">
      <c r="A56" s="5" t="str">
        <f t="array" ref="A56">INDEX(event_table!$A$2:$A$69, RANDBETWEEN(1, COUNTA(event_table!$A$2:$A$69)))</f>
        <v>1334</v>
      </c>
      <c r="B56" s="6">
        <f t="array" ref="B56">IFERROR(INDEX(event_table!$E$1:$E3686,MATCH(A56,event_table!$A$1:$A3686,0)),"")
</f>
        <v>3</v>
      </c>
      <c r="C56" s="7">
        <f t="shared" si="1"/>
        <v>152</v>
      </c>
      <c r="D56" s="6" t="str">
        <f t="array" ref="D56">IFERROR(INDEX(user_table!$C$2:$C3686,MATCH(C56,user_table!$B$2:$B3686,0)),"")
</f>
        <v>Budi Kurniawan</v>
      </c>
      <c r="E56" s="6" t="str">
        <f t="array" ref="E56">IFERROR(INDEX(user_table!$E$2:$E3686,MATCH(C56,user_table!$B$2:$B3686,0)),"")
</f>
        <v>5, 5</v>
      </c>
      <c r="F56" s="6" t="str">
        <f t="shared" si="2"/>
        <v>133453152</v>
      </c>
      <c r="G56" s="8">
        <v>5.0</v>
      </c>
      <c r="H56" s="9">
        <v>44687.0</v>
      </c>
      <c r="I56" s="10" t="s">
        <v>63</v>
      </c>
    </row>
    <row r="57">
      <c r="A57" s="5" t="str">
        <f t="array" ref="A57">INDEX(event_table!$A$2:$A$69, RANDBETWEEN(1, COUNTA(event_table!$A$2:$A$69)))</f>
        <v>1642</v>
      </c>
      <c r="B57" s="6">
        <f t="array" ref="B57">IFERROR(INDEX(event_table!$E$1:$E3686,MATCH(A57,event_table!$A$1:$A3686,0)),"")
</f>
        <v>6</v>
      </c>
      <c r="C57" s="7">
        <f t="shared" si="1"/>
        <v>8</v>
      </c>
      <c r="D57" s="6" t="str">
        <f t="array" ref="D57">IFERROR(INDEX(user_table!$C$2:$C3686,MATCH(C57,user_table!$B$2:$B3686,0)),"")
</f>
        <v>Bambang Kurniawan</v>
      </c>
      <c r="E57" s="6" t="str">
        <f t="array" ref="E57">IFERROR(INDEX(user_table!$E$2:$E3686,MATCH(C57,user_table!$B$2:$B3686,0)),"")
</f>
        <v>2, 1</v>
      </c>
      <c r="F57" s="6" t="str">
        <f t="shared" si="2"/>
        <v>1642568</v>
      </c>
      <c r="G57" s="8">
        <v>5.0</v>
      </c>
      <c r="H57" s="9">
        <v>44686.0</v>
      </c>
      <c r="I57" s="10" t="s">
        <v>64</v>
      </c>
    </row>
    <row r="58">
      <c r="A58" s="5" t="str">
        <f t="array" ref="A58">INDEX(event_table!$A$2:$A$69, RANDBETWEEN(1, COUNTA(event_table!$A$2:$A$69)))</f>
        <v>117</v>
      </c>
      <c r="B58" s="6">
        <f t="array" ref="B58">IFERROR(INDEX(event_table!$E$1:$E3686,MATCH(A58,event_table!$A$1:$A3686,0)),"")
</f>
        <v>1</v>
      </c>
      <c r="C58" s="7">
        <f t="shared" si="1"/>
        <v>104</v>
      </c>
      <c r="D58" s="6" t="str">
        <f t="array" ref="D58">IFERROR(INDEX(user_table!$C$2:$C3686,MATCH(C58,user_table!$B$2:$B3686,0)),"")
</f>
        <v>Fajar Utami</v>
      </c>
      <c r="E58" s="6" t="str">
        <f t="array" ref="E58">IFERROR(INDEX(user_table!$E$2:$E3686,MATCH(C58,user_table!$B$2:$B3686,0)),"")
</f>
        <v>2, 5</v>
      </c>
      <c r="F58" s="6" t="str">
        <f t="shared" si="2"/>
        <v>11751104</v>
      </c>
      <c r="G58" s="8">
        <v>5.0</v>
      </c>
      <c r="H58" s="9">
        <v>45251.0</v>
      </c>
      <c r="I58" s="10" t="s">
        <v>65</v>
      </c>
    </row>
    <row r="59">
      <c r="A59" s="5" t="str">
        <f t="array" ref="A59">INDEX(event_table!$A$2:$A$69, RANDBETWEEN(1, COUNTA(event_table!$A$2:$A$69)))</f>
        <v>3170</v>
      </c>
      <c r="B59" s="6">
        <f t="array" ref="B59">IFERROR(INDEX(event_table!$E$1:$E3686,MATCH(A59,event_table!$A$1:$A3686,0)),"")
</f>
        <v>1</v>
      </c>
      <c r="C59" s="7">
        <f t="shared" si="1"/>
        <v>92</v>
      </c>
      <c r="D59" s="6" t="str">
        <f t="array" ref="D59">IFERROR(INDEX(user_table!$C$2:$C3686,MATCH(C59,user_table!$B$2:$B3686,0)),"")
</f>
        <v>Andi Susanto</v>
      </c>
      <c r="E59" s="6" t="str">
        <f t="array" ref="E59">IFERROR(INDEX(user_table!$E$2:$E3686,MATCH(C59,user_table!$B$2:$B3686,0)),"")
</f>
        <v>4, 4</v>
      </c>
      <c r="F59" s="6" t="str">
        <f t="shared" si="2"/>
        <v>31705192</v>
      </c>
      <c r="G59" s="8">
        <v>5.0</v>
      </c>
      <c r="H59" s="9">
        <v>45108.0</v>
      </c>
      <c r="I59" s="10" t="s">
        <v>66</v>
      </c>
    </row>
    <row r="60">
      <c r="A60" s="5" t="str">
        <f t="array" ref="A60">INDEX(event_table!$A$2:$A$69, RANDBETWEEN(1, COUNTA(event_table!$A$2:$A$69)))</f>
        <v>1425</v>
      </c>
      <c r="B60" s="6">
        <f t="array" ref="B60">IFERROR(INDEX(event_table!$E$1:$E3686,MATCH(A60,event_table!$A$1:$A3686,0)),"")
</f>
        <v>4</v>
      </c>
      <c r="C60" s="7">
        <f t="shared" si="1"/>
        <v>148</v>
      </c>
      <c r="D60" s="6" t="str">
        <f t="array" ref="D60">IFERROR(INDEX(user_table!$C$2:$C3686,MATCH(C60,user_table!$B$2:$B3686,0)),"")
</f>
        <v>Fajar Setiawan</v>
      </c>
      <c r="E60" s="6" t="str">
        <f t="array" ref="E60">IFERROR(INDEX(user_table!$E$2:$E3686,MATCH(C60,user_table!$B$2:$B3686,0)),"")
</f>
        <v>6, 4</v>
      </c>
      <c r="F60" s="6" t="str">
        <f t="shared" si="2"/>
        <v>142554148</v>
      </c>
      <c r="G60" s="8">
        <v>5.0</v>
      </c>
      <c r="H60" s="9">
        <v>45091.0</v>
      </c>
      <c r="I60" s="10" t="s">
        <v>67</v>
      </c>
    </row>
    <row r="61">
      <c r="A61" s="5" t="str">
        <f t="array" ref="A61">INDEX(event_table!$A$2:$A$69, RANDBETWEEN(1, COUNTA(event_table!$A$2:$A$69)))</f>
        <v>3170</v>
      </c>
      <c r="B61" s="6">
        <f t="array" ref="B61">IFERROR(INDEX(event_table!$E$1:$E3686,MATCH(A61,event_table!$A$1:$A3686,0)),"")
</f>
        <v>1</v>
      </c>
      <c r="C61" s="7">
        <f t="shared" si="1"/>
        <v>138</v>
      </c>
      <c r="D61" s="6" t="str">
        <f t="array" ref="D61">IFERROR(INDEX(user_table!$C$2:$C3686,MATCH(C61,user_table!$B$2:$B3686,0)),"")
</f>
        <v>Joko Hermawan</v>
      </c>
      <c r="E61" s="6" t="str">
        <f t="array" ref="E61">IFERROR(INDEX(user_table!$E$2:$E3686,MATCH(C61,user_table!$B$2:$B3686,0)),"")
</f>
        <v>4, 1</v>
      </c>
      <c r="F61" s="6" t="str">
        <f t="shared" si="2"/>
        <v>317051138</v>
      </c>
      <c r="G61" s="8">
        <v>5.0</v>
      </c>
      <c r="H61" s="9">
        <v>45081.0</v>
      </c>
      <c r="I61" s="10" t="s">
        <v>68</v>
      </c>
    </row>
    <row r="62">
      <c r="A62" s="5" t="str">
        <f t="array" ref="A62">INDEX(event_table!$A$2:$A$69, RANDBETWEEN(1, COUNTA(event_table!$A$2:$A$69)))</f>
        <v>1646</v>
      </c>
      <c r="B62" s="6">
        <f t="array" ref="B62">IFERROR(INDEX(event_table!$E$1:$E3686,MATCH(A62,event_table!$A$1:$A3686,0)),"")
</f>
        <v>6</v>
      </c>
      <c r="C62" s="7">
        <f t="shared" si="1"/>
        <v>1</v>
      </c>
      <c r="D62" s="6" t="str">
        <f t="array" ref="D62">IFERROR(INDEX(user_table!$C$2:$C3686,MATCH(C62,user_table!$B$2:$B3686,0)),"")
</f>
        <v>Maya Putri</v>
      </c>
      <c r="E62" s="6" t="str">
        <f t="array" ref="E62">IFERROR(INDEX(user_table!$E$2:$E3686,MATCH(C62,user_table!$B$2:$B3686,0)),"")
</f>
        <v>5, 6</v>
      </c>
      <c r="F62" s="6" t="str">
        <f t="shared" si="2"/>
        <v>1646561</v>
      </c>
      <c r="G62" s="8">
        <v>5.0</v>
      </c>
      <c r="H62" s="9">
        <v>45049.0</v>
      </c>
      <c r="I62" s="10" t="s">
        <v>69</v>
      </c>
    </row>
    <row r="63">
      <c r="A63" s="5" t="str">
        <f t="array" ref="A63">INDEX(event_table!$A$2:$A$69, RANDBETWEEN(1, COUNTA(event_table!$A$2:$A$69)))</f>
        <v>3167</v>
      </c>
      <c r="B63" s="6">
        <f t="array" ref="B63">IFERROR(INDEX(event_table!$E$1:$E3686,MATCH(A63,event_table!$A$1:$A3686,0)),"")
</f>
        <v>1</v>
      </c>
      <c r="C63" s="7">
        <f t="shared" si="1"/>
        <v>158</v>
      </c>
      <c r="D63" s="6" t="str">
        <f t="array" ref="D63">IFERROR(INDEX(user_table!$C$2:$C3686,MATCH(C63,user_table!$B$2:$B3686,0)),"")
</f>
        <v>Maya Wijaya</v>
      </c>
      <c r="E63" s="6" t="str">
        <f t="array" ref="E63">IFERROR(INDEX(user_table!$E$2:$E3686,MATCH(C63,user_table!$B$2:$B3686,0)),"")
</f>
        <v>3, 4</v>
      </c>
      <c r="F63" s="6" t="str">
        <f t="shared" si="2"/>
        <v>316751158</v>
      </c>
      <c r="G63" s="8">
        <v>5.0</v>
      </c>
      <c r="H63" s="9">
        <v>44935.0</v>
      </c>
      <c r="I63" s="10" t="s">
        <v>70</v>
      </c>
    </row>
    <row r="64">
      <c r="A64" s="5" t="str">
        <f t="array" ref="A64">INDEX(event_table!$A$2:$A$69, RANDBETWEEN(1, COUNTA(event_table!$A$2:$A$69)))</f>
        <v>115</v>
      </c>
      <c r="B64" s="6">
        <f t="array" ref="B64">IFERROR(INDEX(event_table!$E$1:$E3686,MATCH(A64,event_table!$A$1:$A3686,0)),"")
</f>
        <v>1</v>
      </c>
      <c r="C64" s="7">
        <f t="shared" si="1"/>
        <v>93</v>
      </c>
      <c r="D64" s="6" t="str">
        <f t="array" ref="D64">IFERROR(INDEX(user_table!$C$2:$C3686,MATCH(C64,user_table!$B$2:$B3686,0)),"")
</f>
        <v>Hadi Putri</v>
      </c>
      <c r="E64" s="6" t="str">
        <f t="array" ref="E64">IFERROR(INDEX(user_table!$E$2:$E3686,MATCH(C64,user_table!$B$2:$B3686,0)),"")
</f>
        <v>5, 6</v>
      </c>
      <c r="F64" s="6" t="str">
        <f t="shared" si="2"/>
        <v>1155193</v>
      </c>
      <c r="G64" s="8">
        <v>5.0</v>
      </c>
      <c r="H64" s="9">
        <v>44879.0</v>
      </c>
      <c r="I64" s="10" t="s">
        <v>71</v>
      </c>
    </row>
    <row r="65">
      <c r="A65" s="5" t="str">
        <f t="array" ref="A65">INDEX(event_table!$A$2:$A$69, RANDBETWEEN(1, COUNTA(event_table!$A$2:$A$69)))</f>
        <v>3165</v>
      </c>
      <c r="B65" s="6">
        <f t="array" ref="B65">IFERROR(INDEX(event_table!$E$1:$E3686,MATCH(A65,event_table!$A$1:$A3686,0)),"")
</f>
        <v>1</v>
      </c>
      <c r="C65" s="7">
        <f t="shared" si="1"/>
        <v>182</v>
      </c>
      <c r="D65" s="6" t="str">
        <f t="array" ref="D65">IFERROR(INDEX(user_table!$C$2:$C3686,MATCH(C65,user_table!$B$2:$B3686,0)),"")
</f>
        <v>Siti Utami</v>
      </c>
      <c r="E65" s="6" t="str">
        <f t="array" ref="E65">IFERROR(INDEX(user_table!$E$2:$E3686,MATCH(C65,user_table!$B$2:$B3686,0)),"")
</f>
        <v>5, 4</v>
      </c>
      <c r="F65" s="6" t="str">
        <f t="shared" si="2"/>
        <v>316551182</v>
      </c>
      <c r="G65" s="8">
        <v>5.0</v>
      </c>
      <c r="H65" s="9">
        <v>44789.0</v>
      </c>
      <c r="I65" s="10" t="s">
        <v>72</v>
      </c>
    </row>
    <row r="66">
      <c r="A66" s="5" t="str">
        <f t="array" ref="A66">INDEX(event_table!$A$2:$A$69, RANDBETWEEN(1, COUNTA(event_table!$A$2:$A$69)))</f>
        <v>1427</v>
      </c>
      <c r="B66" s="6">
        <f t="array" ref="B66">IFERROR(INDEX(event_table!$E$1:$E3686,MATCH(A66,event_table!$A$1:$A3686,0)),"")
</f>
        <v>4</v>
      </c>
      <c r="C66" s="7">
        <f t="shared" si="1"/>
        <v>84</v>
      </c>
      <c r="D66" s="6" t="str">
        <f t="array" ref="D66">IFERROR(INDEX(user_table!$C$2:$C3686,MATCH(C66,user_table!$B$2:$B3686,0)),"")
</f>
        <v>Budi Hermawan</v>
      </c>
      <c r="E66" s="6" t="str">
        <f t="array" ref="E66">IFERROR(INDEX(user_table!$E$2:$E3686,MATCH(C66,user_table!$B$2:$B3686,0)),"")
</f>
        <v>5, 5</v>
      </c>
      <c r="F66" s="6" t="str">
        <f t="shared" si="2"/>
        <v>14275484</v>
      </c>
      <c r="G66" s="8">
        <v>5.0</v>
      </c>
      <c r="H66" s="9">
        <v>44706.0</v>
      </c>
      <c r="I66" s="10" t="s">
        <v>73</v>
      </c>
    </row>
    <row r="67">
      <c r="A67" s="5" t="str">
        <f t="array" ref="A67">INDEX(event_table!$A$2:$A$69, RANDBETWEEN(1, COUNTA(event_table!$A$2:$A$69)))</f>
        <v>1526</v>
      </c>
      <c r="B67" s="6">
        <f t="array" ref="B67">IFERROR(INDEX(event_table!$E$1:$E3686,MATCH(A67,event_table!$A$1:$A3686,0)),"")
</f>
        <v>5</v>
      </c>
      <c r="C67" s="7">
        <f t="shared" si="1"/>
        <v>38</v>
      </c>
      <c r="D67" s="6" t="str">
        <f t="array" ref="D67">IFERROR(INDEX(user_table!$C$2:$C3686,MATCH(C67,user_table!$B$2:$B3686,0)),"")
</f>
        <v>Maya Utami</v>
      </c>
      <c r="E67" s="6" t="str">
        <f t="array" ref="E67">IFERROR(INDEX(user_table!$E$2:$E3686,MATCH(C67,user_table!$B$2:$B3686,0)),"")
</f>
        <v>2, 1</v>
      </c>
      <c r="F67" s="6" t="str">
        <f t="shared" si="2"/>
        <v>15265538</v>
      </c>
      <c r="G67" s="8">
        <v>5.0</v>
      </c>
      <c r="H67" s="9">
        <v>44702.0</v>
      </c>
      <c r="I67" s="10" t="s">
        <v>74</v>
      </c>
    </row>
    <row r="68">
      <c r="A68" s="5" t="str">
        <f t="array" ref="A68">INDEX(event_table!$A$2:$A$69, RANDBETWEEN(1, COUNTA(event_table!$A$2:$A$69)))</f>
        <v>3162</v>
      </c>
      <c r="B68" s="6">
        <f t="array" ref="B68">IFERROR(INDEX(event_table!$E$1:$E3686,MATCH(A68,event_table!$A$1:$A3686,0)),"")
</f>
        <v>1</v>
      </c>
      <c r="C68" s="7">
        <f t="shared" si="1"/>
        <v>128</v>
      </c>
      <c r="D68" s="6" t="str">
        <f t="array" ref="D68">IFERROR(INDEX(user_table!$C$2:$C3686,MATCH(C68,user_table!$B$2:$B3686,0)),"")
</f>
        <v>Bambang Utami</v>
      </c>
      <c r="E68" s="6" t="str">
        <f t="array" ref="E68">IFERROR(INDEX(user_table!$E$2:$E3686,MATCH(C68,user_table!$B$2:$B3686,0)),"")
</f>
        <v>3, 6</v>
      </c>
      <c r="F68" s="6" t="str">
        <f t="shared" si="2"/>
        <v>316241128</v>
      </c>
      <c r="G68" s="8">
        <v>4.0</v>
      </c>
      <c r="H68" s="9">
        <v>45087.0</v>
      </c>
      <c r="I68" s="10" t="s">
        <v>75</v>
      </c>
    </row>
    <row r="69">
      <c r="A69" s="5" t="str">
        <f t="array" ref="A69">INDEX(event_table!$A$2:$A$69, RANDBETWEEN(1, COUNTA(event_table!$A$2:$A$69)))</f>
        <v>1642</v>
      </c>
      <c r="B69" s="6">
        <f t="array" ref="B69">IFERROR(INDEX(event_table!$E$1:$E3686,MATCH(A69,event_table!$A$1:$A3686,0)),"")
</f>
        <v>6</v>
      </c>
      <c r="C69" s="7">
        <f t="shared" si="1"/>
        <v>66</v>
      </c>
      <c r="D69" s="6" t="str">
        <f t="array" ref="D69">IFERROR(INDEX(user_table!$C$2:$C3686,MATCH(C69,user_table!$B$2:$B3686,0)),"")
</f>
        <v>Agus Wijaya</v>
      </c>
      <c r="E69" s="6" t="str">
        <f t="array" ref="E69">IFERROR(INDEX(user_table!$E$2:$E3686,MATCH(C69,user_table!$B$2:$B3686,0)),"")
</f>
        <v>5, 3</v>
      </c>
      <c r="F69" s="6" t="str">
        <f t="shared" si="2"/>
        <v>16424666</v>
      </c>
      <c r="G69" s="8">
        <v>4.0</v>
      </c>
      <c r="H69" s="9">
        <v>45054.0</v>
      </c>
      <c r="I69" s="10" t="s">
        <v>76</v>
      </c>
    </row>
    <row r="70">
      <c r="A70" s="5" t="str">
        <f t="array" ref="A70">INDEX(event_table!$A$2:$A$69, RANDBETWEEN(1, COUNTA(event_table!$A$2:$A$69)))</f>
        <v>1636</v>
      </c>
      <c r="B70" s="6">
        <f t="array" ref="B70">IFERROR(INDEX(event_table!$E$1:$E3686,MATCH(A70,event_table!$A$1:$A3686,0)),"")
</f>
        <v>6</v>
      </c>
      <c r="C70" s="7">
        <f t="shared" si="1"/>
        <v>35</v>
      </c>
      <c r="D70" s="6" t="str">
        <f t="array" ref="D70">IFERROR(INDEX(user_table!$C$2:$C3686,MATCH(C70,user_table!$B$2:$B3686,0)),"")
</f>
        <v>Maya Nugroho</v>
      </c>
      <c r="E70" s="6" t="str">
        <f t="array" ref="E70">IFERROR(INDEX(user_table!$E$2:$E3686,MATCH(C70,user_table!$B$2:$B3686,0)),"")
</f>
        <v>6, 2</v>
      </c>
      <c r="F70" s="6" t="str">
        <f t="shared" si="2"/>
        <v>16364635</v>
      </c>
      <c r="G70" s="8">
        <v>4.0</v>
      </c>
      <c r="H70" s="9">
        <v>44971.0</v>
      </c>
      <c r="I70" s="10" t="s">
        <v>77</v>
      </c>
    </row>
    <row r="71">
      <c r="A71" s="5" t="str">
        <f t="array" ref="A71">INDEX(event_table!$A$2:$A$69, RANDBETWEEN(1, COUNTA(event_table!$A$2:$A$69)))</f>
        <v>1423</v>
      </c>
      <c r="B71" s="6">
        <f t="array" ref="B71">IFERROR(INDEX(event_table!$E$1:$E3686,MATCH(A71,event_table!$A$1:$A3686,0)),"")
</f>
        <v>4</v>
      </c>
      <c r="C71" s="7">
        <f t="shared" si="1"/>
        <v>118</v>
      </c>
      <c r="D71" s="6" t="str">
        <f t="array" ref="D71">IFERROR(INDEX(user_table!$C$2:$C3686,MATCH(C71,user_table!$B$2:$B3686,0)),"")
</f>
        <v>Ani Santoso</v>
      </c>
      <c r="E71" s="6" t="str">
        <f t="array" ref="E71">IFERROR(INDEX(user_table!$E$2:$E3686,MATCH(C71,user_table!$B$2:$B3686,0)),"")
</f>
        <v>6, 1</v>
      </c>
      <c r="F71" s="6" t="str">
        <f t="shared" si="2"/>
        <v>142344118</v>
      </c>
      <c r="G71" s="8">
        <v>4.0</v>
      </c>
      <c r="H71" s="9">
        <v>44858.0</v>
      </c>
      <c r="I71" s="10" t="s">
        <v>78</v>
      </c>
    </row>
    <row r="72">
      <c r="A72" s="5" t="str">
        <f t="array" ref="A72">INDEX(event_table!$A$2:$A$69, RANDBETWEEN(1, COUNTA(event_table!$A$2:$A$69)))</f>
        <v>1647</v>
      </c>
      <c r="B72" s="6">
        <f t="array" ref="B72">IFERROR(INDEX(event_table!$E$1:$E3686,MATCH(A72,event_table!$A$1:$A3686,0)),"")
</f>
        <v>6</v>
      </c>
      <c r="C72" s="7">
        <f t="shared" si="1"/>
        <v>101</v>
      </c>
      <c r="D72" s="6" t="str">
        <f t="array" ref="D72">IFERROR(INDEX(user_table!$C$2:$C3686,MATCH(C72,user_table!$B$2:$B3686,0)),"")
</f>
        <v>Maya Hadiwijaya</v>
      </c>
      <c r="E72" s="6" t="str">
        <f t="array" ref="E72">IFERROR(INDEX(user_table!$E$2:$E3686,MATCH(C72,user_table!$B$2:$B3686,0)),"")
</f>
        <v>5, 4</v>
      </c>
      <c r="F72" s="6" t="str">
        <f t="shared" si="2"/>
        <v>164746101</v>
      </c>
      <c r="G72" s="8">
        <v>4.0</v>
      </c>
      <c r="H72" s="9">
        <v>44717.0</v>
      </c>
      <c r="I72" s="10" t="s">
        <v>79</v>
      </c>
    </row>
    <row r="73">
      <c r="A73" s="5" t="str">
        <f t="array" ref="A73">INDEX(event_table!$A$2:$A$69, RANDBETWEEN(1, COUNTA(event_table!$A$2:$A$69)))</f>
        <v>1644</v>
      </c>
      <c r="B73" s="6">
        <f t="array" ref="B73">IFERROR(INDEX(event_table!$E$1:$E3686,MATCH(A73,event_table!$A$1:$A3686,0)),"")
</f>
        <v>6</v>
      </c>
      <c r="C73" s="7">
        <f t="shared" si="1"/>
        <v>141</v>
      </c>
      <c r="D73" s="6" t="str">
        <f t="array" ref="D73">IFERROR(INDEX(user_table!$C$2:$C3686,MATCH(C73,user_table!$B$2:$B3686,0)),"")
</f>
        <v>Bambang Santoso</v>
      </c>
      <c r="E73" s="6" t="str">
        <f t="array" ref="E73">IFERROR(INDEX(user_table!$E$2:$E3686,MATCH(C73,user_table!$B$2:$B3686,0)),"")
</f>
        <v>5, 3</v>
      </c>
      <c r="F73" s="6" t="str">
        <f t="shared" si="2"/>
        <v>164436141</v>
      </c>
      <c r="G73" s="8">
        <v>3.0</v>
      </c>
      <c r="H73" s="9">
        <v>44708.0</v>
      </c>
      <c r="I73" s="10" t="s">
        <v>80</v>
      </c>
    </row>
    <row r="74">
      <c r="A74" s="5" t="str">
        <f t="array" ref="A74">INDEX(event_table!$A$2:$A$69, RANDBETWEEN(1, COUNTA(event_table!$A$2:$A$69)))</f>
        <v>1531</v>
      </c>
      <c r="B74" s="6">
        <f t="array" ref="B74">IFERROR(INDEX(event_table!$E$1:$E3686,MATCH(A74,event_table!$A$1:$A3686,0)),"")
</f>
        <v>5</v>
      </c>
      <c r="C74" s="7">
        <f t="shared" si="1"/>
        <v>54</v>
      </c>
      <c r="D74" s="6" t="str">
        <f t="array" ref="D74">IFERROR(INDEX(user_table!$C$2:$C3686,MATCH(C74,user_table!$B$2:$B3686,0)),"")
</f>
        <v>Andi Kurniawan</v>
      </c>
      <c r="E74" s="6" t="str">
        <f t="array" ref="E74">IFERROR(INDEX(user_table!$E$2:$E3686,MATCH(C74,user_table!$B$2:$B3686,0)),"")
</f>
        <v>4, 4</v>
      </c>
      <c r="F74" s="6" t="str">
        <f t="shared" si="2"/>
        <v>15313554</v>
      </c>
      <c r="G74" s="8">
        <v>3.0</v>
      </c>
      <c r="H74" s="9">
        <v>45251.0</v>
      </c>
      <c r="I74" s="10" t="s">
        <v>81</v>
      </c>
    </row>
    <row r="75">
      <c r="A75" s="5" t="str">
        <f t="array" ref="A75">INDEX(event_table!$A$2:$A$69, RANDBETWEEN(1, COUNTA(event_table!$A$2:$A$69)))</f>
        <v>1641</v>
      </c>
      <c r="B75" s="6">
        <f t="array" ref="B75">IFERROR(INDEX(event_table!$E$1:$E3686,MATCH(A75,event_table!$A$1:$A3686,0)),"")
</f>
        <v>6</v>
      </c>
      <c r="C75" s="7">
        <f t="shared" si="1"/>
        <v>65</v>
      </c>
      <c r="D75" s="6" t="str">
        <f t="array" ref="D75">IFERROR(INDEX(user_table!$C$2:$C3686,MATCH(C75,user_table!$B$2:$B3686,0)),"")
</f>
        <v>Siti Pratama</v>
      </c>
      <c r="E75" s="6" t="str">
        <f t="array" ref="E75">IFERROR(INDEX(user_table!$E$2:$E3686,MATCH(C75,user_table!$B$2:$B3686,0)),"")
</f>
        <v>5, 6</v>
      </c>
      <c r="F75" s="6" t="str">
        <f t="shared" si="2"/>
        <v>16413665</v>
      </c>
      <c r="G75" s="8">
        <v>3.0</v>
      </c>
      <c r="H75" s="9">
        <v>45191.0</v>
      </c>
      <c r="I75" s="10" t="s">
        <v>82</v>
      </c>
    </row>
    <row r="76">
      <c r="A76" s="5" t="str">
        <f t="array" ref="A76">INDEX(event_table!$A$2:$A$69, RANDBETWEEN(1, COUNTA(event_table!$A$2:$A$69)))</f>
        <v>1417</v>
      </c>
      <c r="B76" s="6">
        <f t="array" ref="B76">IFERROR(INDEX(event_table!$E$1:$E3686,MATCH(A76,event_table!$A$1:$A3686,0)),"")
</f>
        <v>4</v>
      </c>
      <c r="C76" s="7">
        <f t="shared" si="1"/>
        <v>196</v>
      </c>
      <c r="D76" s="6" t="str">
        <f t="array" ref="D76">IFERROR(INDEX(user_table!$C$2:$C3686,MATCH(C76,user_table!$B$2:$B3686,0)),"")
</f>
        <v>Dewi Susanto</v>
      </c>
      <c r="E76" s="6" t="str">
        <f t="array" ref="E76">IFERROR(INDEX(user_table!$E$2:$E3686,MATCH(C76,user_table!$B$2:$B3686,0)),"")
</f>
        <v>2, 1</v>
      </c>
      <c r="F76" s="6" t="str">
        <f t="shared" si="2"/>
        <v>141734196</v>
      </c>
      <c r="G76" s="8">
        <v>3.0</v>
      </c>
      <c r="H76" s="9">
        <v>45171.0</v>
      </c>
      <c r="I76" s="10" t="s">
        <v>83</v>
      </c>
    </row>
    <row r="77">
      <c r="A77" s="5" t="str">
        <f t="array" ref="A77">INDEX(event_table!$A$2:$A$69, RANDBETWEEN(1, COUNTA(event_table!$A$2:$A$69)))</f>
        <v>122</v>
      </c>
      <c r="B77" s="6">
        <f t="array" ref="B77">IFERROR(INDEX(event_table!$E$1:$E3686,MATCH(A77,event_table!$A$1:$A3686,0)),"")
</f>
        <v>2</v>
      </c>
      <c r="C77" s="7">
        <f t="shared" si="1"/>
        <v>107</v>
      </c>
      <c r="D77" s="6" t="str">
        <f t="array" ref="D77">IFERROR(INDEX(user_table!$C$2:$C3686,MATCH(C77,user_table!$B$2:$B3686,0)),"")
</f>
        <v>Citra Rahayu</v>
      </c>
      <c r="E77" s="6" t="str">
        <f t="array" ref="E77">IFERROR(INDEX(user_table!$E$2:$E3686,MATCH(C77,user_table!$B$2:$B3686,0)),"")
</f>
        <v>1, 5</v>
      </c>
      <c r="F77" s="6" t="str">
        <f t="shared" si="2"/>
        <v>12232107</v>
      </c>
      <c r="G77" s="8">
        <v>3.0</v>
      </c>
      <c r="H77" s="9">
        <v>45157.0</v>
      </c>
      <c r="I77" s="10" t="s">
        <v>84</v>
      </c>
    </row>
    <row r="78">
      <c r="A78" s="5" t="str">
        <f t="array" ref="A78">INDEX(event_table!$A$2:$A$69, RANDBETWEEN(1, COUNTA(event_table!$A$2:$A$69)))</f>
        <v>3165</v>
      </c>
      <c r="B78" s="6">
        <f t="array" ref="B78">IFERROR(INDEX(event_table!$E$1:$E3686,MATCH(A78,event_table!$A$1:$A3686,0)),"")
</f>
        <v>1</v>
      </c>
      <c r="C78" s="7">
        <f t="shared" si="1"/>
        <v>56</v>
      </c>
      <c r="D78" s="6" t="str">
        <f t="array" ref="D78">IFERROR(INDEX(user_table!$C$2:$C3686,MATCH(C78,user_table!$B$2:$B3686,0)),"")
</f>
        <v>Desi Putri</v>
      </c>
      <c r="E78" s="6" t="str">
        <f t="array" ref="E78">IFERROR(INDEX(user_table!$E$2:$E3686,MATCH(C78,user_table!$B$2:$B3686,0)),"")
</f>
        <v>1, 3</v>
      </c>
      <c r="F78" s="6" t="str">
        <f t="shared" si="2"/>
        <v>31653156</v>
      </c>
      <c r="G78" s="8">
        <v>3.0</v>
      </c>
      <c r="H78" s="9">
        <v>45125.0</v>
      </c>
      <c r="I78" s="10" t="s">
        <v>85</v>
      </c>
    </row>
    <row r="79">
      <c r="A79" s="5" t="str">
        <f t="array" ref="A79">INDEX(event_table!$A$2:$A$69, RANDBETWEEN(1, COUNTA(event_table!$A$2:$A$69)))</f>
        <v>3658</v>
      </c>
      <c r="B79" s="6">
        <f t="array" ref="B79">IFERROR(INDEX(event_table!$E$1:$E3686,MATCH(A79,event_table!$A$1:$A3686,0)),"")
</f>
        <v>6</v>
      </c>
      <c r="C79" s="7">
        <f t="shared" si="1"/>
        <v>117</v>
      </c>
      <c r="D79" s="6" t="str">
        <f t="array" ref="D79">IFERROR(INDEX(user_table!$C$2:$C3686,MATCH(C79,user_table!$B$2:$B3686,0)),"")
</f>
        <v>Wahyu Sari</v>
      </c>
      <c r="E79" s="6" t="str">
        <f t="array" ref="E79">IFERROR(INDEX(user_table!$E$2:$E3686,MATCH(C79,user_table!$B$2:$B3686,0)),"")
</f>
        <v>4, 2</v>
      </c>
      <c r="F79" s="6" t="str">
        <f t="shared" si="2"/>
        <v>365836117</v>
      </c>
      <c r="G79" s="8">
        <v>3.0</v>
      </c>
      <c r="H79" s="9">
        <v>45109.0</v>
      </c>
      <c r="I79" s="10" t="s">
        <v>86</v>
      </c>
    </row>
    <row r="80">
      <c r="A80" s="5" t="str">
        <f t="array" ref="A80">INDEX(event_table!$A$2:$A$69, RANDBETWEEN(1, COUNTA(event_table!$A$2:$A$69)))</f>
        <v>1529</v>
      </c>
      <c r="B80" s="6">
        <f t="array" ref="B80">IFERROR(INDEX(event_table!$E$1:$E3686,MATCH(A80,event_table!$A$1:$A3686,0)),"")
</f>
        <v>5</v>
      </c>
      <c r="C80" s="7">
        <f t="shared" si="1"/>
        <v>1</v>
      </c>
      <c r="D80" s="6" t="str">
        <f t="array" ref="D80">IFERROR(INDEX(user_table!$C$2:$C3686,MATCH(C80,user_table!$B$2:$B3686,0)),"")
</f>
        <v>Maya Putri</v>
      </c>
      <c r="E80" s="6" t="str">
        <f t="array" ref="E80">IFERROR(INDEX(user_table!$E$2:$E3686,MATCH(C80,user_table!$B$2:$B3686,0)),"")
</f>
        <v>5, 6</v>
      </c>
      <c r="F80" s="6" t="str">
        <f t="shared" si="2"/>
        <v>1529251</v>
      </c>
      <c r="G80" s="8">
        <v>2.0</v>
      </c>
      <c r="H80" s="9">
        <v>45007.0</v>
      </c>
      <c r="I80" s="10" t="s">
        <v>87</v>
      </c>
    </row>
    <row r="81">
      <c r="A81" s="5" t="str">
        <f t="array" ref="A81">INDEX(event_table!$A$2:$A$69, RANDBETWEEN(1, COUNTA(event_table!$A$2:$A$69)))</f>
        <v>3658</v>
      </c>
      <c r="B81" s="6">
        <f t="array" ref="B81">IFERROR(INDEX(event_table!$E$1:$E3686,MATCH(A81,event_table!$A$1:$A3686,0)),"")
</f>
        <v>6</v>
      </c>
      <c r="C81" s="7">
        <f t="shared" si="1"/>
        <v>135</v>
      </c>
      <c r="D81" s="6" t="str">
        <f t="array" ref="D81">IFERROR(INDEX(user_table!$C$2:$C3686,MATCH(C81,user_table!$B$2:$B3686,0)),"")
</f>
        <v>Sinta Hermawan</v>
      </c>
      <c r="E81" s="6" t="str">
        <f t="array" ref="E81">IFERROR(INDEX(user_table!$E$2:$E3686,MATCH(C81,user_table!$B$2:$B3686,0)),"")
</f>
        <v>1, 5</v>
      </c>
      <c r="F81" s="6" t="str">
        <f t="shared" si="2"/>
        <v>365826135</v>
      </c>
      <c r="G81" s="8">
        <v>2.0</v>
      </c>
      <c r="H81" s="9">
        <v>44947.0</v>
      </c>
      <c r="I81" s="10" t="s">
        <v>88</v>
      </c>
    </row>
    <row r="82">
      <c r="A82" s="5" t="str">
        <f t="array" ref="A82">INDEX(event_table!$A$2:$A$69, RANDBETWEEN(1, COUNTA(event_table!$A$2:$A$69)))</f>
        <v>1335</v>
      </c>
      <c r="B82" s="6">
        <f t="array" ref="B82">IFERROR(INDEX(event_table!$E$1:$E3686,MATCH(A82,event_table!$A$1:$A3686,0)),"")
</f>
        <v>3</v>
      </c>
      <c r="C82" s="7">
        <f t="shared" si="1"/>
        <v>3</v>
      </c>
      <c r="D82" s="6" t="str">
        <f t="array" ref="D82">IFERROR(INDEX(user_table!$C$2:$C3686,MATCH(C82,user_table!$B$2:$B3686,0)),"")
</f>
        <v>Fandi Wijaya</v>
      </c>
      <c r="E82" s="6" t="str">
        <f t="array" ref="E82">IFERROR(INDEX(user_table!$E$2:$E3686,MATCH(C82,user_table!$B$2:$B3686,0)),"")
</f>
        <v>6, 1</v>
      </c>
      <c r="F82" s="6" t="str">
        <f t="shared" si="2"/>
        <v>1335233</v>
      </c>
      <c r="G82" s="8">
        <v>2.0</v>
      </c>
      <c r="H82" s="9">
        <v>44690.0</v>
      </c>
      <c r="I82" s="10" t="s">
        <v>89</v>
      </c>
    </row>
    <row r="83">
      <c r="A83" s="5" t="str">
        <f t="array" ref="A83">INDEX(event_table!$A$2:$A$69, RANDBETWEEN(1, COUNTA(event_table!$A$2:$A$69)))</f>
        <v>1425</v>
      </c>
      <c r="B83" s="6">
        <f t="array" ref="B83">IFERROR(INDEX(event_table!$E$1:$E3686,MATCH(A83,event_table!$A$1:$A3686,0)),"")
</f>
        <v>4</v>
      </c>
      <c r="C83" s="7">
        <f t="shared" si="1"/>
        <v>52</v>
      </c>
      <c r="D83" s="6" t="str">
        <f t="array" ref="D83">IFERROR(INDEX(user_table!$C$2:$C3686,MATCH(C83,user_table!$B$2:$B3686,0)),"")
</f>
        <v>Ani Nurhayati</v>
      </c>
      <c r="E83" s="6" t="str">
        <f t="array" ref="E83">IFERROR(INDEX(user_table!$E$2:$E3686,MATCH(C83,user_table!$B$2:$B3686,0)),"")
</f>
        <v>2, 2</v>
      </c>
      <c r="F83" s="6" t="str">
        <f t="shared" si="2"/>
        <v>14252452</v>
      </c>
      <c r="G83" s="8">
        <v>2.0</v>
      </c>
      <c r="H83" s="9">
        <v>45021.0</v>
      </c>
      <c r="I83" s="10" t="s">
        <v>90</v>
      </c>
    </row>
    <row r="84">
      <c r="A84" s="5" t="str">
        <f t="array" ref="A84">INDEX(event_table!$A$2:$A$69, RANDBETWEEN(1, COUNTA(event_table!$A$2:$A$69)))</f>
        <v>1333</v>
      </c>
      <c r="B84" s="6">
        <f t="array" ref="B84">IFERROR(INDEX(event_table!$E$1:$E3686,MATCH(A84,event_table!$A$1:$A3686,0)),"")
</f>
        <v>3</v>
      </c>
      <c r="C84" s="7">
        <f t="shared" si="1"/>
        <v>194</v>
      </c>
      <c r="D84" s="6" t="str">
        <f t="array" ref="D84">IFERROR(INDEX(user_table!$C$2:$C3686,MATCH(C84,user_table!$B$2:$B3686,0)),"")
</f>
        <v>Andi Putri</v>
      </c>
      <c r="E84" s="6" t="str">
        <f t="array" ref="E84">IFERROR(INDEX(user_table!$E$2:$E3686,MATCH(C84,user_table!$B$2:$B3686,0)),"")
</f>
        <v>4, 4</v>
      </c>
      <c r="F84" s="6" t="str">
        <f t="shared" si="2"/>
        <v>133323194</v>
      </c>
      <c r="G84" s="8">
        <v>2.0</v>
      </c>
      <c r="H84" s="9">
        <v>44920.0</v>
      </c>
      <c r="I84" s="10" t="s">
        <v>91</v>
      </c>
    </row>
    <row r="85">
      <c r="A85" s="5" t="str">
        <f t="array" ref="A85">INDEX(event_table!$A$2:$A$69, RANDBETWEEN(1, COUNTA(event_table!$A$2:$A$69)))</f>
        <v>1423</v>
      </c>
      <c r="B85" s="6">
        <f t="array" ref="B85">IFERROR(INDEX(event_table!$E$1:$E3686,MATCH(A85,event_table!$A$1:$A3686,0)),"")
</f>
        <v>4</v>
      </c>
      <c r="C85" s="7">
        <f t="shared" si="1"/>
        <v>150</v>
      </c>
      <c r="D85" s="6" t="str">
        <f t="array" ref="D85">IFERROR(INDEX(user_table!$C$2:$C3686,MATCH(C85,user_table!$B$2:$B3686,0)),"")
</f>
        <v>Dina Susanto</v>
      </c>
      <c r="E85" s="6" t="str">
        <f t="array" ref="E85">IFERROR(INDEX(user_table!$E$2:$E3686,MATCH(C85,user_table!$B$2:$B3686,0)),"")
</f>
        <v>2, 6</v>
      </c>
      <c r="F85" s="6" t="str">
        <f t="shared" si="2"/>
        <v>142324150</v>
      </c>
      <c r="G85" s="8">
        <v>2.0</v>
      </c>
      <c r="H85" s="9">
        <v>44427.0</v>
      </c>
      <c r="I85" s="10" t="s">
        <v>92</v>
      </c>
    </row>
    <row r="86">
      <c r="A86" s="5" t="str">
        <f t="array" ref="A86">INDEX(event_table!$A$2:$A$69, RANDBETWEEN(1, COUNTA(event_table!$A$2:$A$69)))</f>
        <v>122</v>
      </c>
      <c r="B86" s="6">
        <f t="array" ref="B86">IFERROR(INDEX(event_table!$E$1:$E3686,MATCH(A86,event_table!$A$1:$A3686,0)),"")
</f>
        <v>2</v>
      </c>
      <c r="C86" s="7">
        <f t="shared" si="1"/>
        <v>52</v>
      </c>
      <c r="D86" s="6" t="str">
        <f t="array" ref="D86">IFERROR(INDEX(user_table!$C$2:$C3686,MATCH(C86,user_table!$B$2:$B3686,0)),"")
</f>
        <v>Ani Nurhayati</v>
      </c>
      <c r="E86" s="6" t="str">
        <f t="array" ref="E86">IFERROR(INDEX(user_table!$E$2:$E3686,MATCH(C86,user_table!$B$2:$B3686,0)),"")
</f>
        <v>2, 2</v>
      </c>
      <c r="F86" s="6" t="str">
        <f t="shared" si="2"/>
        <v>1222252</v>
      </c>
      <c r="G86" s="8">
        <v>2.0</v>
      </c>
      <c r="H86" s="9">
        <v>45255.0</v>
      </c>
      <c r="I86" s="10" t="s">
        <v>93</v>
      </c>
    </row>
    <row r="87">
      <c r="A87" s="5" t="str">
        <f t="array" ref="A87">INDEX(event_table!$A$2:$A$69, RANDBETWEEN(1, COUNTA(event_table!$A$2:$A$69)))</f>
        <v>3169</v>
      </c>
      <c r="B87" s="6">
        <f t="array" ref="B87">IFERROR(INDEX(event_table!$E$1:$E3686,MATCH(A87,event_table!$A$1:$A3686,0)),"")
</f>
        <v>1</v>
      </c>
      <c r="C87" s="7">
        <f t="shared" si="1"/>
        <v>7</v>
      </c>
      <c r="D87" s="6" t="str">
        <f t="array" ref="D87">IFERROR(INDEX(user_table!$C$2:$C3686,MATCH(C87,user_table!$B$2:$B3686,0)),"")
</f>
        <v>Maya Sari</v>
      </c>
      <c r="E87" s="6" t="str">
        <f t="array" ref="E87">IFERROR(INDEX(user_table!$E$2:$E3686,MATCH(C87,user_table!$B$2:$B3686,0)),"")
</f>
        <v>5, 2</v>
      </c>
      <c r="F87" s="6" t="str">
        <f t="shared" si="2"/>
        <v>3169217</v>
      </c>
      <c r="G87" s="8">
        <v>2.0</v>
      </c>
      <c r="H87" s="9">
        <v>45063.0</v>
      </c>
      <c r="I87" s="10" t="s">
        <v>94</v>
      </c>
    </row>
    <row r="88">
      <c r="A88" s="5" t="str">
        <f t="array" ref="A88">INDEX(event_table!$A$2:$A$69, RANDBETWEEN(1, COUNTA(event_table!$A$2:$A$69)))</f>
        <v>1110</v>
      </c>
      <c r="B88" s="6">
        <f t="array" ref="B88">IFERROR(INDEX(event_table!$E$1:$E3686,MATCH(A88,event_table!$A$1:$A3686,0)),"")
</f>
        <v>1</v>
      </c>
      <c r="C88" s="7">
        <f t="shared" si="1"/>
        <v>196</v>
      </c>
      <c r="D88" s="6" t="str">
        <f t="array" ref="D88">IFERROR(INDEX(user_table!$C$2:$C3686,MATCH(C88,user_table!$B$2:$B3686,0)),"")
</f>
        <v>Dewi Susanto</v>
      </c>
      <c r="E88" s="6" t="str">
        <f t="array" ref="E88">IFERROR(INDEX(user_table!$E$2:$E3686,MATCH(C88,user_table!$B$2:$B3686,0)),"")
</f>
        <v>2, 1</v>
      </c>
      <c r="F88" s="6" t="str">
        <f t="shared" si="2"/>
        <v>111011196</v>
      </c>
      <c r="G88" s="8">
        <v>1.0</v>
      </c>
      <c r="H88" s="9">
        <v>45267.0</v>
      </c>
      <c r="I88" s="10" t="s">
        <v>95</v>
      </c>
    </row>
    <row r="89">
      <c r="A89" s="5" t="str">
        <f t="array" ref="A89">INDEX(event_table!$A$2:$A$69, RANDBETWEEN(1, COUNTA(event_table!$A$2:$A$69)))</f>
        <v>1425</v>
      </c>
      <c r="B89" s="6">
        <f t="array" ref="B89">IFERROR(INDEX(event_table!$E$1:$E3686,MATCH(A89,event_table!$A$1:$A3686,0)),"")
</f>
        <v>4</v>
      </c>
      <c r="C89" s="7">
        <f t="shared" si="1"/>
        <v>188</v>
      </c>
      <c r="D89" s="6" t="str">
        <f t="array" ref="D89">IFERROR(INDEX(user_table!$C$2:$C3686,MATCH(C89,user_table!$B$2:$B3686,0)),"")
</f>
        <v>Siti Setiawan</v>
      </c>
      <c r="E89" s="6" t="str">
        <f t="array" ref="E89">IFERROR(INDEX(user_table!$E$2:$E3686,MATCH(C89,user_table!$B$2:$B3686,0)),"")
</f>
        <v>6, 6</v>
      </c>
      <c r="F89" s="6" t="str">
        <f t="shared" si="2"/>
        <v>142514188</v>
      </c>
      <c r="G89" s="8">
        <v>1.0</v>
      </c>
      <c r="H89" s="9">
        <v>45174.0</v>
      </c>
      <c r="I89" s="10" t="s">
        <v>96</v>
      </c>
    </row>
    <row r="90">
      <c r="A90" s="5" t="str">
        <f t="array" ref="A90">INDEX(event_table!$A$2:$A$69, RANDBETWEEN(1, COUNTA(event_table!$A$2:$A$69)))</f>
        <v>1640</v>
      </c>
      <c r="B90" s="6">
        <f t="array" ref="B90">IFERROR(INDEX(event_table!$E$1:$E3686,MATCH(A90,event_table!$A$1:$A3686,0)),"")
</f>
        <v>6</v>
      </c>
      <c r="C90" s="7">
        <f t="shared" si="1"/>
        <v>115</v>
      </c>
      <c r="D90" s="6" t="str">
        <f t="array" ref="D90">IFERROR(INDEX(user_table!$C$2:$C3686,MATCH(C90,user_table!$B$2:$B3686,0)),"")
</f>
        <v>Dewi Septiani</v>
      </c>
      <c r="E90" s="6" t="str">
        <f t="array" ref="E90">IFERROR(INDEX(user_table!$E$2:$E3686,MATCH(C90,user_table!$B$2:$B3686,0)),"")
</f>
        <v>6, 3</v>
      </c>
      <c r="F90" s="6" t="str">
        <f t="shared" si="2"/>
        <v>164016115</v>
      </c>
      <c r="G90" s="8">
        <v>1.0</v>
      </c>
      <c r="H90" s="9">
        <v>45160.0</v>
      </c>
      <c r="I90" s="10" t="s">
        <v>97</v>
      </c>
    </row>
    <row r="91">
      <c r="A91" s="5" t="str">
        <f t="array" ref="A91">INDEX(event_table!$A$2:$A$69, RANDBETWEEN(1, COUNTA(event_table!$A$2:$A$69)))</f>
        <v>1114</v>
      </c>
      <c r="B91" s="6">
        <f t="array" ref="B91">IFERROR(INDEX(event_table!$E$1:$E3686,MATCH(A91,event_table!$A$1:$A3686,0)),"")
</f>
        <v>1</v>
      </c>
      <c r="C91" s="7">
        <f t="shared" si="1"/>
        <v>59</v>
      </c>
      <c r="D91" s="6" t="str">
        <f t="array" ref="D91">IFERROR(INDEX(user_table!$C$2:$C3686,MATCH(C91,user_table!$B$2:$B3686,0)),"")
</f>
        <v>Siti Rahayu</v>
      </c>
      <c r="E91" s="6" t="str">
        <f t="array" ref="E91">IFERROR(INDEX(user_table!$E$2:$E3686,MATCH(C91,user_table!$B$2:$B3686,0)),"")
</f>
        <v>3, 5</v>
      </c>
      <c r="F91" s="6" t="str">
        <f t="shared" si="2"/>
        <v>11141159</v>
      </c>
      <c r="G91" s="8">
        <v>1.0</v>
      </c>
      <c r="H91" s="9">
        <v>45147.0</v>
      </c>
      <c r="I91" s="10" t="s">
        <v>98</v>
      </c>
    </row>
    <row r="92">
      <c r="A92" s="5" t="str">
        <f t="array" ref="A92">INDEX(event_table!$A$2:$A$69, RANDBETWEEN(1, COUNTA(event_table!$A$2:$A$69)))</f>
        <v>1417</v>
      </c>
      <c r="B92" s="6">
        <f t="array" ref="B92">IFERROR(INDEX(event_table!$E$1:$E3686,MATCH(A92,event_table!$A$1:$A3686,0)),"")
</f>
        <v>4</v>
      </c>
      <c r="C92" s="7">
        <f t="shared" si="1"/>
        <v>72</v>
      </c>
      <c r="D92" s="6" t="str">
        <f t="array" ref="D92">IFERROR(INDEX(user_table!$C$2:$C3686,MATCH(C92,user_table!$B$2:$B3686,0)),"")
</f>
        <v>Wahyu Kurniawan</v>
      </c>
      <c r="E92" s="6" t="str">
        <f t="array" ref="E92">IFERROR(INDEX(user_table!$E$2:$E3686,MATCH(C92,user_table!$B$2:$B3686,0)),"")
</f>
        <v>5, 3</v>
      </c>
      <c r="F92" s="6" t="str">
        <f t="shared" si="2"/>
        <v>14171472</v>
      </c>
      <c r="G92" s="8">
        <v>1.0</v>
      </c>
      <c r="H92" s="9">
        <v>45146.0</v>
      </c>
      <c r="I92" s="10" t="s">
        <v>99</v>
      </c>
    </row>
    <row r="93">
      <c r="A93" s="5" t="str">
        <f t="array" ref="A93">INDEX(event_table!$A$2:$A$69, RANDBETWEEN(1, COUNTA(event_table!$A$2:$A$69)))</f>
        <v>122</v>
      </c>
      <c r="B93" s="6">
        <f t="array" ref="B93">IFERROR(INDEX(event_table!$E$1:$E3686,MATCH(A93,event_table!$A$1:$A3686,0)),"")
</f>
        <v>2</v>
      </c>
      <c r="C93" s="7">
        <f t="shared" si="1"/>
        <v>99</v>
      </c>
      <c r="D93" s="6" t="str">
        <f t="array" ref="D93">IFERROR(INDEX(user_table!$C$2:$C3686,MATCH(C93,user_table!$B$2:$B3686,0)),"")
</f>
        <v>Maya Nugroho</v>
      </c>
      <c r="E93" s="6" t="str">
        <f t="array" ref="E93">IFERROR(INDEX(user_table!$E$2:$E3686,MATCH(C93,user_table!$B$2:$B3686,0)),"")
</f>
        <v>6, 1</v>
      </c>
      <c r="F93" s="6" t="str">
        <f t="shared" si="2"/>
        <v>1221299</v>
      </c>
      <c r="G93" s="8">
        <v>1.0</v>
      </c>
      <c r="H93" s="9">
        <v>45144.0</v>
      </c>
      <c r="I93" s="10" t="s">
        <v>100</v>
      </c>
    </row>
    <row r="94">
      <c r="A94" s="5" t="str">
        <f t="array" ref="A94">INDEX(event_table!$A$2:$A$69, RANDBETWEEN(1, COUNTA(event_table!$A$2:$A$69)))</f>
        <v>1643</v>
      </c>
      <c r="B94" s="6">
        <f t="array" ref="B94">IFERROR(INDEX(event_table!$E$1:$E3686,MATCH(A94,event_table!$A$1:$A3686,0)),"")
</f>
        <v>6</v>
      </c>
      <c r="C94" s="7">
        <f t="shared" si="1"/>
        <v>84</v>
      </c>
      <c r="D94" s="6" t="str">
        <f t="array" ref="D94">IFERROR(INDEX(user_table!$C$2:$C3686,MATCH(C94,user_table!$B$2:$B3686,0)),"")
</f>
        <v>Budi Hermawan</v>
      </c>
      <c r="E94" s="6" t="str">
        <f t="array" ref="E94">IFERROR(INDEX(user_table!$E$2:$E3686,MATCH(C94,user_table!$B$2:$B3686,0)),"")
</f>
        <v>5, 5</v>
      </c>
      <c r="F94" s="6" t="str">
        <f t="shared" si="2"/>
        <v>16431684</v>
      </c>
      <c r="G94" s="8">
        <v>1.0</v>
      </c>
      <c r="H94" s="9">
        <v>45143.0</v>
      </c>
      <c r="I94" s="10" t="s">
        <v>101</v>
      </c>
    </row>
    <row r="95">
      <c r="A95" s="5" t="str">
        <f t="array" ref="A95">INDEX(event_table!$A$2:$A$69, RANDBETWEEN(1, COUNTA(event_table!$A$2:$A$69)))</f>
        <v>1212</v>
      </c>
      <c r="B95" s="6">
        <f t="array" ref="B95">IFERROR(INDEX(event_table!$E$1:$E3686,MATCH(A95,event_table!$A$1:$A3686,0)),"")
</f>
        <v>2</v>
      </c>
      <c r="C95" s="7">
        <f t="shared" si="1"/>
        <v>142</v>
      </c>
      <c r="D95" s="6" t="str">
        <f t="array" ref="D95">IFERROR(INDEX(user_table!$C$2:$C3686,MATCH(C95,user_table!$B$2:$B3686,0)),"")
</f>
        <v>Siti Rahayu</v>
      </c>
      <c r="E95" s="6" t="str">
        <f t="array" ref="E95">IFERROR(INDEX(user_table!$E$2:$E3686,MATCH(C95,user_table!$B$2:$B3686,0)),"")
</f>
        <v>6, 3</v>
      </c>
      <c r="F95" s="6" t="str">
        <f t="shared" si="2"/>
        <v>121212142</v>
      </c>
      <c r="G95" s="8">
        <v>1.0</v>
      </c>
      <c r="H95" s="9">
        <v>45143.0</v>
      </c>
      <c r="I95" s="10" t="s">
        <v>102</v>
      </c>
    </row>
    <row r="96">
      <c r="A96" s="5" t="str">
        <f t="array" ref="A96">INDEX(event_table!$A$2:$A$69, RANDBETWEEN(1, COUNTA(event_table!$A$2:$A$69)))</f>
        <v>1313</v>
      </c>
      <c r="B96" s="6">
        <f t="array" ref="B96">IFERROR(INDEX(event_table!$E$1:$E3686,MATCH(A96,event_table!$A$1:$A3686,0)),"")
</f>
        <v>3</v>
      </c>
      <c r="C96" s="7">
        <f t="shared" si="1"/>
        <v>144</v>
      </c>
      <c r="D96" s="6" t="str">
        <f t="array" ref="D96">IFERROR(INDEX(user_table!$C$2:$C3686,MATCH(C96,user_table!$B$2:$B3686,0)),"")
</f>
        <v>Sinta Rahayu</v>
      </c>
      <c r="E96" s="6" t="str">
        <f t="array" ref="E96">IFERROR(INDEX(user_table!$E$2:$E3686,MATCH(C96,user_table!$B$2:$B3686,0)),"")
</f>
        <v>6, 3</v>
      </c>
      <c r="F96" s="6" t="str">
        <f t="shared" si="2"/>
        <v>131313144</v>
      </c>
      <c r="G96" s="8">
        <v>1.0</v>
      </c>
      <c r="H96" s="9">
        <v>45143.0</v>
      </c>
      <c r="I96" s="10" t="s">
        <v>103</v>
      </c>
    </row>
    <row r="97">
      <c r="A97" s="5" t="str">
        <f t="array" ref="A97">INDEX(event_table!$A$2:$A$69, RANDBETWEEN(1, COUNTA(event_table!$A$2:$A$69)))</f>
        <v>1553</v>
      </c>
      <c r="B97" s="6">
        <f t="array" ref="B97">IFERROR(INDEX(event_table!$E$1:$E3686,MATCH(A97,event_table!$A$1:$A3686,0)),"")
</f>
        <v>5</v>
      </c>
      <c r="C97" s="7">
        <f t="shared" si="1"/>
        <v>174</v>
      </c>
      <c r="D97" s="6" t="str">
        <f t="array" ref="D97">IFERROR(INDEX(user_table!$C$2:$C3686,MATCH(C97,user_table!$B$2:$B3686,0)),"")
</f>
        <v>Maya Hermawan</v>
      </c>
      <c r="E97" s="6" t="str">
        <f t="array" ref="E97">IFERROR(INDEX(user_table!$E$2:$E3686,MATCH(C97,user_table!$B$2:$B3686,0)),"")
</f>
        <v>5, 1</v>
      </c>
      <c r="F97" s="6" t="str">
        <f t="shared" si="2"/>
        <v>155315174</v>
      </c>
      <c r="G97" s="8">
        <v>1.0</v>
      </c>
      <c r="H97" s="9">
        <v>45091.0</v>
      </c>
      <c r="I97" s="10" t="s">
        <v>104</v>
      </c>
    </row>
    <row r="98">
      <c r="A98" s="5" t="str">
        <f t="array" ref="A98">INDEX(event_table!$A$2:$A$69, RANDBETWEEN(1, COUNTA(event_table!$A$2:$A$69)))</f>
        <v>1638</v>
      </c>
      <c r="B98" s="6">
        <f t="array" ref="B98">IFERROR(INDEX(event_table!$E$1:$E3686,MATCH(A98,event_table!$A$1:$A3686,0)),"")
</f>
        <v>6</v>
      </c>
      <c r="C98" s="7">
        <f t="shared" si="1"/>
        <v>82</v>
      </c>
      <c r="D98" s="6" t="str">
        <f t="array" ref="D98">IFERROR(INDEX(user_table!$C$2:$C3686,MATCH(C98,user_table!$B$2:$B3686,0)),"")
</f>
        <v>Fandi Nurhayati</v>
      </c>
      <c r="E98" s="6" t="str">
        <f t="array" ref="E98">IFERROR(INDEX(user_table!$E$2:$E3686,MATCH(C98,user_table!$B$2:$B3686,0)),"")
</f>
        <v>3, 2</v>
      </c>
      <c r="F98" s="6" t="str">
        <f t="shared" si="2"/>
        <v>16381682</v>
      </c>
      <c r="G98" s="8">
        <v>1.0</v>
      </c>
      <c r="H98" s="9">
        <v>45054.0</v>
      </c>
      <c r="I98" s="10" t="s">
        <v>105</v>
      </c>
    </row>
    <row r="99">
      <c r="A99" s="5" t="str">
        <f t="array" ref="A99">INDEX(event_table!$A$2:$A$69, RANDBETWEEN(1, COUNTA(event_table!$A$2:$A$69)))</f>
        <v>3455</v>
      </c>
      <c r="B99" s="6">
        <f t="array" ref="B99">IFERROR(INDEX(event_table!$E$1:$E3686,MATCH(A99,event_table!$A$1:$A3686,0)),"")
</f>
        <v>4</v>
      </c>
      <c r="C99" s="7">
        <f t="shared" si="1"/>
        <v>176</v>
      </c>
      <c r="D99" s="6" t="str">
        <f t="array" ref="D99">IFERROR(INDEX(user_table!$C$2:$C3686,MATCH(C99,user_table!$B$2:$B3686,0)),"")
</f>
        <v>Ani Hartono</v>
      </c>
      <c r="E99" s="6" t="str">
        <f t="array" ref="E99">IFERROR(INDEX(user_table!$E$2:$E3686,MATCH(C99,user_table!$B$2:$B3686,0)),"")
</f>
        <v>2, 3</v>
      </c>
      <c r="F99" s="6" t="str">
        <f t="shared" si="2"/>
        <v>345514176</v>
      </c>
      <c r="G99" s="8">
        <v>1.0</v>
      </c>
      <c r="H99" s="9">
        <v>45042.0</v>
      </c>
      <c r="I99" s="10" t="s">
        <v>106</v>
      </c>
    </row>
    <row r="100">
      <c r="A100" s="5" t="str">
        <f t="array" ref="A100">INDEX(event_table!$A$2:$A$69, RANDBETWEEN(1, COUNTA(event_table!$A$2:$A$69)))</f>
        <v>1647</v>
      </c>
      <c r="B100" s="6">
        <f t="array" ref="B100">IFERROR(INDEX(event_table!$E$1:$E3686,MATCH(A100,event_table!$A$1:$A3686,0)),"")
</f>
        <v>6</v>
      </c>
      <c r="C100" s="7">
        <f t="shared" si="1"/>
        <v>154</v>
      </c>
      <c r="D100" s="6" t="str">
        <f t="array" ref="D100">IFERROR(INDEX(user_table!$C$2:$C3686,MATCH(C100,user_table!$B$2:$B3686,0)),"")
</f>
        <v>Dian Nurhayati</v>
      </c>
      <c r="E100" s="6" t="str">
        <f t="array" ref="E100">IFERROR(INDEX(user_table!$E$2:$E3686,MATCH(C100,user_table!$B$2:$B3686,0)),"")
</f>
        <v>5, 3</v>
      </c>
      <c r="F100" s="6" t="str">
        <f t="shared" si="2"/>
        <v>164716154</v>
      </c>
      <c r="G100" s="8">
        <v>1.0</v>
      </c>
      <c r="H100" s="9">
        <v>45029.0</v>
      </c>
      <c r="I100" s="10" t="s">
        <v>107</v>
      </c>
    </row>
    <row r="101">
      <c r="A101" s="5" t="str">
        <f t="array" ref="A101">INDEX(event_table!$A$2:$A$69, RANDBETWEEN(1, COUNTA(event_table!$A$2:$A$69)))</f>
        <v>1519</v>
      </c>
      <c r="B101" s="6">
        <f t="array" ref="B101">IFERROR(INDEX(event_table!$E$1:$E3686,MATCH(A101,event_table!$A$1:$A3686,0)),"")
</f>
        <v>5</v>
      </c>
      <c r="C101" s="7">
        <f t="shared" si="1"/>
        <v>82</v>
      </c>
      <c r="D101" s="6" t="str">
        <f t="array" ref="D101">IFERROR(INDEX(user_table!$C$2:$C3686,MATCH(C101,user_table!$B$2:$B3686,0)),"")
</f>
        <v>Fandi Nurhayati</v>
      </c>
      <c r="E101" s="6" t="str">
        <f t="array" ref="E101">IFERROR(INDEX(user_table!$E$2:$E3686,MATCH(C101,user_table!$B$2:$B3686,0)),"")
</f>
        <v>3, 2</v>
      </c>
      <c r="F101" s="6" t="str">
        <f t="shared" si="2"/>
        <v>15195582</v>
      </c>
      <c r="G101" s="8">
        <v>5.0</v>
      </c>
      <c r="H101" s="9">
        <v>44745.0</v>
      </c>
      <c r="I101" s="10" t="s">
        <v>108</v>
      </c>
    </row>
    <row r="102">
      <c r="A102" s="5" t="str">
        <f t="array" ref="A102">INDEX(event_table!$A$2:$A$69, RANDBETWEEN(1, COUNTA(event_table!$A$2:$A$69)))</f>
        <v>1332</v>
      </c>
      <c r="B102" s="6">
        <f t="array" ref="B102">IFERROR(INDEX(event_table!$E$1:$E3686,MATCH(A102,event_table!$A$1:$A3686,0)),"")
</f>
        <v>3</v>
      </c>
      <c r="C102" s="7">
        <f t="shared" si="1"/>
        <v>183</v>
      </c>
      <c r="D102" s="6" t="str">
        <f t="array" ref="D102">IFERROR(INDEX(user_table!$C$2:$C3686,MATCH(C102,user_table!$B$2:$B3686,0)),"")
</f>
        <v>Siti Nugroho</v>
      </c>
      <c r="E102" s="6" t="str">
        <f t="array" ref="E102">IFERROR(INDEX(user_table!$E$2:$E3686,MATCH(C102,user_table!$B$2:$B3686,0)),"")
</f>
        <v>4, 6</v>
      </c>
      <c r="F102" s="6" t="str">
        <f t="shared" si="2"/>
        <v>133253183</v>
      </c>
      <c r="G102" s="8">
        <v>5.0</v>
      </c>
      <c r="H102" s="9">
        <v>44728.0</v>
      </c>
      <c r="I102" s="10" t="s">
        <v>109</v>
      </c>
    </row>
    <row r="103">
      <c r="A103" s="5" t="str">
        <f t="array" ref="A103">INDEX(event_table!$A$2:$A$69, RANDBETWEEN(1, COUNTA(event_table!$A$2:$A$69)))</f>
        <v>1519</v>
      </c>
      <c r="B103" s="6">
        <f t="array" ref="B103">IFERROR(INDEX(event_table!$E$1:$E3686,MATCH(A103,event_table!$A$1:$A3686,0)),"")
</f>
        <v>5</v>
      </c>
      <c r="C103" s="7">
        <f t="shared" si="1"/>
        <v>37</v>
      </c>
      <c r="D103" s="6" t="str">
        <f t="array" ref="D103">IFERROR(INDEX(user_table!$C$2:$C3686,MATCH(C103,user_table!$B$2:$B3686,0)),"")
</f>
        <v>Lina Susanto</v>
      </c>
      <c r="E103" s="6" t="str">
        <f t="array" ref="E103">IFERROR(INDEX(user_table!$E$2:$E3686,MATCH(C103,user_table!$B$2:$B3686,0)),"")
</f>
        <v>2, 2</v>
      </c>
      <c r="F103" s="6" t="str">
        <f t="shared" si="2"/>
        <v>15195537</v>
      </c>
      <c r="G103" s="8">
        <v>5.0</v>
      </c>
      <c r="H103" s="9">
        <v>44690.0</v>
      </c>
      <c r="I103" s="10" t="s">
        <v>110</v>
      </c>
    </row>
    <row r="104">
      <c r="A104" s="5" t="str">
        <f t="array" ref="A104">INDEX(event_table!$A$2:$A$69, RANDBETWEEN(1, COUNTA(event_table!$A$2:$A$69)))</f>
        <v>3356</v>
      </c>
      <c r="B104" s="6">
        <f t="array" ref="B104">IFERROR(INDEX(event_table!$E$1:$E3686,MATCH(A104,event_table!$A$1:$A3686,0)),"")
</f>
        <v>3</v>
      </c>
      <c r="C104" s="7">
        <f t="shared" si="1"/>
        <v>172</v>
      </c>
      <c r="D104" s="6" t="str">
        <f t="array" ref="D104">IFERROR(INDEX(user_table!$C$2:$C3686,MATCH(C104,user_table!$B$2:$B3686,0)),"")
</f>
        <v>Dian Kurniawan</v>
      </c>
      <c r="E104" s="6" t="str">
        <f t="array" ref="E104">IFERROR(INDEX(user_table!$E$2:$E3686,MATCH(C104,user_table!$B$2:$B3686,0)),"")
</f>
        <v>1, 2</v>
      </c>
      <c r="F104" s="6" t="str">
        <f t="shared" si="2"/>
        <v>335653172</v>
      </c>
      <c r="G104" s="8">
        <v>5.0</v>
      </c>
      <c r="H104" s="9">
        <v>45152.0</v>
      </c>
      <c r="I104" s="10" t="s">
        <v>111</v>
      </c>
    </row>
    <row r="105">
      <c r="A105" s="5" t="str">
        <f t="array" ref="A105">INDEX(event_table!$A$2:$A$69, RANDBETWEEN(1, COUNTA(event_table!$A$2:$A$69)))</f>
        <v>1424</v>
      </c>
      <c r="B105" s="6">
        <f t="array" ref="B105">IFERROR(INDEX(event_table!$E$1:$E3686,MATCH(A105,event_table!$A$1:$A3686,0)),"")
</f>
        <v>4</v>
      </c>
      <c r="C105" s="7">
        <f t="shared" si="1"/>
        <v>196</v>
      </c>
      <c r="D105" s="6" t="str">
        <f t="array" ref="D105">IFERROR(INDEX(user_table!$C$2:$C3686,MATCH(C105,user_table!$B$2:$B3686,0)),"")
</f>
        <v>Dewi Susanto</v>
      </c>
      <c r="E105" s="6" t="str">
        <f t="array" ref="E105">IFERROR(INDEX(user_table!$E$2:$E3686,MATCH(C105,user_table!$B$2:$B3686,0)),"")
</f>
        <v>2, 1</v>
      </c>
      <c r="F105" s="6" t="str">
        <f t="shared" si="2"/>
        <v>142454196</v>
      </c>
      <c r="G105" s="8">
        <v>5.0</v>
      </c>
      <c r="H105" s="9">
        <v>45138.0</v>
      </c>
      <c r="I105" s="10" t="s">
        <v>112</v>
      </c>
    </row>
    <row r="106">
      <c r="A106" s="5" t="str">
        <f t="array" ref="A106">INDEX(event_table!$A$2:$A$69, RANDBETWEEN(1, COUNTA(event_table!$A$2:$A$69)))</f>
        <v>3162</v>
      </c>
      <c r="B106" s="6">
        <f t="array" ref="B106">IFERROR(INDEX(event_table!$E$1:$E3686,MATCH(A106,event_table!$A$1:$A3686,0)),"")
</f>
        <v>1</v>
      </c>
      <c r="C106" s="7">
        <f t="shared" si="1"/>
        <v>188</v>
      </c>
      <c r="D106" s="6" t="str">
        <f t="array" ref="D106">IFERROR(INDEX(user_table!$C$2:$C3686,MATCH(C106,user_table!$B$2:$B3686,0)),"")
</f>
        <v>Siti Setiawan</v>
      </c>
      <c r="E106" s="6" t="str">
        <f t="array" ref="E106">IFERROR(INDEX(user_table!$E$2:$E3686,MATCH(C106,user_table!$B$2:$B3686,0)),"")
</f>
        <v>6, 6</v>
      </c>
      <c r="F106" s="6" t="str">
        <f t="shared" si="2"/>
        <v>316251188</v>
      </c>
      <c r="G106" s="8">
        <v>5.0</v>
      </c>
      <c r="H106" s="9">
        <v>45074.0</v>
      </c>
      <c r="I106" s="10" t="s">
        <v>113</v>
      </c>
    </row>
    <row r="107">
      <c r="A107" s="5" t="str">
        <f t="array" ref="A107">INDEX(event_table!$A$2:$A$69, RANDBETWEEN(1, COUNTA(event_table!$A$2:$A$69)))</f>
        <v>1642</v>
      </c>
      <c r="B107" s="6">
        <f t="array" ref="B107">IFERROR(INDEX(event_table!$E$1:$E3686,MATCH(A107,event_table!$A$1:$A3686,0)),"")
</f>
        <v>6</v>
      </c>
      <c r="C107" s="7">
        <f t="shared" si="1"/>
        <v>2</v>
      </c>
      <c r="D107" s="6" t="str">
        <f t="array" ref="D107">IFERROR(INDEX(user_table!$C$2:$C3686,MATCH(C107,user_table!$B$2:$B3686,0)),"")
</f>
        <v>Dian Putri</v>
      </c>
      <c r="E107" s="6" t="str">
        <f t="array" ref="E107">IFERROR(INDEX(user_table!$E$2:$E3686,MATCH(C107,user_table!$B$2:$B3686,0)),"")
</f>
        <v>1, 6</v>
      </c>
      <c r="F107" s="6" t="str">
        <f t="shared" si="2"/>
        <v>1642562</v>
      </c>
      <c r="G107" s="8">
        <v>5.0</v>
      </c>
      <c r="H107" s="9">
        <v>45053.0</v>
      </c>
      <c r="I107" s="10" t="s">
        <v>114</v>
      </c>
    </row>
    <row r="108">
      <c r="A108" s="5" t="str">
        <f t="array" ref="A108">INDEX(event_table!$A$2:$A$69, RANDBETWEEN(1, COUNTA(event_table!$A$2:$A$69)))</f>
        <v>3659</v>
      </c>
      <c r="B108" s="6">
        <f t="array" ref="B108">IFERROR(INDEX(event_table!$E$1:$E3686,MATCH(A108,event_table!$A$1:$A3686,0)),"")
</f>
        <v>6</v>
      </c>
      <c r="C108" s="7">
        <f t="shared" si="1"/>
        <v>45</v>
      </c>
      <c r="D108" s="6" t="str">
        <f t="array" ref="D108">IFERROR(INDEX(user_table!$C$2:$C3686,MATCH(C108,user_table!$B$2:$B3686,0)),"")
</f>
        <v>Siti Kurniawan</v>
      </c>
      <c r="E108" s="6" t="str">
        <f t="array" ref="E108">IFERROR(INDEX(user_table!$E$2:$E3686,MATCH(C108,user_table!$B$2:$B3686,0)),"")
</f>
        <v>1, 1</v>
      </c>
      <c r="F108" s="6" t="str">
        <f t="shared" si="2"/>
        <v>36595645</v>
      </c>
      <c r="G108" s="8">
        <v>5.0</v>
      </c>
      <c r="H108" s="9">
        <v>45021.0</v>
      </c>
      <c r="I108" s="10" t="s">
        <v>115</v>
      </c>
    </row>
    <row r="109">
      <c r="A109" s="5" t="str">
        <f t="array" ref="A109">INDEX(event_table!$A$2:$A$69, RANDBETWEEN(1, COUNTA(event_table!$A$2:$A$69)))</f>
        <v>3659</v>
      </c>
      <c r="B109" s="6">
        <f t="array" ref="B109">IFERROR(INDEX(event_table!$E$1:$E3686,MATCH(A109,event_table!$A$1:$A3686,0)),"")
</f>
        <v>6</v>
      </c>
      <c r="C109" s="7">
        <f t="shared" si="1"/>
        <v>42</v>
      </c>
      <c r="D109" s="6" t="str">
        <f t="array" ref="D109">IFERROR(INDEX(user_table!$C$2:$C3686,MATCH(C109,user_table!$B$2:$B3686,0)),"")
</f>
        <v>Desi Putri</v>
      </c>
      <c r="E109" s="6" t="str">
        <f t="array" ref="E109">IFERROR(INDEX(user_table!$E$2:$E3686,MATCH(C109,user_table!$B$2:$B3686,0)),"")
</f>
        <v>4, 6</v>
      </c>
      <c r="F109" s="6" t="str">
        <f t="shared" si="2"/>
        <v>36595642</v>
      </c>
      <c r="G109" s="8">
        <v>5.0</v>
      </c>
      <c r="H109" s="9">
        <v>44898.0</v>
      </c>
      <c r="I109" s="10" t="s">
        <v>116</v>
      </c>
    </row>
    <row r="110">
      <c r="A110" s="5" t="str">
        <f t="array" ref="A110">INDEX(event_table!$A$2:$A$69, RANDBETWEEN(1, COUNTA(event_table!$A$2:$A$69)))</f>
        <v>1636</v>
      </c>
      <c r="B110" s="6">
        <f t="array" ref="B110">IFERROR(INDEX(event_table!$E$1:$E3686,MATCH(A110,event_table!$A$1:$A3686,0)),"")
</f>
        <v>6</v>
      </c>
      <c r="C110" s="7">
        <f t="shared" si="1"/>
        <v>95</v>
      </c>
      <c r="D110" s="6" t="str">
        <f t="array" ref="D110">IFERROR(INDEX(user_table!$C$2:$C3686,MATCH(C110,user_table!$B$2:$B3686,0)),"")
</f>
        <v>Ani Pratama</v>
      </c>
      <c r="E110" s="6" t="str">
        <f t="array" ref="E110">IFERROR(INDEX(user_table!$E$2:$E3686,MATCH(C110,user_table!$B$2:$B3686,0)),"")
</f>
        <v>3, 5</v>
      </c>
      <c r="F110" s="6" t="str">
        <f t="shared" si="2"/>
        <v>16365695</v>
      </c>
      <c r="G110" s="8">
        <v>5.0</v>
      </c>
      <c r="H110" s="9">
        <v>44740.0</v>
      </c>
      <c r="I110" s="10" t="s">
        <v>117</v>
      </c>
    </row>
    <row r="111">
      <c r="A111" s="5" t="str">
        <f t="array" ref="A111">INDEX(event_table!$A$2:$A$69, RANDBETWEEN(1, COUNTA(event_table!$A$2:$A$69)))</f>
        <v>1114</v>
      </c>
      <c r="B111" s="6">
        <f t="array" ref="B111">IFERROR(INDEX(event_table!$E$1:$E3686,MATCH(A111,event_table!$A$1:$A3686,0)),"")
</f>
        <v>1</v>
      </c>
      <c r="C111" s="7">
        <f t="shared" si="1"/>
        <v>197</v>
      </c>
      <c r="D111" s="6" t="str">
        <f t="array" ref="D111">IFERROR(INDEX(user_table!$C$2:$C3686,MATCH(C111,user_table!$B$2:$B3686,0)),"")
</f>
        <v>Dian Sari</v>
      </c>
      <c r="E111" s="6" t="str">
        <f t="array" ref="E111">IFERROR(INDEX(user_table!$E$2:$E3686,MATCH(C111,user_table!$B$2:$B3686,0)),"")
</f>
        <v>6, 3</v>
      </c>
      <c r="F111" s="6" t="str">
        <f t="shared" si="2"/>
        <v>111451197</v>
      </c>
      <c r="G111" s="8">
        <v>5.0</v>
      </c>
      <c r="H111" s="9">
        <v>44699.0</v>
      </c>
      <c r="I111" s="10" t="s">
        <v>118</v>
      </c>
    </row>
    <row r="112">
      <c r="A112" s="5" t="str">
        <f t="array" ref="A112">INDEX(event_table!$A$2:$A$69, RANDBETWEEN(1, COUNTA(event_table!$A$2:$A$69)))</f>
        <v>1530</v>
      </c>
      <c r="B112" s="6">
        <f t="array" ref="B112">IFERROR(INDEX(event_table!$E$1:$E3686,MATCH(A112,event_table!$A$1:$A3686,0)),"")
</f>
        <v>5</v>
      </c>
      <c r="C112" s="7">
        <f t="shared" si="1"/>
        <v>162</v>
      </c>
      <c r="D112" s="6" t="str">
        <f t="array" ref="D112">IFERROR(INDEX(user_table!$C$2:$C3686,MATCH(C112,user_table!$B$2:$B3686,0)),"")
</f>
        <v>Dewi Nugroho</v>
      </c>
      <c r="E112" s="6" t="str">
        <f t="array" ref="E112">IFERROR(INDEX(user_table!$E$2:$E3686,MATCH(C112,user_table!$B$2:$B3686,0)),"")
</f>
        <v>2, 5</v>
      </c>
      <c r="F112" s="6" t="str">
        <f t="shared" si="2"/>
        <v>153045162</v>
      </c>
      <c r="G112" s="8">
        <v>4.0</v>
      </c>
      <c r="H112" s="9">
        <v>44930.0</v>
      </c>
      <c r="I112" s="10" t="s">
        <v>119</v>
      </c>
    </row>
    <row r="113">
      <c r="A113" s="5" t="str">
        <f t="array" ref="A113">INDEX(event_table!$A$2:$A$69, RANDBETWEEN(1, COUNTA(event_table!$A$2:$A$69)))</f>
        <v>1648</v>
      </c>
      <c r="B113" s="6">
        <f t="array" ref="B113">IFERROR(INDEX(event_table!$E$1:$E3686,MATCH(A113,event_table!$A$1:$A3686,0)),"")
</f>
        <v>6</v>
      </c>
      <c r="C113" s="7">
        <f t="shared" si="1"/>
        <v>42</v>
      </c>
      <c r="D113" s="6" t="str">
        <f t="array" ref="D113">IFERROR(INDEX(user_table!$C$2:$C3686,MATCH(C113,user_table!$B$2:$B3686,0)),"")
</f>
        <v>Desi Putri</v>
      </c>
      <c r="E113" s="6" t="str">
        <f t="array" ref="E113">IFERROR(INDEX(user_table!$E$2:$E3686,MATCH(C113,user_table!$B$2:$B3686,0)),"")
</f>
        <v>4, 6</v>
      </c>
      <c r="F113" s="6" t="str">
        <f t="shared" si="2"/>
        <v>16484642</v>
      </c>
      <c r="G113" s="8">
        <v>4.0</v>
      </c>
      <c r="H113" s="9">
        <v>44751.0</v>
      </c>
      <c r="I113" s="10" t="s">
        <v>120</v>
      </c>
    </row>
    <row r="114">
      <c r="A114" s="5" t="str">
        <f t="array" ref="A114">INDEX(event_table!$A$2:$A$69, RANDBETWEEN(1, COUNTA(event_table!$A$2:$A$69)))</f>
        <v>1423</v>
      </c>
      <c r="B114" s="6">
        <f t="array" ref="B114">IFERROR(INDEX(event_table!$E$1:$E3686,MATCH(A114,event_table!$A$1:$A3686,0)),"")
</f>
        <v>4</v>
      </c>
      <c r="C114" s="7">
        <f t="shared" si="1"/>
        <v>73</v>
      </c>
      <c r="D114" s="6" t="str">
        <f t="array" ref="D114">IFERROR(INDEX(user_table!$C$2:$C3686,MATCH(C114,user_table!$B$2:$B3686,0)),"")
</f>
        <v>Hadi Santoso</v>
      </c>
      <c r="E114" s="6" t="str">
        <f t="array" ref="E114">IFERROR(INDEX(user_table!$E$2:$E3686,MATCH(C114,user_table!$B$2:$B3686,0)),"")
</f>
        <v>6, 3</v>
      </c>
      <c r="F114" s="6" t="str">
        <f t="shared" si="2"/>
        <v>14234473</v>
      </c>
      <c r="G114" s="8">
        <v>4.0</v>
      </c>
      <c r="H114" s="9">
        <v>44927.0</v>
      </c>
      <c r="I114" s="10" t="s">
        <v>121</v>
      </c>
    </row>
    <row r="115">
      <c r="A115" s="5" t="str">
        <f t="array" ref="A115">INDEX(event_table!$A$2:$A$69, RANDBETWEEN(1, COUNTA(event_table!$A$2:$A$69)))</f>
        <v>1530</v>
      </c>
      <c r="B115" s="6">
        <f t="array" ref="B115">IFERROR(INDEX(event_table!$E$1:$E3686,MATCH(A115,event_table!$A$1:$A3686,0)),"")
</f>
        <v>5</v>
      </c>
      <c r="C115" s="7">
        <f t="shared" si="1"/>
        <v>58</v>
      </c>
      <c r="D115" s="6" t="str">
        <f t="array" ref="D115">IFERROR(INDEX(user_table!$C$2:$C3686,MATCH(C115,user_table!$B$2:$B3686,0)),"")
</f>
        <v>Joko Septiani</v>
      </c>
      <c r="E115" s="6" t="str">
        <f t="array" ref="E115">IFERROR(INDEX(user_table!$E$2:$E3686,MATCH(C115,user_table!$B$2:$B3686,0)),"")
</f>
        <v>2, 5</v>
      </c>
      <c r="F115" s="6" t="str">
        <f t="shared" si="2"/>
        <v>15304558</v>
      </c>
      <c r="G115" s="8">
        <v>4.0</v>
      </c>
      <c r="H115" s="9">
        <v>44690.0</v>
      </c>
      <c r="I115" s="10" t="s">
        <v>122</v>
      </c>
    </row>
    <row r="116">
      <c r="A116" s="5" t="str">
        <f t="array" ref="A116">INDEX(event_table!$A$2:$A$69, RANDBETWEEN(1, COUNTA(event_table!$A$2:$A$69)))</f>
        <v>1641</v>
      </c>
      <c r="B116" s="6">
        <f t="array" ref="B116">IFERROR(INDEX(event_table!$E$1:$E3686,MATCH(A116,event_table!$A$1:$A3686,0)),"")
</f>
        <v>6</v>
      </c>
      <c r="C116" s="7">
        <f t="shared" si="1"/>
        <v>116</v>
      </c>
      <c r="D116" s="6" t="str">
        <f t="array" ref="D116">IFERROR(INDEX(user_table!$C$2:$C3686,MATCH(C116,user_table!$B$2:$B3686,0)),"")
</f>
        <v>Fandi Hartono</v>
      </c>
      <c r="E116" s="6" t="str">
        <f t="array" ref="E116">IFERROR(INDEX(user_table!$E$2:$E3686,MATCH(C116,user_table!$B$2:$B3686,0)),"")
</f>
        <v>2, 1</v>
      </c>
      <c r="F116" s="6" t="str">
        <f t="shared" si="2"/>
        <v>164146116</v>
      </c>
      <c r="G116" s="8">
        <v>4.0</v>
      </c>
      <c r="H116" s="9">
        <v>44819.0</v>
      </c>
      <c r="I116" s="10" t="s">
        <v>123</v>
      </c>
    </row>
    <row r="117">
      <c r="A117" s="5" t="str">
        <f t="array" ref="A117">INDEX(event_table!$A$2:$A$69, RANDBETWEEN(1, COUNTA(event_table!$A$2:$A$69)))</f>
        <v>1648</v>
      </c>
      <c r="B117" s="6">
        <f t="array" ref="B117">IFERROR(INDEX(event_table!$E$1:$E3686,MATCH(A117,event_table!$A$1:$A3686,0)),"")
</f>
        <v>6</v>
      </c>
      <c r="C117" s="7">
        <f t="shared" si="1"/>
        <v>110</v>
      </c>
      <c r="D117" s="6" t="str">
        <f t="array" ref="D117">IFERROR(INDEX(user_table!$C$2:$C3686,MATCH(C117,user_table!$B$2:$B3686,0)),"")
</f>
        <v>Fajar Wijaya</v>
      </c>
      <c r="E117" s="6" t="str">
        <f t="array" ref="E117">IFERROR(INDEX(user_table!$E$2:$E3686,MATCH(C117,user_table!$B$2:$B3686,0)),"")
</f>
        <v>3, 6</v>
      </c>
      <c r="F117" s="6" t="str">
        <f t="shared" si="2"/>
        <v>164846110</v>
      </c>
      <c r="G117" s="8">
        <v>4.0</v>
      </c>
      <c r="H117" s="9">
        <v>44809.0</v>
      </c>
      <c r="I117" s="10" t="s">
        <v>124</v>
      </c>
    </row>
    <row r="118">
      <c r="A118" s="5" t="str">
        <f t="array" ref="A118">INDEX(event_table!$A$2:$A$69, RANDBETWEEN(1, COUNTA(event_table!$A$2:$A$69)))</f>
        <v>115</v>
      </c>
      <c r="B118" s="6">
        <f t="array" ref="B118">IFERROR(INDEX(event_table!$E$1:$E3686,MATCH(A118,event_table!$A$1:$A3686,0)),"")
</f>
        <v>1</v>
      </c>
      <c r="C118" s="7">
        <f t="shared" si="1"/>
        <v>46</v>
      </c>
      <c r="D118" s="6" t="str">
        <f t="array" ref="D118">IFERROR(INDEX(user_table!$C$2:$C3686,MATCH(C118,user_table!$B$2:$B3686,0)),"")
</f>
        <v>Dian Wijaya</v>
      </c>
      <c r="E118" s="6" t="str">
        <f t="array" ref="E118">IFERROR(INDEX(user_table!$E$2:$E3686,MATCH(C118,user_table!$B$2:$B3686,0)),"")
</f>
        <v>2, 2</v>
      </c>
      <c r="F118" s="6" t="str">
        <f t="shared" si="2"/>
        <v>1154146</v>
      </c>
      <c r="G118" s="8">
        <v>4.0</v>
      </c>
      <c r="H118" s="9">
        <v>44747.0</v>
      </c>
      <c r="I118" s="10" t="s">
        <v>125</v>
      </c>
    </row>
    <row r="119">
      <c r="A119" s="5" t="str">
        <f t="array" ref="A119">INDEX(event_table!$A$2:$A$69, RANDBETWEEN(1, COUNTA(event_table!$A$2:$A$69)))</f>
        <v>117</v>
      </c>
      <c r="B119" s="6">
        <f t="array" ref="B119">IFERROR(INDEX(event_table!$E$1:$E3686,MATCH(A119,event_table!$A$1:$A3686,0)),"")
</f>
        <v>1</v>
      </c>
      <c r="C119" s="7">
        <f t="shared" si="1"/>
        <v>49</v>
      </c>
      <c r="D119" s="6" t="str">
        <f t="array" ref="D119">IFERROR(INDEX(user_table!$C$2:$C3686,MATCH(C119,user_table!$B$2:$B3686,0)),"")
</f>
        <v>Fajar Hidayat</v>
      </c>
      <c r="E119" s="6" t="str">
        <f t="array" ref="E119">IFERROR(INDEX(user_table!$E$2:$E3686,MATCH(C119,user_table!$B$2:$B3686,0)),"")
</f>
        <v>3, 1</v>
      </c>
      <c r="F119" s="6" t="str">
        <f t="shared" si="2"/>
        <v>1173149</v>
      </c>
      <c r="G119" s="8">
        <v>3.0</v>
      </c>
      <c r="H119" s="9">
        <v>44748.0</v>
      </c>
      <c r="I119" s="10" t="s">
        <v>126</v>
      </c>
    </row>
    <row r="120">
      <c r="A120" s="5" t="str">
        <f t="array" ref="A120">INDEX(event_table!$A$2:$A$69, RANDBETWEEN(1, COUNTA(event_table!$A$2:$A$69)))</f>
        <v>1530</v>
      </c>
      <c r="B120" s="6">
        <f t="array" ref="B120">IFERROR(INDEX(event_table!$E$1:$E3686,MATCH(A120,event_table!$A$1:$A3686,0)),"")
</f>
        <v>5</v>
      </c>
      <c r="C120" s="7">
        <f t="shared" si="1"/>
        <v>30</v>
      </c>
      <c r="D120" s="6" t="str">
        <f t="array" ref="D120">IFERROR(INDEX(user_table!$C$2:$C3686,MATCH(C120,user_table!$B$2:$B3686,0)),"")
</f>
        <v>Fajar Kurniawan</v>
      </c>
      <c r="E120" s="6" t="str">
        <f t="array" ref="E120">IFERROR(INDEX(user_table!$E$2:$E3686,MATCH(C120,user_table!$B$2:$B3686,0)),"")
</f>
        <v>5, 3</v>
      </c>
      <c r="F120" s="6" t="str">
        <f t="shared" si="2"/>
        <v>15303530</v>
      </c>
      <c r="G120" s="8">
        <v>3.0</v>
      </c>
      <c r="H120" s="9">
        <v>45248.0</v>
      </c>
      <c r="I120" s="10" t="s">
        <v>127</v>
      </c>
    </row>
    <row r="121">
      <c r="A121" s="5" t="str">
        <f t="array" ref="A121">INDEX(event_table!$A$2:$A$69, RANDBETWEEN(1, COUNTA(event_table!$A$2:$A$69)))</f>
        <v>1333</v>
      </c>
      <c r="B121" s="6">
        <f t="array" ref="B121">IFERROR(INDEX(event_table!$E$1:$E3686,MATCH(A121,event_table!$A$1:$A3686,0)),"")
</f>
        <v>3</v>
      </c>
      <c r="C121" s="7">
        <f t="shared" si="1"/>
        <v>145</v>
      </c>
      <c r="D121" s="6" t="str">
        <f t="array" ref="D121">IFERROR(INDEX(user_table!$C$2:$C3686,MATCH(C121,user_table!$B$2:$B3686,0)),"")
</f>
        <v>Arif Nugroho</v>
      </c>
      <c r="E121" s="6" t="str">
        <f t="array" ref="E121">IFERROR(INDEX(user_table!$E$2:$E3686,MATCH(C121,user_table!$B$2:$B3686,0)),"")
</f>
        <v>1, 4</v>
      </c>
      <c r="F121" s="6" t="str">
        <f t="shared" si="2"/>
        <v>133333145</v>
      </c>
      <c r="G121" s="8">
        <v>3.0</v>
      </c>
      <c r="H121" s="9">
        <v>45133.0</v>
      </c>
      <c r="I121" s="10" t="s">
        <v>128</v>
      </c>
    </row>
    <row r="122">
      <c r="A122" s="5" t="str">
        <f t="array" ref="A122">INDEX(event_table!$A$2:$A$69, RANDBETWEEN(1, COUNTA(event_table!$A$2:$A$69)))</f>
        <v>1427</v>
      </c>
      <c r="B122" s="6">
        <f t="array" ref="B122">IFERROR(INDEX(event_table!$E$1:$E3686,MATCH(A122,event_table!$A$1:$A3686,0)),"")
</f>
        <v>4</v>
      </c>
      <c r="C122" s="7">
        <f t="shared" si="1"/>
        <v>128</v>
      </c>
      <c r="D122" s="6" t="str">
        <f t="array" ref="D122">IFERROR(INDEX(user_table!$C$2:$C3686,MATCH(C122,user_table!$B$2:$B3686,0)),"")
</f>
        <v>Bambang Utami</v>
      </c>
      <c r="E122" s="6" t="str">
        <f t="array" ref="E122">IFERROR(INDEX(user_table!$E$2:$E3686,MATCH(C122,user_table!$B$2:$B3686,0)),"")
</f>
        <v>3, 6</v>
      </c>
      <c r="F122" s="6" t="str">
        <f t="shared" si="2"/>
        <v>142734128</v>
      </c>
      <c r="G122" s="8">
        <v>3.0</v>
      </c>
      <c r="H122" s="9">
        <v>45113.0</v>
      </c>
      <c r="I122" s="10" t="s">
        <v>129</v>
      </c>
    </row>
    <row r="123">
      <c r="A123" s="5" t="str">
        <f t="array" ref="A123">INDEX(event_table!$A$2:$A$69, RANDBETWEEN(1, COUNTA(event_table!$A$2:$A$69)))</f>
        <v>1332</v>
      </c>
      <c r="B123" s="6">
        <f t="array" ref="B123">IFERROR(INDEX(event_table!$E$1:$E3686,MATCH(A123,event_table!$A$1:$A3686,0)),"")
</f>
        <v>3</v>
      </c>
      <c r="C123" s="7">
        <f t="shared" si="1"/>
        <v>75</v>
      </c>
      <c r="D123" s="6" t="str">
        <f t="array" ref="D123">IFERROR(INDEX(user_table!$C$2:$C3686,MATCH(C123,user_table!$B$2:$B3686,0)),"")
</f>
        <v>Citra Sari</v>
      </c>
      <c r="E123" s="6" t="str">
        <f t="array" ref="E123">IFERROR(INDEX(user_table!$E$2:$E3686,MATCH(C123,user_table!$B$2:$B3686,0)),"")
</f>
        <v>2, 5</v>
      </c>
      <c r="F123" s="6" t="str">
        <f t="shared" si="2"/>
        <v>13322375</v>
      </c>
      <c r="G123" s="8">
        <v>2.0</v>
      </c>
      <c r="H123" s="9">
        <v>45039.0</v>
      </c>
      <c r="I123" s="10" t="s">
        <v>130</v>
      </c>
    </row>
    <row r="124">
      <c r="A124" s="5" t="str">
        <f t="array" ref="A124">INDEX(event_table!$A$2:$A$69, RANDBETWEEN(1, COUNTA(event_table!$A$2:$A$69)))</f>
        <v>3162</v>
      </c>
      <c r="B124" s="6">
        <f t="array" ref="B124">IFERROR(INDEX(event_table!$E$1:$E3686,MATCH(A124,event_table!$A$1:$A3686,0)),"")
</f>
        <v>1</v>
      </c>
      <c r="C124" s="7">
        <f t="shared" si="1"/>
        <v>140</v>
      </c>
      <c r="D124" s="6" t="str">
        <f t="array" ref="D124">IFERROR(INDEX(user_table!$C$2:$C3686,MATCH(C124,user_table!$B$2:$B3686,0)),"")
</f>
        <v>Maya Wijaya</v>
      </c>
      <c r="E124" s="6" t="str">
        <f t="array" ref="E124">IFERROR(INDEX(user_table!$E$2:$E3686,MATCH(C124,user_table!$B$2:$B3686,0)),"")
</f>
        <v>3, 2</v>
      </c>
      <c r="F124" s="6" t="str">
        <f t="shared" si="2"/>
        <v>316221140</v>
      </c>
      <c r="G124" s="8">
        <v>2.0</v>
      </c>
      <c r="H124" s="9">
        <v>44936.0</v>
      </c>
      <c r="I124" s="10" t="s">
        <v>131</v>
      </c>
    </row>
    <row r="125">
      <c r="A125" s="5" t="str">
        <f t="array" ref="A125">INDEX(event_table!$A$2:$A$69, RANDBETWEEN(1, COUNTA(event_table!$A$2:$A$69)))</f>
        <v>1114</v>
      </c>
      <c r="B125" s="6">
        <f t="array" ref="B125">IFERROR(INDEX(event_table!$E$1:$E3686,MATCH(A125,event_table!$A$1:$A3686,0)),"")
</f>
        <v>1</v>
      </c>
      <c r="C125" s="7">
        <f t="shared" si="1"/>
        <v>35</v>
      </c>
      <c r="D125" s="6" t="str">
        <f t="array" ref="D125">IFERROR(INDEX(user_table!$C$2:$C3686,MATCH(C125,user_table!$B$2:$B3686,0)),"")
</f>
        <v>Maya Nugroho</v>
      </c>
      <c r="E125" s="6" t="str">
        <f t="array" ref="E125">IFERROR(INDEX(user_table!$E$2:$E3686,MATCH(C125,user_table!$B$2:$B3686,0)),"")
</f>
        <v>6, 2</v>
      </c>
      <c r="F125" s="6" t="str">
        <f t="shared" si="2"/>
        <v>11142135</v>
      </c>
      <c r="G125" s="8">
        <v>2.0</v>
      </c>
      <c r="H125" s="9">
        <v>44903.0</v>
      </c>
      <c r="I125" s="10" t="s">
        <v>132</v>
      </c>
    </row>
    <row r="126">
      <c r="A126" s="5" t="str">
        <f t="array" ref="A126">INDEX(event_table!$A$2:$A$69, RANDBETWEEN(1, COUNTA(event_table!$A$2:$A$69)))</f>
        <v>1646</v>
      </c>
      <c r="B126" s="6">
        <f t="array" ref="B126">IFERROR(INDEX(event_table!$E$1:$E3686,MATCH(A126,event_table!$A$1:$A3686,0)),"")
</f>
        <v>6</v>
      </c>
      <c r="C126" s="7">
        <f t="shared" si="1"/>
        <v>84</v>
      </c>
      <c r="D126" s="6" t="str">
        <f t="array" ref="D126">IFERROR(INDEX(user_table!$C$2:$C3686,MATCH(C126,user_table!$B$2:$B3686,0)),"")
</f>
        <v>Budi Hermawan</v>
      </c>
      <c r="E126" s="6" t="str">
        <f t="array" ref="E126">IFERROR(INDEX(user_table!$E$2:$E3686,MATCH(C126,user_table!$B$2:$B3686,0)),"")
</f>
        <v>5, 5</v>
      </c>
      <c r="F126" s="6" t="str">
        <f t="shared" si="2"/>
        <v>16462684</v>
      </c>
      <c r="G126" s="8">
        <v>2.0</v>
      </c>
      <c r="H126" s="9">
        <v>44815.0</v>
      </c>
      <c r="I126" s="10" t="s">
        <v>133</v>
      </c>
    </row>
    <row r="127">
      <c r="A127" s="5" t="str">
        <f t="array" ref="A127">INDEX(event_table!$A$2:$A$69, RANDBETWEEN(1, COUNTA(event_table!$A$2:$A$69)))</f>
        <v>1424</v>
      </c>
      <c r="B127" s="6">
        <f t="array" ref="B127">IFERROR(INDEX(event_table!$E$1:$E3686,MATCH(A127,event_table!$A$1:$A3686,0)),"")
</f>
        <v>4</v>
      </c>
      <c r="C127" s="7">
        <f t="shared" si="1"/>
        <v>141</v>
      </c>
      <c r="D127" s="6" t="str">
        <f t="array" ref="D127">IFERROR(INDEX(user_table!$C$2:$C3686,MATCH(C127,user_table!$B$2:$B3686,0)),"")
</f>
        <v>Bambang Santoso</v>
      </c>
      <c r="E127" s="6" t="str">
        <f t="array" ref="E127">IFERROR(INDEX(user_table!$E$2:$E3686,MATCH(C127,user_table!$B$2:$B3686,0)),"")
</f>
        <v>5, 3</v>
      </c>
      <c r="F127" s="6" t="str">
        <f t="shared" si="2"/>
        <v>142424141</v>
      </c>
      <c r="G127" s="8">
        <v>2.0</v>
      </c>
      <c r="H127" s="9">
        <v>45187.0</v>
      </c>
      <c r="I127" s="10" t="s">
        <v>134</v>
      </c>
    </row>
    <row r="128">
      <c r="A128" s="5" t="str">
        <f t="array" ref="A128">INDEX(event_table!$A$2:$A$69, RANDBETWEEN(1, COUNTA(event_table!$A$2:$A$69)))</f>
        <v>1111</v>
      </c>
      <c r="B128" s="6">
        <f t="array" ref="B128">IFERROR(INDEX(event_table!$E$1:$E3686,MATCH(A128,event_table!$A$1:$A3686,0)),"")
</f>
        <v>1</v>
      </c>
      <c r="C128" s="7">
        <f t="shared" si="1"/>
        <v>25</v>
      </c>
      <c r="D128" s="6" t="str">
        <f t="array" ref="D128">IFERROR(INDEX(user_table!$C$2:$C3686,MATCH(C128,user_table!$B$2:$B3686,0)),"")
</f>
        <v>Agus Hartono</v>
      </c>
      <c r="E128" s="6" t="str">
        <f t="array" ref="E128">IFERROR(INDEX(user_table!$E$2:$E3686,MATCH(C128,user_table!$B$2:$B3686,0)),"")
</f>
        <v>6, 3</v>
      </c>
      <c r="F128" s="6" t="str">
        <f t="shared" si="2"/>
        <v>11112125</v>
      </c>
      <c r="G128" s="8">
        <v>2.0</v>
      </c>
      <c r="H128" s="9">
        <v>45134.0</v>
      </c>
      <c r="I128" s="10" t="s">
        <v>135</v>
      </c>
    </row>
    <row r="129">
      <c r="A129" s="5" t="str">
        <f t="array" ref="A129">INDEX(event_table!$A$2:$A$69, RANDBETWEEN(1, COUNTA(event_table!$A$2:$A$69)))</f>
        <v>1422</v>
      </c>
      <c r="B129" s="6">
        <f t="array" ref="B129">IFERROR(INDEX(event_table!$E$1:$E3686,MATCH(A129,event_table!$A$1:$A3686,0)),"")
</f>
        <v>4</v>
      </c>
      <c r="C129" s="7">
        <f t="shared" si="1"/>
        <v>147</v>
      </c>
      <c r="D129" s="6" t="str">
        <f t="array" ref="D129">IFERROR(INDEX(user_table!$C$2:$C3686,MATCH(C129,user_table!$B$2:$B3686,0)),"")
</f>
        <v>Fajar Saputra</v>
      </c>
      <c r="E129" s="6" t="str">
        <f t="array" ref="E129">IFERROR(INDEX(user_table!$E$2:$E3686,MATCH(C129,user_table!$B$2:$B3686,0)),"")
</f>
        <v>6, 2</v>
      </c>
      <c r="F129" s="6" t="str">
        <f t="shared" si="2"/>
        <v>142224147</v>
      </c>
      <c r="G129" s="8">
        <v>2.0</v>
      </c>
      <c r="H129" s="9">
        <v>45094.0</v>
      </c>
      <c r="I129" s="10" t="s">
        <v>136</v>
      </c>
    </row>
    <row r="130">
      <c r="A130" s="5" t="str">
        <f t="array" ref="A130">INDEX(event_table!$A$2:$A$69, RANDBETWEEN(1, COUNTA(event_table!$A$2:$A$69)))</f>
        <v>1215</v>
      </c>
      <c r="B130" s="6">
        <f t="array" ref="B130">IFERROR(INDEX(event_table!$E$1:$E3686,MATCH(A130,event_table!$A$1:$A3686,0)),"")
</f>
        <v>2</v>
      </c>
      <c r="C130" s="7">
        <f t="shared" si="1"/>
        <v>150</v>
      </c>
      <c r="D130" s="6" t="str">
        <f t="array" ref="D130">IFERROR(INDEX(user_table!$C$2:$C3686,MATCH(C130,user_table!$B$2:$B3686,0)),"")
</f>
        <v>Dina Susanto</v>
      </c>
      <c r="E130" s="6" t="str">
        <f t="array" ref="E130">IFERROR(INDEX(user_table!$E$2:$E3686,MATCH(C130,user_table!$B$2:$B3686,0)),"")
</f>
        <v>2, 6</v>
      </c>
      <c r="F130" s="6" t="str">
        <f t="shared" si="2"/>
        <v>121512150</v>
      </c>
      <c r="G130" s="8">
        <v>1.0</v>
      </c>
      <c r="H130" s="9">
        <v>45257.0</v>
      </c>
      <c r="I130" s="10" t="s">
        <v>137</v>
      </c>
    </row>
    <row r="131">
      <c r="A131" s="5" t="str">
        <f t="array" ref="A131">INDEX(event_table!$A$2:$A$69, RANDBETWEEN(1, COUNTA(event_table!$A$2:$A$69)))</f>
        <v>1212</v>
      </c>
      <c r="B131" s="6">
        <f t="array" ref="B131">IFERROR(INDEX(event_table!$E$1:$E3686,MATCH(A131,event_table!$A$1:$A3686,0)),"")
</f>
        <v>2</v>
      </c>
      <c r="C131" s="7">
        <f t="shared" si="1"/>
        <v>160</v>
      </c>
      <c r="D131" s="6" t="str">
        <f t="array" ref="D131">IFERROR(INDEX(user_table!$C$2:$C3686,MATCH(C131,user_table!$B$2:$B3686,0)),"")
</f>
        <v>Hadi Hadiwijaya</v>
      </c>
      <c r="E131" s="6" t="str">
        <f t="array" ref="E131">IFERROR(INDEX(user_table!$E$2:$E3686,MATCH(C131,user_table!$B$2:$B3686,0)),"")
</f>
        <v>2, 4</v>
      </c>
      <c r="F131" s="6" t="str">
        <f t="shared" si="2"/>
        <v>121212160</v>
      </c>
      <c r="G131" s="8">
        <v>1.0</v>
      </c>
      <c r="H131" s="9">
        <v>45188.0</v>
      </c>
      <c r="I131" s="10" t="s">
        <v>138</v>
      </c>
    </row>
    <row r="132">
      <c r="A132" s="5" t="str">
        <f t="array" ref="A132">INDEX(event_table!$A$2:$A$69, RANDBETWEEN(1, COUNTA(event_table!$A$2:$A$69)))</f>
        <v>1114</v>
      </c>
      <c r="B132" s="6">
        <f t="array" ref="B132">IFERROR(INDEX(event_table!$E$1:$E3686,MATCH(A132,event_table!$A$1:$A3686,0)),"")
</f>
        <v>1</v>
      </c>
      <c r="C132" s="7">
        <f t="shared" si="1"/>
        <v>107</v>
      </c>
      <c r="D132" s="6" t="str">
        <f t="array" ref="D132">IFERROR(INDEX(user_table!$C$2:$C3686,MATCH(C132,user_table!$B$2:$B3686,0)),"")
</f>
        <v>Citra Rahayu</v>
      </c>
      <c r="E132" s="6" t="str">
        <f t="array" ref="E132">IFERROR(INDEX(user_table!$E$2:$E3686,MATCH(C132,user_table!$B$2:$B3686,0)),"")
</f>
        <v>1, 5</v>
      </c>
      <c r="F132" s="6" t="str">
        <f t="shared" si="2"/>
        <v>111411107</v>
      </c>
      <c r="G132" s="8">
        <v>1.0</v>
      </c>
      <c r="H132" s="9">
        <v>45200.0</v>
      </c>
      <c r="I132" s="10" t="s">
        <v>139</v>
      </c>
    </row>
    <row r="133">
      <c r="A133" s="5" t="str">
        <f t="array" ref="A133">INDEX(event_table!$A$2:$A$69, RANDBETWEEN(1, COUNTA(event_table!$A$2:$A$69)))</f>
        <v>1313</v>
      </c>
      <c r="B133" s="6">
        <f t="array" ref="B133">IFERROR(INDEX(event_table!$E$1:$E3686,MATCH(A133,event_table!$A$1:$A3686,0)),"")
</f>
        <v>3</v>
      </c>
      <c r="C133" s="7">
        <f t="shared" si="1"/>
        <v>156</v>
      </c>
      <c r="D133" s="6" t="str">
        <f t="array" ref="D133">IFERROR(INDEX(user_table!$C$2:$C3686,MATCH(C133,user_table!$B$2:$B3686,0)),"")
</f>
        <v>Lina Kusuma</v>
      </c>
      <c r="E133" s="6" t="str">
        <f t="array" ref="E133">IFERROR(INDEX(user_table!$E$2:$E3686,MATCH(C133,user_table!$B$2:$B3686,0)),"")
</f>
        <v>4, 3</v>
      </c>
      <c r="F133" s="6" t="str">
        <f t="shared" si="2"/>
        <v>131313156</v>
      </c>
      <c r="G133" s="8">
        <v>1.0</v>
      </c>
      <c r="H133" s="9">
        <v>45268.0</v>
      </c>
      <c r="I133" s="10" t="s">
        <v>140</v>
      </c>
    </row>
    <row r="134">
      <c r="A134" s="5" t="str">
        <f t="array" ref="A134">INDEX(event_table!$A$2:$A$69, RANDBETWEEN(1, COUNTA(event_table!$A$2:$A$69)))</f>
        <v>3163</v>
      </c>
      <c r="B134" s="6">
        <f t="array" ref="B134">IFERROR(INDEX(event_table!$E$1:$E3686,MATCH(A134,event_table!$A$1:$A3686,0)),"")
</f>
        <v>1</v>
      </c>
      <c r="C134" s="7">
        <f t="shared" si="1"/>
        <v>55</v>
      </c>
      <c r="D134" s="6" t="str">
        <f t="array" ref="D134">IFERROR(INDEX(user_table!$C$2:$C3686,MATCH(C134,user_table!$B$2:$B3686,0)),"")
</f>
        <v>Joko Sari</v>
      </c>
      <c r="E134" s="6" t="str">
        <f t="array" ref="E134">IFERROR(INDEX(user_table!$E$2:$E3686,MATCH(C134,user_table!$B$2:$B3686,0)),"")
</f>
        <v>6, 6</v>
      </c>
      <c r="F134" s="6" t="str">
        <f t="shared" si="2"/>
        <v>31631155</v>
      </c>
      <c r="G134" s="8">
        <v>1.0</v>
      </c>
      <c r="H134" s="9">
        <v>45243.0</v>
      </c>
      <c r="I134" s="10" t="s">
        <v>141</v>
      </c>
    </row>
    <row r="135">
      <c r="A135" s="5" t="str">
        <f t="array" ref="A135">INDEX(event_table!$A$2:$A$69, RANDBETWEEN(1, COUNTA(event_table!$A$2:$A$69)))</f>
        <v>122</v>
      </c>
      <c r="B135" s="6">
        <f t="array" ref="B135">IFERROR(INDEX(event_table!$E$1:$E3686,MATCH(A135,event_table!$A$1:$A3686,0)),"")
</f>
        <v>2</v>
      </c>
      <c r="C135" s="7">
        <f t="shared" si="1"/>
        <v>21</v>
      </c>
      <c r="D135" s="6" t="str">
        <f t="array" ref="D135">IFERROR(INDEX(user_table!$C$2:$C3686,MATCH(C135,user_table!$B$2:$B3686,0)),"")
</f>
        <v>Budi Santoso</v>
      </c>
      <c r="E135" s="6" t="str">
        <f t="array" ref="E135">IFERROR(INDEX(user_table!$E$2:$E3686,MATCH(C135,user_table!$B$2:$B3686,0)),"")
</f>
        <v>6, 1</v>
      </c>
      <c r="F135" s="6" t="str">
        <f t="shared" si="2"/>
        <v>1221221</v>
      </c>
      <c r="G135" s="8">
        <v>1.0</v>
      </c>
      <c r="H135" s="9">
        <v>45233.0</v>
      </c>
      <c r="I135" s="10" t="s">
        <v>142</v>
      </c>
    </row>
    <row r="136">
      <c r="A136" s="5" t="str">
        <f t="array" ref="A136">INDEX(event_table!$A$2:$A$69, RANDBETWEEN(1, COUNTA(event_table!$A$2:$A$69)))</f>
        <v>1417</v>
      </c>
      <c r="B136" s="6">
        <f t="array" ref="B136">IFERROR(INDEX(event_table!$E$1:$E3686,MATCH(A136,event_table!$A$1:$A3686,0)),"")
</f>
        <v>4</v>
      </c>
      <c r="C136" s="7">
        <f t="shared" si="1"/>
        <v>76</v>
      </c>
      <c r="D136" s="6" t="str">
        <f t="array" ref="D136">IFERROR(INDEX(user_table!$C$2:$C3686,MATCH(C136,user_table!$B$2:$B3686,0)),"")
</f>
        <v>Sinta Hidayat</v>
      </c>
      <c r="E136" s="6" t="str">
        <f t="array" ref="E136">IFERROR(INDEX(user_table!$E$2:$E3686,MATCH(C136,user_table!$B$2:$B3686,0)),"")
</f>
        <v>3, 2</v>
      </c>
      <c r="F136" s="6" t="str">
        <f t="shared" si="2"/>
        <v>14171476</v>
      </c>
      <c r="G136" s="8">
        <v>1.0</v>
      </c>
      <c r="H136" s="9">
        <v>45216.0</v>
      </c>
      <c r="I136" s="10" t="s">
        <v>143</v>
      </c>
    </row>
    <row r="137">
      <c r="A137" s="5" t="str">
        <f t="array" ref="A137">INDEX(event_table!$A$2:$A$69, RANDBETWEEN(1, COUNTA(event_table!$A$2:$A$69)))</f>
        <v>119</v>
      </c>
      <c r="B137" s="6">
        <f t="array" ref="B137">IFERROR(INDEX(event_table!$E$1:$E3686,MATCH(A137,event_table!$A$1:$A3686,0)),"")
</f>
        <v>1</v>
      </c>
      <c r="C137" s="7">
        <f t="shared" si="1"/>
        <v>174</v>
      </c>
      <c r="D137" s="6" t="str">
        <f t="array" ref="D137">IFERROR(INDEX(user_table!$C$2:$C3686,MATCH(C137,user_table!$B$2:$B3686,0)),"")
</f>
        <v>Maya Hermawan</v>
      </c>
      <c r="E137" s="6" t="str">
        <f t="array" ref="E137">IFERROR(INDEX(user_table!$E$2:$E3686,MATCH(C137,user_table!$B$2:$B3686,0)),"")
</f>
        <v>5, 1</v>
      </c>
      <c r="F137" s="6" t="str">
        <f t="shared" si="2"/>
        <v>11911174</v>
      </c>
      <c r="G137" s="8">
        <v>1.0</v>
      </c>
      <c r="H137" s="9">
        <v>45200.0</v>
      </c>
      <c r="I137" s="10" t="s">
        <v>144</v>
      </c>
    </row>
    <row r="138">
      <c r="A138" s="5" t="str">
        <f t="array" ref="A138">INDEX(event_table!$A$2:$A$69, RANDBETWEEN(1, COUNTA(event_table!$A$2:$A$69)))</f>
        <v>3166</v>
      </c>
      <c r="B138" s="6">
        <f t="array" ref="B138">IFERROR(INDEX(event_table!$E$1:$E3686,MATCH(A138,event_table!$A$1:$A3686,0)),"")
</f>
        <v>1</v>
      </c>
      <c r="C138" s="7">
        <f t="shared" si="1"/>
        <v>109</v>
      </c>
      <c r="D138" s="6" t="str">
        <f t="array" ref="D138">IFERROR(INDEX(user_table!$C$2:$C3686,MATCH(C138,user_table!$B$2:$B3686,0)),"")
</f>
        <v>Ani Sari</v>
      </c>
      <c r="E138" s="6" t="str">
        <f t="array" ref="E138">IFERROR(INDEX(user_table!$E$2:$E3686,MATCH(C138,user_table!$B$2:$B3686,0)),"")
</f>
        <v>4, 5</v>
      </c>
      <c r="F138" s="6" t="str">
        <f t="shared" si="2"/>
        <v>316611109</v>
      </c>
      <c r="G138" s="8">
        <v>1.0</v>
      </c>
      <c r="H138" s="9">
        <v>45189.0</v>
      </c>
      <c r="I138" s="10" t="s">
        <v>145</v>
      </c>
    </row>
    <row r="139">
      <c r="A139" s="5" t="str">
        <f t="array" ref="A139">INDEX(event_table!$A$2:$A$69, RANDBETWEEN(1, COUNTA(event_table!$A$2:$A$69)))</f>
        <v>3657</v>
      </c>
      <c r="B139" s="6">
        <f t="array" ref="B139">IFERROR(INDEX(event_table!$E$1:$E3686,MATCH(A139,event_table!$A$1:$A3686,0)),"")
</f>
        <v>6</v>
      </c>
      <c r="C139" s="7">
        <f t="shared" si="1"/>
        <v>66</v>
      </c>
      <c r="D139" s="6" t="str">
        <f t="array" ref="D139">IFERROR(INDEX(user_table!$C$2:$C3686,MATCH(C139,user_table!$B$2:$B3686,0)),"")
</f>
        <v>Agus Wijaya</v>
      </c>
      <c r="E139" s="6" t="str">
        <f t="array" ref="E139">IFERROR(INDEX(user_table!$E$2:$E3686,MATCH(C139,user_table!$B$2:$B3686,0)),"")
</f>
        <v>5, 3</v>
      </c>
      <c r="F139" s="6" t="str">
        <f t="shared" si="2"/>
        <v>36571666</v>
      </c>
      <c r="G139" s="8">
        <v>1.0</v>
      </c>
      <c r="H139" s="9">
        <v>45109.0</v>
      </c>
      <c r="I139" s="10" t="s">
        <v>146</v>
      </c>
    </row>
    <row r="140">
      <c r="A140" s="5" t="str">
        <f t="array" ref="A140">INDEX(event_table!$A$2:$A$69, RANDBETWEEN(1, COUNTA(event_table!$A$2:$A$69)))</f>
        <v>1648</v>
      </c>
      <c r="B140" s="6">
        <f t="array" ref="B140">IFERROR(INDEX(event_table!$E$1:$E3686,MATCH(A140,event_table!$A$1:$A3686,0)),"")
</f>
        <v>6</v>
      </c>
      <c r="C140" s="7">
        <f t="shared" si="1"/>
        <v>89</v>
      </c>
      <c r="D140" s="6" t="str">
        <f t="array" ref="D140">IFERROR(INDEX(user_table!$C$2:$C3686,MATCH(C140,user_table!$B$2:$B3686,0)),"")
</f>
        <v>Hadi Wijaya</v>
      </c>
      <c r="E140" s="6" t="str">
        <f t="array" ref="E140">IFERROR(INDEX(user_table!$E$2:$E3686,MATCH(C140,user_table!$B$2:$B3686,0)),"")
</f>
        <v>6, 4</v>
      </c>
      <c r="F140" s="6" t="str">
        <f t="shared" si="2"/>
        <v>16481689</v>
      </c>
      <c r="G140" s="8">
        <v>1.0</v>
      </c>
      <c r="H140" s="9">
        <v>45081.0</v>
      </c>
      <c r="I140" s="10" t="s">
        <v>147</v>
      </c>
    </row>
    <row r="141">
      <c r="A141" s="5" t="str">
        <f t="array" ref="A141">INDEX(event_table!$A$2:$A$69, RANDBETWEEN(1, COUNTA(event_table!$A$2:$A$69)))</f>
        <v>122</v>
      </c>
      <c r="B141" s="6">
        <f t="array" ref="B141">IFERROR(INDEX(event_table!$E$1:$E3686,MATCH(A141,event_table!$A$1:$A3686,0)),"")
</f>
        <v>2</v>
      </c>
      <c r="C141" s="7">
        <f t="shared" si="1"/>
        <v>83</v>
      </c>
      <c r="D141" s="6" t="str">
        <f t="array" ref="D141">IFERROR(INDEX(user_table!$C$2:$C3686,MATCH(C141,user_table!$B$2:$B3686,0)),"")
</f>
        <v>Sinta Nurhayati</v>
      </c>
      <c r="E141" s="6" t="str">
        <f t="array" ref="E141">IFERROR(INDEX(user_table!$E$2:$E3686,MATCH(C141,user_table!$B$2:$B3686,0)),"")
</f>
        <v>5, 5</v>
      </c>
      <c r="F141" s="6" t="str">
        <f t="shared" si="2"/>
        <v>1221283</v>
      </c>
      <c r="G141" s="8">
        <v>1.0</v>
      </c>
      <c r="H141" s="9">
        <v>45048.0</v>
      </c>
      <c r="I141" s="10" t="s">
        <v>148</v>
      </c>
    </row>
    <row r="142">
      <c r="A142" s="5" t="str">
        <f t="array" ref="A142">INDEX(event_table!$A$2:$A$69, RANDBETWEEN(1, COUNTA(event_table!$A$2:$A$69)))</f>
        <v>111</v>
      </c>
      <c r="B142" s="6">
        <f t="array" ref="B142">IFERROR(INDEX(event_table!$E$1:$E3686,MATCH(A142,event_table!$A$1:$A3686,0)),"")
</f>
        <v>1</v>
      </c>
      <c r="C142" s="7">
        <f t="shared" si="1"/>
        <v>93</v>
      </c>
      <c r="D142" s="6" t="str">
        <f t="array" ref="D142">IFERROR(INDEX(user_table!$C$2:$C3686,MATCH(C142,user_table!$B$2:$B3686,0)),"")
</f>
        <v>Hadi Putri</v>
      </c>
      <c r="E142" s="6" t="str">
        <f t="array" ref="E142">IFERROR(INDEX(user_table!$E$2:$E3686,MATCH(C142,user_table!$B$2:$B3686,0)),"")
</f>
        <v>5, 6</v>
      </c>
      <c r="F142" s="6" t="str">
        <f t="shared" si="2"/>
        <v>1111193</v>
      </c>
      <c r="G142" s="8">
        <v>1.0</v>
      </c>
      <c r="H142" s="9">
        <v>45048.0</v>
      </c>
      <c r="I142" s="10" t="s">
        <v>149</v>
      </c>
    </row>
    <row r="143">
      <c r="A143" s="5" t="str">
        <f t="array" ref="A143">INDEX(event_table!$A$2:$A$69, RANDBETWEEN(1, COUNTA(event_table!$A$2:$A$69)))</f>
        <v>1650</v>
      </c>
      <c r="B143" s="6">
        <f t="array" ref="B143">IFERROR(INDEX(event_table!$E$1:$E3686,MATCH(A143,event_table!$A$1:$A3686,0)),"")
</f>
        <v>6</v>
      </c>
      <c r="C143" s="7">
        <f t="shared" si="1"/>
        <v>87</v>
      </c>
      <c r="D143" s="6" t="str">
        <f t="array" ref="D143">IFERROR(INDEX(user_table!$C$2:$C3686,MATCH(C143,user_table!$B$2:$B3686,0)),"")
</f>
        <v>Budi Setiawan</v>
      </c>
      <c r="E143" s="6" t="str">
        <f t="array" ref="E143">IFERROR(INDEX(user_table!$E$2:$E3686,MATCH(C143,user_table!$B$2:$B3686,0)),"")
</f>
        <v>3, 5</v>
      </c>
      <c r="F143" s="6" t="str">
        <f t="shared" si="2"/>
        <v>16501687</v>
      </c>
      <c r="G143" s="8">
        <v>1.0</v>
      </c>
      <c r="H143" s="9">
        <v>45033.0</v>
      </c>
      <c r="I143" s="10" t="s">
        <v>150</v>
      </c>
    </row>
    <row r="144">
      <c r="A144" s="5" t="str">
        <f t="array" ref="A144">INDEX(event_table!$A$2:$A$69, RANDBETWEEN(1, COUNTA(event_table!$A$2:$A$69)))</f>
        <v>1333</v>
      </c>
      <c r="B144" s="6">
        <f t="array" ref="B144">IFERROR(INDEX(event_table!$E$1:$E3686,MATCH(A144,event_table!$A$1:$A3686,0)),"")
</f>
        <v>3</v>
      </c>
      <c r="C144" s="7">
        <f t="shared" si="1"/>
        <v>107</v>
      </c>
      <c r="D144" s="6" t="str">
        <f t="array" ref="D144">IFERROR(INDEX(user_table!$C$2:$C3686,MATCH(C144,user_table!$B$2:$B3686,0)),"")
</f>
        <v>Citra Rahayu</v>
      </c>
      <c r="E144" s="6" t="str">
        <f t="array" ref="E144">IFERROR(INDEX(user_table!$E$2:$E3686,MATCH(C144,user_table!$B$2:$B3686,0)),"")
</f>
        <v>1, 5</v>
      </c>
      <c r="F144" s="6" t="str">
        <f t="shared" si="2"/>
        <v>133313107</v>
      </c>
      <c r="G144" s="8">
        <v>1.0</v>
      </c>
      <c r="H144" s="9">
        <v>45033.0</v>
      </c>
      <c r="I144" s="10" t="s">
        <v>151</v>
      </c>
    </row>
    <row r="145">
      <c r="A145" s="5" t="str">
        <f t="array" ref="A145">INDEX(event_table!$A$2:$A$69, RANDBETWEEN(1, COUNTA(event_table!$A$2:$A$69)))</f>
        <v>1215</v>
      </c>
      <c r="B145" s="6">
        <f t="array" ref="B145">IFERROR(INDEX(event_table!$E$1:$E3686,MATCH(A145,event_table!$A$1:$A3686,0)),"")
</f>
        <v>2</v>
      </c>
      <c r="C145" s="7">
        <f t="shared" si="1"/>
        <v>33</v>
      </c>
      <c r="D145" s="6" t="str">
        <f t="array" ref="D145">IFERROR(INDEX(user_table!$C$2:$C3686,MATCH(C145,user_table!$B$2:$B3686,0)),"")
</f>
        <v>Dewi Wijaya</v>
      </c>
      <c r="E145" s="6" t="str">
        <f t="array" ref="E145">IFERROR(INDEX(user_table!$E$2:$E3686,MATCH(C145,user_table!$B$2:$B3686,0)),"")
</f>
        <v>4, 2</v>
      </c>
      <c r="F145" s="6" t="str">
        <f t="shared" si="2"/>
        <v>12151233</v>
      </c>
      <c r="G145" s="8">
        <v>1.0</v>
      </c>
      <c r="H145" s="9">
        <v>45019.0</v>
      </c>
      <c r="I145" s="10" t="s">
        <v>152</v>
      </c>
    </row>
    <row r="146">
      <c r="A146" s="5" t="str">
        <f t="array" ref="A146">INDEX(event_table!$A$2:$A$69, RANDBETWEEN(1, COUNTA(event_table!$A$2:$A$69)))</f>
        <v>1215</v>
      </c>
      <c r="B146" s="6">
        <f t="array" ref="B146">IFERROR(INDEX(event_table!$E$1:$E3686,MATCH(A146,event_table!$A$1:$A3686,0)),"")
</f>
        <v>2</v>
      </c>
      <c r="C146" s="7">
        <f t="shared" si="1"/>
        <v>152</v>
      </c>
      <c r="D146" s="6" t="str">
        <f t="array" ref="D146">IFERROR(INDEX(user_table!$C$2:$C3686,MATCH(C146,user_table!$B$2:$B3686,0)),"")
</f>
        <v>Budi Kurniawan</v>
      </c>
      <c r="E146" s="6" t="str">
        <f t="array" ref="E146">IFERROR(INDEX(user_table!$E$2:$E3686,MATCH(C146,user_table!$B$2:$B3686,0)),"")
</f>
        <v>5, 5</v>
      </c>
      <c r="F146" s="6" t="str">
        <f t="shared" si="2"/>
        <v>121552152</v>
      </c>
      <c r="G146" s="8">
        <v>5.0</v>
      </c>
      <c r="H146" s="9">
        <v>44747.0</v>
      </c>
      <c r="I146" s="10" t="s">
        <v>153</v>
      </c>
    </row>
    <row r="147">
      <c r="A147" s="5" t="str">
        <f t="array" ref="A147">INDEX(event_table!$A$2:$A$69, RANDBETWEEN(1, COUNTA(event_table!$A$2:$A$69)))</f>
        <v>1647</v>
      </c>
      <c r="B147" s="6">
        <f t="array" ref="B147">IFERROR(INDEX(event_table!$E$1:$E3686,MATCH(A147,event_table!$A$1:$A3686,0)),"")
</f>
        <v>6</v>
      </c>
      <c r="C147" s="7">
        <f t="shared" si="1"/>
        <v>82</v>
      </c>
      <c r="D147" s="6" t="str">
        <f t="array" ref="D147">IFERROR(INDEX(user_table!$C$2:$C3686,MATCH(C147,user_table!$B$2:$B3686,0)),"")
</f>
        <v>Fandi Nurhayati</v>
      </c>
      <c r="E147" s="6" t="str">
        <f t="array" ref="E147">IFERROR(INDEX(user_table!$E$2:$E3686,MATCH(C147,user_table!$B$2:$B3686,0)),"")
</f>
        <v>3, 2</v>
      </c>
      <c r="F147" s="6" t="str">
        <f t="shared" si="2"/>
        <v>16475682</v>
      </c>
      <c r="G147" s="8">
        <v>5.0</v>
      </c>
      <c r="H147" s="9">
        <v>44746.0</v>
      </c>
      <c r="I147" s="10" t="s">
        <v>154</v>
      </c>
    </row>
    <row r="148">
      <c r="A148" s="5" t="str">
        <f t="array" ref="A148">INDEX(event_table!$A$2:$A$69, RANDBETWEEN(1, COUNTA(event_table!$A$2:$A$69)))</f>
        <v>1644</v>
      </c>
      <c r="B148" s="6">
        <f t="array" ref="B148">IFERROR(INDEX(event_table!$E$1:$E3686,MATCH(A148,event_table!$A$1:$A3686,0)),"")
</f>
        <v>6</v>
      </c>
      <c r="C148" s="7">
        <f t="shared" si="1"/>
        <v>84</v>
      </c>
      <c r="D148" s="6" t="str">
        <f t="array" ref="D148">IFERROR(INDEX(user_table!$C$2:$C3686,MATCH(C148,user_table!$B$2:$B3686,0)),"")
</f>
        <v>Budi Hermawan</v>
      </c>
      <c r="E148" s="6" t="str">
        <f t="array" ref="E148">IFERROR(INDEX(user_table!$E$2:$E3686,MATCH(C148,user_table!$B$2:$B3686,0)),"")
</f>
        <v>5, 5</v>
      </c>
      <c r="F148" s="6" t="str">
        <f t="shared" si="2"/>
        <v>16445684</v>
      </c>
      <c r="G148" s="8">
        <v>5.0</v>
      </c>
      <c r="H148" s="9">
        <v>44734.0</v>
      </c>
      <c r="I148" s="10" t="s">
        <v>155</v>
      </c>
    </row>
    <row r="149">
      <c r="A149" s="5" t="str">
        <f t="array" ref="A149">INDEX(event_table!$A$2:$A$69, RANDBETWEEN(1, COUNTA(event_table!$A$2:$A$69)))</f>
        <v>1215</v>
      </c>
      <c r="B149" s="6">
        <f t="array" ref="B149">IFERROR(INDEX(event_table!$E$1:$E3686,MATCH(A149,event_table!$A$1:$A3686,0)),"")
</f>
        <v>2</v>
      </c>
      <c r="C149" s="7">
        <f t="shared" si="1"/>
        <v>107</v>
      </c>
      <c r="D149" s="6" t="str">
        <f t="array" ref="D149">IFERROR(INDEX(user_table!$C$2:$C3686,MATCH(C149,user_table!$B$2:$B3686,0)),"")
</f>
        <v>Citra Rahayu</v>
      </c>
      <c r="E149" s="6" t="str">
        <f t="array" ref="E149">IFERROR(INDEX(user_table!$E$2:$E3686,MATCH(C149,user_table!$B$2:$B3686,0)),"")
</f>
        <v>1, 5</v>
      </c>
      <c r="F149" s="6" t="str">
        <f t="shared" si="2"/>
        <v>121552107</v>
      </c>
      <c r="G149" s="8">
        <v>5.0</v>
      </c>
      <c r="H149" s="9">
        <v>44710.0</v>
      </c>
      <c r="I149" s="10" t="s">
        <v>156</v>
      </c>
    </row>
    <row r="150">
      <c r="A150" s="5" t="str">
        <f t="array" ref="A150">INDEX(event_table!$A$2:$A$69, RANDBETWEEN(1, COUNTA(event_table!$A$2:$A$69)))</f>
        <v>115</v>
      </c>
      <c r="B150" s="6">
        <f t="array" ref="B150">IFERROR(INDEX(event_table!$E$1:$E3686,MATCH(A150,event_table!$A$1:$A3686,0)),"")
</f>
        <v>1</v>
      </c>
      <c r="C150" s="7">
        <f t="shared" si="1"/>
        <v>172</v>
      </c>
      <c r="D150" s="6" t="str">
        <f t="array" ref="D150">IFERROR(INDEX(user_table!$C$2:$C3686,MATCH(C150,user_table!$B$2:$B3686,0)),"")
</f>
        <v>Dian Kurniawan</v>
      </c>
      <c r="E150" s="6" t="str">
        <f t="array" ref="E150">IFERROR(INDEX(user_table!$E$2:$E3686,MATCH(C150,user_table!$B$2:$B3686,0)),"")
</f>
        <v>1, 2</v>
      </c>
      <c r="F150" s="6" t="str">
        <f t="shared" si="2"/>
        <v>11551172</v>
      </c>
      <c r="G150" s="8">
        <v>5.0</v>
      </c>
      <c r="H150" s="9">
        <v>44699.0</v>
      </c>
      <c r="I150" s="10" t="s">
        <v>157</v>
      </c>
    </row>
    <row r="151">
      <c r="A151" s="5" t="str">
        <f t="array" ref="A151">INDEX(event_table!$A$2:$A$69, RANDBETWEEN(1, COUNTA(event_table!$A$2:$A$69)))</f>
        <v>3162</v>
      </c>
      <c r="B151" s="6">
        <f t="array" ref="B151">IFERROR(INDEX(event_table!$E$1:$E3686,MATCH(A151,event_table!$A$1:$A3686,0)),"")
</f>
        <v>1</v>
      </c>
      <c r="C151" s="7">
        <f t="shared" si="1"/>
        <v>94</v>
      </c>
      <c r="D151" s="6" t="str">
        <f t="array" ref="D151">IFERROR(INDEX(user_table!$C$2:$C3686,MATCH(C151,user_table!$B$2:$B3686,0)),"")
</f>
        <v>Ani Susanto</v>
      </c>
      <c r="E151" s="6" t="str">
        <f t="array" ref="E151">IFERROR(INDEX(user_table!$E$2:$E3686,MATCH(C151,user_table!$B$2:$B3686,0)),"")
</f>
        <v>2, 4</v>
      </c>
      <c r="F151" s="6" t="str">
        <f t="shared" si="2"/>
        <v>31625194</v>
      </c>
      <c r="G151" s="8">
        <v>5.0</v>
      </c>
      <c r="H151" s="9">
        <v>44698.0</v>
      </c>
      <c r="I151" s="10" t="s">
        <v>158</v>
      </c>
    </row>
    <row r="152">
      <c r="A152" s="5" t="str">
        <f t="array" ref="A152">INDEX(event_table!$A$2:$A$69, RANDBETWEEN(1, COUNTA(event_table!$A$2:$A$69)))</f>
        <v>1553</v>
      </c>
      <c r="B152" s="6">
        <f t="array" ref="B152">IFERROR(INDEX(event_table!$E$1:$E3686,MATCH(A152,event_table!$A$1:$A3686,0)),"")
</f>
        <v>5</v>
      </c>
      <c r="C152" s="7">
        <f t="shared" si="1"/>
        <v>59</v>
      </c>
      <c r="D152" s="6" t="str">
        <f t="array" ref="D152">IFERROR(INDEX(user_table!$C$2:$C3686,MATCH(C152,user_table!$B$2:$B3686,0)),"")
</f>
        <v>Siti Rahayu</v>
      </c>
      <c r="E152" s="6" t="str">
        <f t="array" ref="E152">IFERROR(INDEX(user_table!$E$2:$E3686,MATCH(C152,user_table!$B$2:$B3686,0)),"")
</f>
        <v>3, 5</v>
      </c>
      <c r="F152" s="6" t="str">
        <f t="shared" si="2"/>
        <v>15535559</v>
      </c>
      <c r="G152" s="8">
        <v>5.0</v>
      </c>
      <c r="H152" s="9">
        <v>45184.0</v>
      </c>
      <c r="I152" s="10" t="s">
        <v>159</v>
      </c>
    </row>
    <row r="153">
      <c r="A153" s="5" t="str">
        <f t="array" ref="A153">INDEX(event_table!$A$2:$A$69, RANDBETWEEN(1, COUNTA(event_table!$A$2:$A$69)))</f>
        <v>1649</v>
      </c>
      <c r="B153" s="6">
        <f t="array" ref="B153">IFERROR(INDEX(event_table!$E$1:$E3686,MATCH(A153,event_table!$A$1:$A3686,0)),"")
</f>
        <v>6</v>
      </c>
      <c r="C153" s="7">
        <f t="shared" si="1"/>
        <v>134</v>
      </c>
      <c r="D153" s="6" t="str">
        <f t="array" ref="D153">IFERROR(INDEX(user_table!$C$2:$C3686,MATCH(C153,user_table!$B$2:$B3686,0)),"")
</f>
        <v>Maya Septiani</v>
      </c>
      <c r="E153" s="6" t="str">
        <f t="array" ref="E153">IFERROR(INDEX(user_table!$E$2:$E3686,MATCH(C153,user_table!$B$2:$B3686,0)),"")
</f>
        <v>2, 4</v>
      </c>
      <c r="F153" s="6" t="str">
        <f t="shared" si="2"/>
        <v>164956134</v>
      </c>
      <c r="G153" s="8">
        <v>5.0</v>
      </c>
      <c r="H153" s="9">
        <v>45112.0</v>
      </c>
      <c r="I153" s="10" t="s">
        <v>160</v>
      </c>
    </row>
    <row r="154">
      <c r="A154" s="5" t="str">
        <f t="array" ref="A154">INDEX(event_table!$A$2:$A$69, RANDBETWEEN(1, COUNTA(event_table!$A$2:$A$69)))</f>
        <v>116</v>
      </c>
      <c r="B154" s="6">
        <f t="array" ref="B154">IFERROR(INDEX(event_table!$E$1:$E3686,MATCH(A154,event_table!$A$1:$A3686,0)),"")
</f>
        <v>1</v>
      </c>
      <c r="C154" s="7">
        <f t="shared" si="1"/>
        <v>191</v>
      </c>
      <c r="D154" s="6" t="str">
        <f t="array" ref="D154">IFERROR(INDEX(user_table!$C$2:$C3686,MATCH(C154,user_table!$B$2:$B3686,0)),"")
</f>
        <v>Rudi Hermawan</v>
      </c>
      <c r="E154" s="6" t="str">
        <f t="array" ref="E154">IFERROR(INDEX(user_table!$E$2:$E3686,MATCH(C154,user_table!$B$2:$B3686,0)),"")
</f>
        <v>5, 6</v>
      </c>
      <c r="F154" s="6" t="str">
        <f t="shared" si="2"/>
        <v>11651191</v>
      </c>
      <c r="G154" s="8">
        <v>5.0</v>
      </c>
      <c r="H154" s="9">
        <v>45108.0</v>
      </c>
      <c r="I154" s="10" t="s">
        <v>161</v>
      </c>
    </row>
    <row r="155">
      <c r="A155" s="5" t="str">
        <f t="array" ref="A155">INDEX(event_table!$A$2:$A$69, RANDBETWEEN(1, COUNTA(event_table!$A$2:$A$69)))</f>
        <v>3165</v>
      </c>
      <c r="B155" s="6">
        <f t="array" ref="B155">IFERROR(INDEX(event_table!$E$1:$E3686,MATCH(A155,event_table!$A$1:$A3686,0)),"")
</f>
        <v>1</v>
      </c>
      <c r="C155" s="7">
        <f t="shared" si="1"/>
        <v>71</v>
      </c>
      <c r="D155" s="6" t="str">
        <f t="array" ref="D155">IFERROR(INDEX(user_table!$C$2:$C3686,MATCH(C155,user_table!$B$2:$B3686,0)),"")
</f>
        <v>Hadi Putri</v>
      </c>
      <c r="E155" s="6" t="str">
        <f t="array" ref="E155">IFERROR(INDEX(user_table!$E$2:$E3686,MATCH(C155,user_table!$B$2:$B3686,0)),"")
</f>
        <v>3, 3</v>
      </c>
      <c r="F155" s="6" t="str">
        <f t="shared" si="2"/>
        <v>31655171</v>
      </c>
      <c r="G155" s="8">
        <v>5.0</v>
      </c>
      <c r="H155" s="9">
        <v>45102.0</v>
      </c>
      <c r="I155" s="10" t="s">
        <v>162</v>
      </c>
    </row>
    <row r="156">
      <c r="A156" s="5" t="str">
        <f t="array" ref="A156">INDEX(event_table!$A$2:$A$69, RANDBETWEEN(1, COUNTA(event_table!$A$2:$A$69)))</f>
        <v>3356</v>
      </c>
      <c r="B156" s="6">
        <f t="array" ref="B156">IFERROR(INDEX(event_table!$E$1:$E3686,MATCH(A156,event_table!$A$1:$A3686,0)),"")
</f>
        <v>3</v>
      </c>
      <c r="C156" s="7">
        <f t="shared" si="1"/>
        <v>13</v>
      </c>
      <c r="D156" s="6" t="str">
        <f t="array" ref="D156">IFERROR(INDEX(user_table!$C$2:$C3686,MATCH(C156,user_table!$B$2:$B3686,0)),"")
</f>
        <v>Hadi Kurniawan</v>
      </c>
      <c r="E156" s="6" t="str">
        <f t="array" ref="E156">IFERROR(INDEX(user_table!$E$2:$E3686,MATCH(C156,user_table!$B$2:$B3686,0)),"")
</f>
        <v>4, 3</v>
      </c>
      <c r="F156" s="6" t="str">
        <f t="shared" si="2"/>
        <v>33565313</v>
      </c>
      <c r="G156" s="8">
        <v>5.0</v>
      </c>
      <c r="H156" s="9">
        <v>45094.0</v>
      </c>
      <c r="I156" s="10" t="s">
        <v>163</v>
      </c>
    </row>
    <row r="157">
      <c r="A157" s="5" t="str">
        <f t="array" ref="A157">INDEX(event_table!$A$2:$A$69, RANDBETWEEN(1, COUNTA(event_table!$A$2:$A$69)))</f>
        <v>1638</v>
      </c>
      <c r="B157" s="6">
        <f t="array" ref="B157">IFERROR(INDEX(event_table!$E$1:$E3686,MATCH(A157,event_table!$A$1:$A3686,0)),"")
</f>
        <v>6</v>
      </c>
      <c r="C157" s="7">
        <f t="shared" si="1"/>
        <v>167</v>
      </c>
      <c r="D157" s="6" t="str">
        <f t="array" ref="D157">IFERROR(INDEX(user_table!$C$2:$C3686,MATCH(C157,user_table!$B$2:$B3686,0)),"")
</f>
        <v>Fandi Hermawan</v>
      </c>
      <c r="E157" s="6" t="str">
        <f t="array" ref="E157">IFERROR(INDEX(user_table!$E$2:$E3686,MATCH(C157,user_table!$B$2:$B3686,0)),"")
</f>
        <v>3, 1</v>
      </c>
      <c r="F157" s="6" t="str">
        <f t="shared" si="2"/>
        <v>163856167</v>
      </c>
      <c r="G157" s="8">
        <v>5.0</v>
      </c>
      <c r="H157" s="9">
        <v>45048.0</v>
      </c>
      <c r="I157" s="10" t="s">
        <v>164</v>
      </c>
    </row>
    <row r="158">
      <c r="A158" s="5" t="str">
        <f t="array" ref="A158">INDEX(event_table!$A$2:$A$69, RANDBETWEEN(1, COUNTA(event_table!$A$2:$A$69)))</f>
        <v>1421</v>
      </c>
      <c r="B158" s="6">
        <f t="array" ref="B158">IFERROR(INDEX(event_table!$E$1:$E3686,MATCH(A158,event_table!$A$1:$A3686,0)),"")
</f>
        <v>4</v>
      </c>
      <c r="C158" s="7">
        <f t="shared" si="1"/>
        <v>91</v>
      </c>
      <c r="D158" s="6" t="str">
        <f t="array" ref="D158">IFERROR(INDEX(user_table!$C$2:$C3686,MATCH(C158,user_table!$B$2:$B3686,0)),"")
</f>
        <v>Bambang Wijaya</v>
      </c>
      <c r="E158" s="6" t="str">
        <f t="array" ref="E158">IFERROR(INDEX(user_table!$E$2:$E3686,MATCH(C158,user_table!$B$2:$B3686,0)),"")
</f>
        <v>1, 2</v>
      </c>
      <c r="F158" s="6" t="str">
        <f t="shared" si="2"/>
        <v>14215491</v>
      </c>
      <c r="G158" s="8">
        <v>5.0</v>
      </c>
      <c r="H158" s="9">
        <v>44900.0</v>
      </c>
      <c r="I158" s="10" t="s">
        <v>165</v>
      </c>
    </row>
    <row r="159">
      <c r="A159" s="5" t="str">
        <f t="array" ref="A159">INDEX(event_table!$A$2:$A$69, RANDBETWEEN(1, COUNTA(event_table!$A$2:$A$69)))</f>
        <v>3658</v>
      </c>
      <c r="B159" s="6">
        <f t="array" ref="B159">IFERROR(INDEX(event_table!$E$1:$E3686,MATCH(A159,event_table!$A$1:$A3686,0)),"")
</f>
        <v>6</v>
      </c>
      <c r="C159" s="7">
        <f t="shared" si="1"/>
        <v>125</v>
      </c>
      <c r="D159" s="6" t="str">
        <f t="array" ref="D159">IFERROR(INDEX(user_table!$C$2:$C3686,MATCH(C159,user_table!$B$2:$B3686,0)),"")
</f>
        <v>Fandi Hidayat</v>
      </c>
      <c r="E159" s="6" t="str">
        <f t="array" ref="E159">IFERROR(INDEX(user_table!$E$2:$E3686,MATCH(C159,user_table!$B$2:$B3686,0)),"")
</f>
        <v>5, 2</v>
      </c>
      <c r="F159" s="6" t="str">
        <f t="shared" si="2"/>
        <v>365856125</v>
      </c>
      <c r="G159" s="8">
        <v>5.0</v>
      </c>
      <c r="H159" s="9">
        <v>44831.0</v>
      </c>
      <c r="I159" s="10" t="s">
        <v>166</v>
      </c>
    </row>
    <row r="160">
      <c r="A160" s="5" t="str">
        <f t="array" ref="A160">INDEX(event_table!$A$2:$A$69, RANDBETWEEN(1, COUNTA(event_table!$A$2:$A$69)))</f>
        <v>114</v>
      </c>
      <c r="B160" s="6">
        <f t="array" ref="B160">IFERROR(INDEX(event_table!$E$1:$E3686,MATCH(A160,event_table!$A$1:$A3686,0)),"")
</f>
        <v>1</v>
      </c>
      <c r="C160" s="7">
        <f t="shared" si="1"/>
        <v>17</v>
      </c>
      <c r="D160" s="6" t="str">
        <f t="array" ref="D160">IFERROR(INDEX(user_table!$C$2:$C3686,MATCH(C160,user_table!$B$2:$B3686,0)),"")
</f>
        <v>Fajar Wijaya</v>
      </c>
      <c r="E160" s="6" t="str">
        <f t="array" ref="E160">IFERROR(INDEX(user_table!$E$2:$E3686,MATCH(C160,user_table!$B$2:$B3686,0)),"")
</f>
        <v>1, 1</v>
      </c>
      <c r="F160" s="6" t="str">
        <f t="shared" si="2"/>
        <v>1145117</v>
      </c>
      <c r="G160" s="8">
        <v>5.0</v>
      </c>
      <c r="H160" s="9">
        <v>44821.0</v>
      </c>
      <c r="I160" s="10" t="s">
        <v>167</v>
      </c>
    </row>
    <row r="161">
      <c r="A161" s="5" t="str">
        <f t="array" ref="A161">INDEX(event_table!$A$2:$A$69, RANDBETWEEN(1, COUNTA(event_table!$A$2:$A$69)))</f>
        <v>3657</v>
      </c>
      <c r="B161" s="6">
        <f t="array" ref="B161">IFERROR(INDEX(event_table!$E$1:$E3686,MATCH(A161,event_table!$A$1:$A3686,0)),"")
</f>
        <v>6</v>
      </c>
      <c r="C161" s="7">
        <f t="shared" si="1"/>
        <v>42</v>
      </c>
      <c r="D161" s="6" t="str">
        <f t="array" ref="D161">IFERROR(INDEX(user_table!$C$2:$C3686,MATCH(C161,user_table!$B$2:$B3686,0)),"")
</f>
        <v>Desi Putri</v>
      </c>
      <c r="E161" s="6" t="str">
        <f t="array" ref="E161">IFERROR(INDEX(user_table!$E$2:$E3686,MATCH(C161,user_table!$B$2:$B3686,0)),"")
</f>
        <v>4, 6</v>
      </c>
      <c r="F161" s="6" t="str">
        <f t="shared" si="2"/>
        <v>36575642</v>
      </c>
      <c r="G161" s="8">
        <v>5.0</v>
      </c>
      <c r="H161" s="9">
        <v>44796.0</v>
      </c>
      <c r="I161" s="10" t="s">
        <v>168</v>
      </c>
    </row>
    <row r="162">
      <c r="A162" s="5" t="str">
        <f t="array" ref="A162">INDEX(event_table!$A$2:$A$69, RANDBETWEEN(1, COUNTA(event_table!$A$2:$A$69)))</f>
        <v>1420</v>
      </c>
      <c r="B162" s="6">
        <f t="array" ref="B162">IFERROR(INDEX(event_table!$E$1:$E3686,MATCH(A162,event_table!$A$1:$A3686,0)),"")
</f>
        <v>4</v>
      </c>
      <c r="C162" s="7">
        <f t="shared" si="1"/>
        <v>102</v>
      </c>
      <c r="D162" s="6" t="str">
        <f t="array" ref="D162">IFERROR(INDEX(user_table!$C$2:$C3686,MATCH(C162,user_table!$B$2:$B3686,0)),"")
</f>
        <v>Lina Nurhayati</v>
      </c>
      <c r="E162" s="6" t="str">
        <f t="array" ref="E162">IFERROR(INDEX(user_table!$E$2:$E3686,MATCH(C162,user_table!$B$2:$B3686,0)),"")
</f>
        <v>1, 2</v>
      </c>
      <c r="F162" s="6" t="str">
        <f t="shared" si="2"/>
        <v>142054102</v>
      </c>
      <c r="G162" s="8">
        <v>5.0</v>
      </c>
      <c r="H162" s="9">
        <v>44785.0</v>
      </c>
      <c r="I162" s="10" t="s">
        <v>169</v>
      </c>
    </row>
    <row r="163">
      <c r="A163" s="5" t="str">
        <f t="array" ref="A163">INDEX(event_table!$A$2:$A$69, RANDBETWEEN(1, COUNTA(event_table!$A$2:$A$69)))</f>
        <v>1114</v>
      </c>
      <c r="B163" s="6">
        <f t="array" ref="B163">IFERROR(INDEX(event_table!$E$1:$E3686,MATCH(A163,event_table!$A$1:$A3686,0)),"")
</f>
        <v>1</v>
      </c>
      <c r="C163" s="7">
        <f t="shared" si="1"/>
        <v>61</v>
      </c>
      <c r="D163" s="6" t="str">
        <f t="array" ref="D163">IFERROR(INDEX(user_table!$C$2:$C3686,MATCH(C163,user_table!$B$2:$B3686,0)),"")
</f>
        <v>Agus Setiawan</v>
      </c>
      <c r="E163" s="6" t="str">
        <f t="array" ref="E163">IFERROR(INDEX(user_table!$E$2:$E3686,MATCH(C163,user_table!$B$2:$B3686,0)),"")
</f>
        <v>4, 5</v>
      </c>
      <c r="F163" s="6" t="str">
        <f t="shared" si="2"/>
        <v>11145161</v>
      </c>
      <c r="G163" s="8">
        <v>5.0</v>
      </c>
      <c r="H163" s="9">
        <v>44690.0</v>
      </c>
      <c r="I163" s="10" t="s">
        <v>170</v>
      </c>
    </row>
    <row r="164">
      <c r="A164" s="5" t="str">
        <f t="array" ref="A164">INDEX(event_table!$A$2:$A$69, RANDBETWEEN(1, COUNTA(event_table!$A$2:$A$69)))</f>
        <v>3165</v>
      </c>
      <c r="B164" s="6">
        <f t="array" ref="B164">IFERROR(INDEX(event_table!$E$1:$E3686,MATCH(A164,event_table!$A$1:$A3686,0)),"")
</f>
        <v>1</v>
      </c>
      <c r="C164" s="7">
        <f t="shared" si="1"/>
        <v>102</v>
      </c>
      <c r="D164" s="6" t="str">
        <f t="array" ref="D164">IFERROR(INDEX(user_table!$C$2:$C3686,MATCH(C164,user_table!$B$2:$B3686,0)),"")
</f>
        <v>Lina Nurhayati</v>
      </c>
      <c r="E164" s="6" t="str">
        <f t="array" ref="E164">IFERROR(INDEX(user_table!$E$2:$E3686,MATCH(C164,user_table!$B$2:$B3686,0)),"")
</f>
        <v>1, 2</v>
      </c>
      <c r="F164" s="6" t="str">
        <f t="shared" si="2"/>
        <v>316541102</v>
      </c>
      <c r="G164" s="8">
        <v>4.0</v>
      </c>
      <c r="H164" s="9">
        <v>44684.0</v>
      </c>
      <c r="I164" s="10" t="s">
        <v>171</v>
      </c>
    </row>
    <row r="165">
      <c r="A165" s="5" t="str">
        <f t="array" ref="A165">INDEX(event_table!$A$2:$A$69, RANDBETWEEN(1, COUNTA(event_table!$A$2:$A$69)))</f>
        <v>1644</v>
      </c>
      <c r="B165" s="6">
        <f t="array" ref="B165">IFERROR(INDEX(event_table!$E$1:$E3686,MATCH(A165,event_table!$A$1:$A3686,0)),"")
</f>
        <v>6</v>
      </c>
      <c r="C165" s="7">
        <f t="shared" si="1"/>
        <v>107</v>
      </c>
      <c r="D165" s="6" t="str">
        <f t="array" ref="D165">IFERROR(INDEX(user_table!$C$2:$C3686,MATCH(C165,user_table!$B$2:$B3686,0)),"")
</f>
        <v>Citra Rahayu</v>
      </c>
      <c r="E165" s="6" t="str">
        <f t="array" ref="E165">IFERROR(INDEX(user_table!$E$2:$E3686,MATCH(C165,user_table!$B$2:$B3686,0)),"")
</f>
        <v>1, 5</v>
      </c>
      <c r="F165" s="6" t="str">
        <f t="shared" si="2"/>
        <v>164446107</v>
      </c>
      <c r="G165" s="8">
        <v>4.0</v>
      </c>
      <c r="H165" s="9">
        <v>45062.0</v>
      </c>
      <c r="I165" s="10" t="s">
        <v>172</v>
      </c>
    </row>
    <row r="166">
      <c r="A166" s="5" t="str">
        <f t="array" ref="A166">INDEX(event_table!$A$2:$A$69, RANDBETWEEN(1, COUNTA(event_table!$A$2:$A$69)))</f>
        <v>1528</v>
      </c>
      <c r="B166" s="6">
        <f t="array" ref="B166">IFERROR(INDEX(event_table!$E$1:$E3686,MATCH(A166,event_table!$A$1:$A3686,0)),"")
</f>
        <v>5</v>
      </c>
      <c r="C166" s="7">
        <f t="shared" si="1"/>
        <v>152</v>
      </c>
      <c r="D166" s="6" t="str">
        <f t="array" ref="D166">IFERROR(INDEX(user_table!$C$2:$C3686,MATCH(C166,user_table!$B$2:$B3686,0)),"")
</f>
        <v>Budi Kurniawan</v>
      </c>
      <c r="E166" s="6" t="str">
        <f t="array" ref="E166">IFERROR(INDEX(user_table!$E$2:$E3686,MATCH(C166,user_table!$B$2:$B3686,0)),"")
</f>
        <v>5, 5</v>
      </c>
      <c r="F166" s="6" t="str">
        <f t="shared" si="2"/>
        <v>152845152</v>
      </c>
      <c r="G166" s="8">
        <v>4.0</v>
      </c>
      <c r="H166" s="9">
        <v>44774.0</v>
      </c>
      <c r="I166" s="10" t="s">
        <v>173</v>
      </c>
    </row>
    <row r="167">
      <c r="A167" s="5" t="str">
        <f t="array" ref="A167">INDEX(event_table!$A$2:$A$69, RANDBETWEEN(1, COUNTA(event_table!$A$2:$A$69)))</f>
        <v>1647</v>
      </c>
      <c r="B167" s="6">
        <f t="array" ref="B167">IFERROR(INDEX(event_table!$E$1:$E3686,MATCH(A167,event_table!$A$1:$A3686,0)),"")
</f>
        <v>6</v>
      </c>
      <c r="C167" s="7">
        <f t="shared" si="1"/>
        <v>12</v>
      </c>
      <c r="D167" s="6" t="str">
        <f t="array" ref="D167">IFERROR(INDEX(user_table!$C$2:$C3686,MATCH(C167,user_table!$B$2:$B3686,0)),"")
</f>
        <v>Joko Susanto</v>
      </c>
      <c r="E167" s="6" t="str">
        <f t="array" ref="E167">IFERROR(INDEX(user_table!$E$2:$E3686,MATCH(C167,user_table!$B$2:$B3686,0)),"")
</f>
        <v>4, 2</v>
      </c>
      <c r="F167" s="6" t="str">
        <f t="shared" si="2"/>
        <v>16474612</v>
      </c>
      <c r="G167" s="8">
        <v>4.0</v>
      </c>
      <c r="H167" s="9">
        <v>44724.0</v>
      </c>
      <c r="I167" s="10" t="s">
        <v>174</v>
      </c>
    </row>
    <row r="168">
      <c r="A168" s="5" t="str">
        <f t="array" ref="A168">INDEX(event_table!$A$2:$A$69, RANDBETWEEN(1, COUNTA(event_table!$A$2:$A$69)))</f>
        <v>122</v>
      </c>
      <c r="B168" s="6">
        <f t="array" ref="B168">IFERROR(INDEX(event_table!$E$1:$E3686,MATCH(A168,event_table!$A$1:$A3686,0)),"")
</f>
        <v>2</v>
      </c>
      <c r="C168" s="7">
        <f t="shared" si="1"/>
        <v>109</v>
      </c>
      <c r="D168" s="6" t="str">
        <f t="array" ref="D168">IFERROR(INDEX(user_table!$C$2:$C3686,MATCH(C168,user_table!$B$2:$B3686,0)),"")
</f>
        <v>Ani Sari</v>
      </c>
      <c r="E168" s="6" t="str">
        <f t="array" ref="E168">IFERROR(INDEX(user_table!$E$2:$E3686,MATCH(C168,user_table!$B$2:$B3686,0)),"")
</f>
        <v>4, 5</v>
      </c>
      <c r="F168" s="6" t="str">
        <f t="shared" si="2"/>
        <v>12242109</v>
      </c>
      <c r="G168" s="8">
        <v>4.0</v>
      </c>
      <c r="H168" s="9">
        <v>44721.0</v>
      </c>
      <c r="I168" s="10" t="s">
        <v>175</v>
      </c>
    </row>
    <row r="169">
      <c r="A169" s="5" t="str">
        <f t="array" ref="A169">INDEX(event_table!$A$2:$A$69, RANDBETWEEN(1, COUNTA(event_table!$A$2:$A$69)))</f>
        <v>1111</v>
      </c>
      <c r="B169" s="6">
        <f t="array" ref="B169">IFERROR(INDEX(event_table!$E$1:$E3686,MATCH(A169,event_table!$A$1:$A3686,0)),"")
</f>
        <v>1</v>
      </c>
      <c r="C169" s="7">
        <f t="shared" si="1"/>
        <v>175</v>
      </c>
      <c r="D169" s="6" t="str">
        <f t="array" ref="D169">IFERROR(INDEX(user_table!$C$2:$C3686,MATCH(C169,user_table!$B$2:$B3686,0)),"")
</f>
        <v>Siti Septiani</v>
      </c>
      <c r="E169" s="6" t="str">
        <f t="array" ref="E169">IFERROR(INDEX(user_table!$E$2:$E3686,MATCH(C169,user_table!$B$2:$B3686,0)),"")
</f>
        <v>2, 5</v>
      </c>
      <c r="F169" s="6" t="str">
        <f t="shared" si="2"/>
        <v>111141175</v>
      </c>
      <c r="G169" s="8">
        <v>4.0</v>
      </c>
      <c r="H169" s="9">
        <v>45207.0</v>
      </c>
      <c r="I169" s="10" t="s">
        <v>176</v>
      </c>
    </row>
    <row r="170">
      <c r="A170" s="5" t="str">
        <f t="array" ref="A170">INDEX(event_table!$A$2:$A$69, RANDBETWEEN(1, COUNTA(event_table!$A$2:$A$69)))</f>
        <v>3169</v>
      </c>
      <c r="B170" s="6">
        <f t="array" ref="B170">IFERROR(INDEX(event_table!$E$1:$E3686,MATCH(A170,event_table!$A$1:$A3686,0)),"")
</f>
        <v>1</v>
      </c>
      <c r="C170" s="7">
        <f t="shared" si="1"/>
        <v>198</v>
      </c>
      <c r="D170" s="6" t="str">
        <f t="array" ref="D170">IFERROR(INDEX(user_table!$C$2:$C3686,MATCH(C170,user_table!$B$2:$B3686,0)),"")
</f>
        <v>Siti Nugroho</v>
      </c>
      <c r="E170" s="6" t="str">
        <f t="array" ref="E170">IFERROR(INDEX(user_table!$E$2:$E3686,MATCH(C170,user_table!$B$2:$B3686,0)),"")
</f>
        <v>5, 2</v>
      </c>
      <c r="F170" s="6" t="str">
        <f t="shared" si="2"/>
        <v>316941198</v>
      </c>
      <c r="G170" s="8">
        <v>4.0</v>
      </c>
      <c r="H170" s="9">
        <v>45086.0</v>
      </c>
      <c r="I170" s="10" t="s">
        <v>177</v>
      </c>
    </row>
    <row r="171">
      <c r="A171" s="5" t="str">
        <f t="array" ref="A171">INDEX(event_table!$A$2:$A$69, RANDBETWEEN(1, COUNTA(event_table!$A$2:$A$69)))</f>
        <v>1111</v>
      </c>
      <c r="B171" s="6">
        <f t="array" ref="B171">IFERROR(INDEX(event_table!$E$1:$E3686,MATCH(A171,event_table!$A$1:$A3686,0)),"")
</f>
        <v>1</v>
      </c>
      <c r="C171" s="7">
        <f t="shared" si="1"/>
        <v>26</v>
      </c>
      <c r="D171" s="6" t="str">
        <f t="array" ref="D171">IFERROR(INDEX(user_table!$C$2:$C3686,MATCH(C171,user_table!$B$2:$B3686,0)),"")
</f>
        <v>Citra Sari</v>
      </c>
      <c r="E171" s="6" t="str">
        <f t="array" ref="E171">IFERROR(INDEX(user_table!$E$2:$E3686,MATCH(C171,user_table!$B$2:$B3686,0)),"")
</f>
        <v>5, 1</v>
      </c>
      <c r="F171" s="6" t="str">
        <f t="shared" si="2"/>
        <v>11114126</v>
      </c>
      <c r="G171" s="8">
        <v>4.0</v>
      </c>
      <c r="H171" s="9">
        <v>45066.0</v>
      </c>
      <c r="I171" s="10" t="s">
        <v>178</v>
      </c>
    </row>
    <row r="172">
      <c r="A172" s="5" t="str">
        <f t="array" ref="A172">INDEX(event_table!$A$2:$A$69, RANDBETWEEN(1, COUNTA(event_table!$A$2:$A$69)))</f>
        <v>3658</v>
      </c>
      <c r="B172" s="6">
        <f t="array" ref="B172">IFERROR(INDEX(event_table!$E$1:$E3686,MATCH(A172,event_table!$A$1:$A3686,0)),"")
</f>
        <v>6</v>
      </c>
      <c r="C172" s="7">
        <f t="shared" si="1"/>
        <v>113</v>
      </c>
      <c r="D172" s="6" t="str">
        <f t="array" ref="D172">IFERROR(INDEX(user_table!$C$2:$C3686,MATCH(C172,user_table!$B$2:$B3686,0)),"")
</f>
        <v>Budi Wijaya</v>
      </c>
      <c r="E172" s="6" t="str">
        <f t="array" ref="E172">IFERROR(INDEX(user_table!$E$2:$E3686,MATCH(C172,user_table!$B$2:$B3686,0)),"")
</f>
        <v>1, 5</v>
      </c>
      <c r="F172" s="6" t="str">
        <f t="shared" si="2"/>
        <v>365846113</v>
      </c>
      <c r="G172" s="8">
        <v>4.0</v>
      </c>
      <c r="H172" s="9">
        <v>44783.0</v>
      </c>
      <c r="I172" s="10" t="s">
        <v>179</v>
      </c>
    </row>
    <row r="173">
      <c r="A173" s="5" t="str">
        <f t="array" ref="A173">INDEX(event_table!$A$2:$A$69, RANDBETWEEN(1, COUNTA(event_table!$A$2:$A$69)))</f>
        <v>1422</v>
      </c>
      <c r="B173" s="6">
        <f t="array" ref="B173">IFERROR(INDEX(event_table!$E$1:$E3686,MATCH(A173,event_table!$A$1:$A3686,0)),"")
</f>
        <v>4</v>
      </c>
      <c r="C173" s="7">
        <f t="shared" si="1"/>
        <v>173</v>
      </c>
      <c r="D173" s="6" t="str">
        <f t="array" ref="D173">IFERROR(INDEX(user_table!$C$2:$C3686,MATCH(C173,user_table!$B$2:$B3686,0)),"")
</f>
        <v>Fajar Putri</v>
      </c>
      <c r="E173" s="6" t="str">
        <f t="array" ref="E173">IFERROR(INDEX(user_table!$E$2:$E3686,MATCH(C173,user_table!$B$2:$B3686,0)),"")
</f>
        <v>2, 6</v>
      </c>
      <c r="F173" s="6" t="str">
        <f t="shared" si="2"/>
        <v>142244173</v>
      </c>
      <c r="G173" s="8">
        <v>4.0</v>
      </c>
      <c r="H173" s="9">
        <v>44753.0</v>
      </c>
      <c r="I173" s="10" t="s">
        <v>180</v>
      </c>
    </row>
    <row r="174">
      <c r="A174" s="5" t="str">
        <f t="array" ref="A174">INDEX(event_table!$A$2:$A$69, RANDBETWEEN(1, COUNTA(event_table!$A$2:$A$69)))</f>
        <v>1639</v>
      </c>
      <c r="B174" s="6">
        <f t="array" ref="B174">IFERROR(INDEX(event_table!$E$1:$E3686,MATCH(A174,event_table!$A$1:$A3686,0)),"")
</f>
        <v>6</v>
      </c>
      <c r="C174" s="7">
        <f t="shared" si="1"/>
        <v>198</v>
      </c>
      <c r="D174" s="6" t="str">
        <f t="array" ref="D174">IFERROR(INDEX(user_table!$C$2:$C3686,MATCH(C174,user_table!$B$2:$B3686,0)),"")
</f>
        <v>Siti Nugroho</v>
      </c>
      <c r="E174" s="6" t="str">
        <f t="array" ref="E174">IFERROR(INDEX(user_table!$E$2:$E3686,MATCH(C174,user_table!$B$2:$B3686,0)),"")
</f>
        <v>5, 2</v>
      </c>
      <c r="F174" s="6" t="str">
        <f t="shared" si="2"/>
        <v>163936198</v>
      </c>
      <c r="G174" s="8">
        <v>3.0</v>
      </c>
      <c r="H174" s="9">
        <v>44926.0</v>
      </c>
      <c r="I174" s="10" t="s">
        <v>181</v>
      </c>
    </row>
    <row r="175">
      <c r="A175" s="5" t="str">
        <f t="array" ref="A175">INDEX(event_table!$A$2:$A$69, RANDBETWEEN(1, COUNTA(event_table!$A$2:$A$69)))</f>
        <v>3169</v>
      </c>
      <c r="B175" s="6">
        <f t="array" ref="B175">IFERROR(INDEX(event_table!$E$1:$E3686,MATCH(A175,event_table!$A$1:$A3686,0)),"")
</f>
        <v>1</v>
      </c>
      <c r="C175" s="7">
        <f t="shared" si="1"/>
        <v>104</v>
      </c>
      <c r="D175" s="6" t="str">
        <f t="array" ref="D175">IFERROR(INDEX(user_table!$C$2:$C3686,MATCH(C175,user_table!$B$2:$B3686,0)),"")
</f>
        <v>Fajar Utami</v>
      </c>
      <c r="E175" s="6" t="str">
        <f t="array" ref="E175">IFERROR(INDEX(user_table!$E$2:$E3686,MATCH(C175,user_table!$B$2:$B3686,0)),"")
</f>
        <v>2, 5</v>
      </c>
      <c r="F175" s="6" t="str">
        <f t="shared" si="2"/>
        <v>316931104</v>
      </c>
      <c r="G175" s="8">
        <v>3.0</v>
      </c>
      <c r="H175" s="9">
        <v>44928.0</v>
      </c>
      <c r="I175" s="10" t="s">
        <v>182</v>
      </c>
    </row>
    <row r="176">
      <c r="A176" s="5" t="str">
        <f t="array" ref="A176">INDEX(event_table!$A$2:$A$69, RANDBETWEEN(1, COUNTA(event_table!$A$2:$A$69)))</f>
        <v>1416</v>
      </c>
      <c r="B176" s="6">
        <f t="array" ref="B176">IFERROR(INDEX(event_table!$E$1:$E3686,MATCH(A176,event_table!$A$1:$A3686,0)),"")
</f>
        <v>4</v>
      </c>
      <c r="C176" s="7">
        <f t="shared" si="1"/>
        <v>58</v>
      </c>
      <c r="D176" s="6" t="str">
        <f t="array" ref="D176">IFERROR(INDEX(user_table!$C$2:$C3686,MATCH(C176,user_table!$B$2:$B3686,0)),"")
</f>
        <v>Joko Septiani</v>
      </c>
      <c r="E176" s="6" t="str">
        <f t="array" ref="E176">IFERROR(INDEX(user_table!$E$2:$E3686,MATCH(C176,user_table!$B$2:$B3686,0)),"")
</f>
        <v>2, 5</v>
      </c>
      <c r="F176" s="6" t="str">
        <f t="shared" si="2"/>
        <v>14163458</v>
      </c>
      <c r="G176" s="8">
        <v>3.0</v>
      </c>
      <c r="H176" s="9">
        <v>44680.0</v>
      </c>
      <c r="I176" s="10" t="s">
        <v>183</v>
      </c>
    </row>
    <row r="177">
      <c r="A177" s="5" t="str">
        <f t="array" ref="A177">INDEX(event_table!$A$2:$A$69, RANDBETWEEN(1, COUNTA(event_table!$A$2:$A$69)))</f>
        <v>1642</v>
      </c>
      <c r="B177" s="6">
        <f t="array" ref="B177">IFERROR(INDEX(event_table!$E$1:$E3686,MATCH(A177,event_table!$A$1:$A3686,0)),"")
</f>
        <v>6</v>
      </c>
      <c r="C177" s="7">
        <f t="shared" si="1"/>
        <v>42</v>
      </c>
      <c r="D177" s="6" t="str">
        <f t="array" ref="D177">IFERROR(INDEX(user_table!$C$2:$C3686,MATCH(C177,user_table!$B$2:$B3686,0)),"")
</f>
        <v>Desi Putri</v>
      </c>
      <c r="E177" s="6" t="str">
        <f t="array" ref="E177">IFERROR(INDEX(user_table!$E$2:$E3686,MATCH(C177,user_table!$B$2:$B3686,0)),"")
</f>
        <v>4, 6</v>
      </c>
      <c r="F177" s="6" t="str">
        <f t="shared" si="2"/>
        <v>16423642</v>
      </c>
      <c r="G177" s="8">
        <v>3.0</v>
      </c>
      <c r="H177" s="9">
        <v>45271.0</v>
      </c>
      <c r="I177" s="10" t="s">
        <v>184</v>
      </c>
    </row>
    <row r="178">
      <c r="A178" s="5" t="str">
        <f t="array" ref="A178">INDEX(event_table!$A$2:$A$69, RANDBETWEEN(1, COUNTA(event_table!$A$2:$A$69)))</f>
        <v>1531</v>
      </c>
      <c r="B178" s="6">
        <f t="array" ref="B178">IFERROR(INDEX(event_table!$E$1:$E3686,MATCH(A178,event_table!$A$1:$A3686,0)),"")
</f>
        <v>5</v>
      </c>
      <c r="C178" s="7">
        <f t="shared" si="1"/>
        <v>72</v>
      </c>
      <c r="D178" s="6" t="str">
        <f t="array" ref="D178">IFERROR(INDEX(user_table!$C$2:$C3686,MATCH(C178,user_table!$B$2:$B3686,0)),"")
</f>
        <v>Wahyu Kurniawan</v>
      </c>
      <c r="E178" s="6" t="str">
        <f t="array" ref="E178">IFERROR(INDEX(user_table!$E$2:$E3686,MATCH(C178,user_table!$B$2:$B3686,0)),"")
</f>
        <v>5, 3</v>
      </c>
      <c r="F178" s="6" t="str">
        <f t="shared" si="2"/>
        <v>15313572</v>
      </c>
      <c r="G178" s="8">
        <v>3.0</v>
      </c>
      <c r="H178" s="9">
        <v>45246.0</v>
      </c>
      <c r="I178" s="10" t="s">
        <v>185</v>
      </c>
    </row>
    <row r="179">
      <c r="A179" s="5" t="str">
        <f t="array" ref="A179">INDEX(event_table!$A$2:$A$69, RANDBETWEEN(1, COUNTA(event_table!$A$2:$A$69)))</f>
        <v>117</v>
      </c>
      <c r="B179" s="6">
        <f t="array" ref="B179">IFERROR(INDEX(event_table!$E$1:$E3686,MATCH(A179,event_table!$A$1:$A3686,0)),"")
</f>
        <v>1</v>
      </c>
      <c r="C179" s="7">
        <f t="shared" si="1"/>
        <v>160</v>
      </c>
      <c r="D179" s="6" t="str">
        <f t="array" ref="D179">IFERROR(INDEX(user_table!$C$2:$C3686,MATCH(C179,user_table!$B$2:$B3686,0)),"")
</f>
        <v>Hadi Hadiwijaya</v>
      </c>
      <c r="E179" s="6" t="str">
        <f t="array" ref="E179">IFERROR(INDEX(user_table!$E$2:$E3686,MATCH(C179,user_table!$B$2:$B3686,0)),"")
</f>
        <v>2, 4</v>
      </c>
      <c r="F179" s="6" t="str">
        <f t="shared" si="2"/>
        <v>11731160</v>
      </c>
      <c r="G179" s="8">
        <v>3.0</v>
      </c>
      <c r="H179" s="9">
        <v>45154.0</v>
      </c>
      <c r="I179" s="10" t="s">
        <v>186</v>
      </c>
    </row>
    <row r="180">
      <c r="A180" s="5" t="str">
        <f t="array" ref="A180">INDEX(event_table!$A$2:$A$69, RANDBETWEEN(1, COUNTA(event_table!$A$2:$A$69)))</f>
        <v>1335</v>
      </c>
      <c r="B180" s="6">
        <f t="array" ref="B180">IFERROR(INDEX(event_table!$E$1:$E3686,MATCH(A180,event_table!$A$1:$A3686,0)),"")
</f>
        <v>3</v>
      </c>
      <c r="C180" s="7">
        <f t="shared" si="1"/>
        <v>164</v>
      </c>
      <c r="D180" s="6" t="str">
        <f t="array" ref="D180">IFERROR(INDEX(user_table!$C$2:$C3686,MATCH(C180,user_table!$B$2:$B3686,0)),"")
</f>
        <v>Bambang Purnama</v>
      </c>
      <c r="E180" s="6" t="str">
        <f t="array" ref="E180">IFERROR(INDEX(user_table!$E$2:$E3686,MATCH(C180,user_table!$B$2:$B3686,0)),"")
</f>
        <v>2, 3</v>
      </c>
      <c r="F180" s="6" t="str">
        <f t="shared" si="2"/>
        <v>133523164</v>
      </c>
      <c r="G180" s="8">
        <v>2.0</v>
      </c>
      <c r="H180" s="9">
        <v>45079.0</v>
      </c>
      <c r="I180" s="10" t="s">
        <v>187</v>
      </c>
    </row>
    <row r="181">
      <c r="A181" s="5" t="str">
        <f t="array" ref="A181">INDEX(event_table!$A$2:$A$69, RANDBETWEEN(1, COUNTA(event_table!$A$2:$A$69)))</f>
        <v>1526</v>
      </c>
      <c r="B181" s="6">
        <f t="array" ref="B181">IFERROR(INDEX(event_table!$E$1:$E3686,MATCH(A181,event_table!$A$1:$A3686,0)),"")
</f>
        <v>5</v>
      </c>
      <c r="C181" s="7">
        <f t="shared" si="1"/>
        <v>143</v>
      </c>
      <c r="D181" s="6" t="str">
        <f t="array" ref="D181">IFERROR(INDEX(user_table!$C$2:$C3686,MATCH(C181,user_table!$B$2:$B3686,0)),"")
</f>
        <v>Agus Putri</v>
      </c>
      <c r="E181" s="6" t="str">
        <f t="array" ref="E181">IFERROR(INDEX(user_table!$E$2:$E3686,MATCH(C181,user_table!$B$2:$B3686,0)),"")
</f>
        <v>3, 3</v>
      </c>
      <c r="F181" s="6" t="str">
        <f t="shared" si="2"/>
        <v>152625143</v>
      </c>
      <c r="G181" s="8">
        <v>2.0</v>
      </c>
      <c r="H181" s="9">
        <v>44984.0</v>
      </c>
      <c r="I181" s="10" t="s">
        <v>188</v>
      </c>
    </row>
    <row r="182">
      <c r="A182" s="5" t="str">
        <f t="array" ref="A182">INDEX(event_table!$A$2:$A$69, RANDBETWEEN(1, COUNTA(event_table!$A$2:$A$69)))</f>
        <v>3166</v>
      </c>
      <c r="B182" s="6">
        <f t="array" ref="B182">IFERROR(INDEX(event_table!$E$1:$E3686,MATCH(A182,event_table!$A$1:$A3686,0)),"")
</f>
        <v>1</v>
      </c>
      <c r="C182" s="7">
        <f t="shared" si="1"/>
        <v>164</v>
      </c>
      <c r="D182" s="6" t="str">
        <f t="array" ref="D182">IFERROR(INDEX(user_table!$C$2:$C3686,MATCH(C182,user_table!$B$2:$B3686,0)),"")
</f>
        <v>Bambang Purnama</v>
      </c>
      <c r="E182" s="6" t="str">
        <f t="array" ref="E182">IFERROR(INDEX(user_table!$E$2:$E3686,MATCH(C182,user_table!$B$2:$B3686,0)),"")
</f>
        <v>2, 3</v>
      </c>
      <c r="F182" s="6" t="str">
        <f t="shared" si="2"/>
        <v>316621164</v>
      </c>
      <c r="G182" s="8">
        <v>2.0</v>
      </c>
      <c r="H182" s="9">
        <v>44902.0</v>
      </c>
      <c r="I182" s="10" t="s">
        <v>189</v>
      </c>
    </row>
    <row r="183">
      <c r="A183" s="5" t="str">
        <f t="array" ref="A183">INDEX(event_table!$A$2:$A$69, RANDBETWEEN(1, COUNTA(event_table!$A$2:$A$69)))</f>
        <v>1334</v>
      </c>
      <c r="B183" s="6">
        <f t="array" ref="B183">IFERROR(INDEX(event_table!$E$1:$E3686,MATCH(A183,event_table!$A$1:$A3686,0)),"")
</f>
        <v>3</v>
      </c>
      <c r="C183" s="7">
        <f t="shared" si="1"/>
        <v>79</v>
      </c>
      <c r="D183" s="6" t="str">
        <f t="array" ref="D183">IFERROR(INDEX(user_table!$C$2:$C3686,MATCH(C183,user_table!$B$2:$B3686,0)),"")
</f>
        <v>Arif Nugroho</v>
      </c>
      <c r="E183" s="6" t="str">
        <f t="array" ref="E183">IFERROR(INDEX(user_table!$E$2:$E3686,MATCH(C183,user_table!$B$2:$B3686,0)),"")
</f>
        <v>2, 3</v>
      </c>
      <c r="F183" s="6" t="str">
        <f t="shared" si="2"/>
        <v>13342379</v>
      </c>
      <c r="G183" s="8">
        <v>2.0</v>
      </c>
      <c r="H183" s="9">
        <v>44709.0</v>
      </c>
      <c r="I183" s="10" t="s">
        <v>190</v>
      </c>
    </row>
    <row r="184">
      <c r="A184" s="5" t="str">
        <f t="array" ref="A184">INDEX(event_table!$A$2:$A$69, RANDBETWEEN(1, COUNTA(event_table!$A$2:$A$69)))</f>
        <v>1652</v>
      </c>
      <c r="B184" s="6">
        <f t="array" ref="B184">IFERROR(INDEX(event_table!$E$1:$E3686,MATCH(A184,event_table!$A$1:$A3686,0)),"")
</f>
        <v>6</v>
      </c>
      <c r="C184" s="7">
        <f t="shared" si="1"/>
        <v>157</v>
      </c>
      <c r="D184" s="6" t="str">
        <f t="array" ref="D184">IFERROR(INDEX(user_table!$C$2:$C3686,MATCH(C184,user_table!$B$2:$B3686,0)),"")
</f>
        <v>Ani Susanto</v>
      </c>
      <c r="E184" s="6" t="str">
        <f t="array" ref="E184">IFERROR(INDEX(user_table!$E$2:$E3686,MATCH(C184,user_table!$B$2:$B3686,0)),"")
</f>
        <v>4, 1</v>
      </c>
      <c r="F184" s="6" t="str">
        <f t="shared" si="2"/>
        <v>165226157</v>
      </c>
      <c r="G184" s="8">
        <v>2.0</v>
      </c>
      <c r="H184" s="9">
        <v>44597.0</v>
      </c>
      <c r="I184" s="10" t="s">
        <v>191</v>
      </c>
    </row>
    <row r="185">
      <c r="A185" s="5" t="str">
        <f t="array" ref="A185">INDEX(event_table!$A$2:$A$69, RANDBETWEEN(1, COUNTA(event_table!$A$2:$A$69)))</f>
        <v>1649</v>
      </c>
      <c r="B185" s="6">
        <f t="array" ref="B185">IFERROR(INDEX(event_table!$E$1:$E3686,MATCH(A185,event_table!$A$1:$A3686,0)),"")
</f>
        <v>6</v>
      </c>
      <c r="C185" s="7">
        <f t="shared" si="1"/>
        <v>45</v>
      </c>
      <c r="D185" s="6" t="str">
        <f t="array" ref="D185">IFERROR(INDEX(user_table!$C$2:$C3686,MATCH(C185,user_table!$B$2:$B3686,0)),"")
</f>
        <v>Siti Kurniawan</v>
      </c>
      <c r="E185" s="6" t="str">
        <f t="array" ref="E185">IFERROR(INDEX(user_table!$E$2:$E3686,MATCH(C185,user_table!$B$2:$B3686,0)),"")
</f>
        <v>1, 1</v>
      </c>
      <c r="F185" s="6" t="str">
        <f t="shared" si="2"/>
        <v>16492645</v>
      </c>
      <c r="G185" s="8">
        <v>2.0</v>
      </c>
      <c r="H185" s="9">
        <v>44581.0</v>
      </c>
      <c r="I185" s="10" t="s">
        <v>192</v>
      </c>
    </row>
    <row r="186">
      <c r="A186" s="5" t="str">
        <f t="array" ref="A186">INDEX(event_table!$A$2:$A$69, RANDBETWEEN(1, COUNTA(event_table!$A$2:$A$69)))</f>
        <v>3170</v>
      </c>
      <c r="B186" s="6">
        <f t="array" ref="B186">IFERROR(INDEX(event_table!$E$1:$E3686,MATCH(A186,event_table!$A$1:$A3686,0)),"")
</f>
        <v>1</v>
      </c>
      <c r="C186" s="7">
        <f t="shared" si="1"/>
        <v>2</v>
      </c>
      <c r="D186" s="6" t="str">
        <f t="array" ref="D186">IFERROR(INDEX(user_table!$C$2:$C3686,MATCH(C186,user_table!$B$2:$B3686,0)),"")
</f>
        <v>Dian Putri</v>
      </c>
      <c r="E186" s="6" t="str">
        <f t="array" ref="E186">IFERROR(INDEX(user_table!$E$2:$E3686,MATCH(C186,user_table!$B$2:$B3686,0)),"")
</f>
        <v>1, 6</v>
      </c>
      <c r="F186" s="6" t="str">
        <f t="shared" si="2"/>
        <v>3170212</v>
      </c>
      <c r="G186" s="8">
        <v>2.0</v>
      </c>
      <c r="H186" s="9">
        <v>45260.0</v>
      </c>
      <c r="I186" s="10" t="s">
        <v>193</v>
      </c>
    </row>
    <row r="187">
      <c r="A187" s="5" t="str">
        <f t="array" ref="A187">INDEX(event_table!$A$2:$A$69, RANDBETWEEN(1, COUNTA(event_table!$A$2:$A$69)))</f>
        <v>1416</v>
      </c>
      <c r="B187" s="6">
        <f t="array" ref="B187">IFERROR(INDEX(event_table!$E$1:$E3686,MATCH(A187,event_table!$A$1:$A3686,0)),"")
</f>
        <v>4</v>
      </c>
      <c r="C187" s="7">
        <f t="shared" si="1"/>
        <v>179</v>
      </c>
      <c r="D187" s="6" t="str">
        <f t="array" ref="D187">IFERROR(INDEX(user_table!$C$2:$C3686,MATCH(C187,user_table!$B$2:$B3686,0)),"")
</f>
        <v>Andi Susanto</v>
      </c>
      <c r="E187" s="6" t="str">
        <f t="array" ref="E187">IFERROR(INDEX(user_table!$E$2:$E3686,MATCH(C187,user_table!$B$2:$B3686,0)),"")
</f>
        <v>1, 6</v>
      </c>
      <c r="F187" s="6" t="str">
        <f t="shared" si="2"/>
        <v>141624179</v>
      </c>
      <c r="G187" s="8">
        <v>2.0</v>
      </c>
      <c r="H187" s="9">
        <v>45204.0</v>
      </c>
      <c r="I187" s="10" t="s">
        <v>194</v>
      </c>
    </row>
    <row r="188">
      <c r="A188" s="5" t="str">
        <f t="array" ref="A188">INDEX(event_table!$A$2:$A$69, RANDBETWEEN(1, COUNTA(event_table!$A$2:$A$69)))</f>
        <v>1650</v>
      </c>
      <c r="B188" s="6">
        <f t="array" ref="B188">IFERROR(INDEX(event_table!$E$1:$E3686,MATCH(A188,event_table!$A$1:$A3686,0)),"")
</f>
        <v>6</v>
      </c>
      <c r="C188" s="7">
        <f t="shared" si="1"/>
        <v>95</v>
      </c>
      <c r="D188" s="6" t="str">
        <f t="array" ref="D188">IFERROR(INDEX(user_table!$C$2:$C3686,MATCH(C188,user_table!$B$2:$B3686,0)),"")
</f>
        <v>Ani Pratama</v>
      </c>
      <c r="E188" s="6" t="str">
        <f t="array" ref="E188">IFERROR(INDEX(user_table!$E$2:$E3686,MATCH(C188,user_table!$B$2:$B3686,0)),"")
</f>
        <v>3, 5</v>
      </c>
      <c r="F188" s="6" t="str">
        <f t="shared" si="2"/>
        <v>16501695</v>
      </c>
      <c r="G188" s="8">
        <v>1.0</v>
      </c>
      <c r="H188" s="9">
        <v>45224.0</v>
      </c>
      <c r="I188" s="10" t="s">
        <v>195</v>
      </c>
    </row>
    <row r="189">
      <c r="A189" s="5" t="str">
        <f t="array" ref="A189">INDEX(event_table!$A$2:$A$69, RANDBETWEEN(1, COUNTA(event_table!$A$2:$A$69)))</f>
        <v>1643</v>
      </c>
      <c r="B189" s="6">
        <f t="array" ref="B189">IFERROR(INDEX(event_table!$E$1:$E3686,MATCH(A189,event_table!$A$1:$A3686,0)),"")
</f>
        <v>6</v>
      </c>
      <c r="C189" s="7">
        <f t="shared" si="1"/>
        <v>173</v>
      </c>
      <c r="D189" s="6" t="str">
        <f t="array" ref="D189">IFERROR(INDEX(user_table!$C$2:$C3686,MATCH(C189,user_table!$B$2:$B3686,0)),"")
</f>
        <v>Fajar Putri</v>
      </c>
      <c r="E189" s="6" t="str">
        <f t="array" ref="E189">IFERROR(INDEX(user_table!$E$2:$E3686,MATCH(C189,user_table!$B$2:$B3686,0)),"")
</f>
        <v>2, 6</v>
      </c>
      <c r="F189" s="6" t="str">
        <f t="shared" si="2"/>
        <v>164316173</v>
      </c>
      <c r="G189" s="8">
        <v>1.0</v>
      </c>
      <c r="H189" s="9">
        <v>45220.0</v>
      </c>
      <c r="I189" s="10" t="s">
        <v>196</v>
      </c>
    </row>
    <row r="190">
      <c r="A190" s="5" t="str">
        <f t="array" ref="A190">INDEX(event_table!$A$2:$A$69, RANDBETWEEN(1, COUNTA(event_table!$A$2:$A$69)))</f>
        <v>3165</v>
      </c>
      <c r="B190" s="6">
        <f t="array" ref="B190">IFERROR(INDEX(event_table!$E$1:$E3686,MATCH(A190,event_table!$A$1:$A3686,0)),"")
</f>
        <v>1</v>
      </c>
      <c r="C190" s="7">
        <f t="shared" si="1"/>
        <v>130</v>
      </c>
      <c r="D190" s="6" t="str">
        <f t="array" ref="D190">IFERROR(INDEX(user_table!$C$2:$C3686,MATCH(C190,user_table!$B$2:$B3686,0)),"")
</f>
        <v>Andi Putri</v>
      </c>
      <c r="E190" s="6" t="str">
        <f t="array" ref="E190">IFERROR(INDEX(user_table!$E$2:$E3686,MATCH(C190,user_table!$B$2:$B3686,0)),"")
</f>
        <v>2, 3</v>
      </c>
      <c r="F190" s="6" t="str">
        <f t="shared" si="2"/>
        <v>316511130</v>
      </c>
      <c r="G190" s="8">
        <v>1.0</v>
      </c>
      <c r="H190" s="9">
        <v>45187.0</v>
      </c>
      <c r="I190" s="10" t="s">
        <v>197</v>
      </c>
    </row>
    <row r="191">
      <c r="A191" s="5" t="str">
        <f t="array" ref="A191">INDEX(event_table!$A$2:$A$69, RANDBETWEEN(1, COUNTA(event_table!$A$2:$A$69)))</f>
        <v>1333</v>
      </c>
      <c r="B191" s="6">
        <f t="array" ref="B191">IFERROR(INDEX(event_table!$E$1:$E3686,MATCH(A191,event_table!$A$1:$A3686,0)),"")
</f>
        <v>3</v>
      </c>
      <c r="C191" s="7">
        <f t="shared" si="1"/>
        <v>184</v>
      </c>
      <c r="D191" s="6" t="str">
        <f t="array" ref="D191">IFERROR(INDEX(user_table!$C$2:$C3686,MATCH(C191,user_table!$B$2:$B3686,0)),"")
</f>
        <v>Dewi Hadiwijaya</v>
      </c>
      <c r="E191" s="6" t="str">
        <f t="array" ref="E191">IFERROR(INDEX(user_table!$E$2:$E3686,MATCH(C191,user_table!$B$2:$B3686,0)),"")
</f>
        <v>2, 1</v>
      </c>
      <c r="F191" s="6" t="str">
        <f t="shared" si="2"/>
        <v>133313184</v>
      </c>
      <c r="G191" s="8">
        <v>1.0</v>
      </c>
      <c r="H191" s="9">
        <v>45216.0</v>
      </c>
      <c r="I191" s="10" t="s">
        <v>198</v>
      </c>
    </row>
    <row r="192">
      <c r="A192" s="5" t="str">
        <f t="array" ref="A192">INDEX(event_table!$A$2:$A$69, RANDBETWEEN(1, COUNTA(event_table!$A$2:$A$69)))</f>
        <v>1638</v>
      </c>
      <c r="B192" s="6">
        <f t="array" ref="B192">IFERROR(INDEX(event_table!$E$1:$E3686,MATCH(A192,event_table!$A$1:$A3686,0)),"")
</f>
        <v>6</v>
      </c>
      <c r="C192" s="7">
        <f t="shared" si="1"/>
        <v>45</v>
      </c>
      <c r="D192" s="6" t="str">
        <f t="array" ref="D192">IFERROR(INDEX(user_table!$C$2:$C3686,MATCH(C192,user_table!$B$2:$B3686,0)),"")
</f>
        <v>Siti Kurniawan</v>
      </c>
      <c r="E192" s="6" t="str">
        <f t="array" ref="E192">IFERROR(INDEX(user_table!$E$2:$E3686,MATCH(C192,user_table!$B$2:$B3686,0)),"")
</f>
        <v>1, 1</v>
      </c>
      <c r="F192" s="6" t="str">
        <f t="shared" si="2"/>
        <v>16381645</v>
      </c>
      <c r="G192" s="8">
        <v>1.0</v>
      </c>
      <c r="H192" s="9">
        <v>45219.0</v>
      </c>
      <c r="I192" s="10" t="s">
        <v>199</v>
      </c>
    </row>
    <row r="193">
      <c r="A193" s="5" t="str">
        <f t="array" ref="A193">INDEX(event_table!$A$2:$A$69, RANDBETWEEN(1, COUNTA(event_table!$A$2:$A$69)))</f>
        <v>1652</v>
      </c>
      <c r="B193" s="6">
        <f t="array" ref="B193">IFERROR(INDEX(event_table!$E$1:$E3686,MATCH(A193,event_table!$A$1:$A3686,0)),"")
</f>
        <v>6</v>
      </c>
      <c r="C193" s="7">
        <f t="shared" si="1"/>
        <v>133</v>
      </c>
      <c r="D193" s="6" t="str">
        <f t="array" ref="D193">IFERROR(INDEX(user_table!$C$2:$C3686,MATCH(C193,user_table!$B$2:$B3686,0)),"")
</f>
        <v>Dewi Sari</v>
      </c>
      <c r="E193" s="6" t="str">
        <f t="array" ref="E193">IFERROR(INDEX(user_table!$E$2:$E3686,MATCH(C193,user_table!$B$2:$B3686,0)),"")
</f>
        <v>6, 5</v>
      </c>
      <c r="F193" s="6" t="str">
        <f t="shared" si="2"/>
        <v>165216133</v>
      </c>
      <c r="G193" s="8">
        <v>1.0</v>
      </c>
      <c r="H193" s="9">
        <v>45120.0</v>
      </c>
      <c r="I193" s="10" t="s">
        <v>200</v>
      </c>
    </row>
    <row r="194">
      <c r="A194" s="5" t="str">
        <f t="array" ref="A194">INDEX(event_table!$A$2:$A$69, RANDBETWEEN(1, COUNTA(event_table!$A$2:$A$69)))</f>
        <v>1424</v>
      </c>
      <c r="B194" s="6">
        <f t="array" ref="B194">IFERROR(INDEX(event_table!$E$1:$E3686,MATCH(A194,event_table!$A$1:$A3686,0)),"")
</f>
        <v>4</v>
      </c>
      <c r="C194" s="7">
        <f t="shared" si="1"/>
        <v>103</v>
      </c>
      <c r="D194" s="6" t="str">
        <f t="array" ref="D194">IFERROR(INDEX(user_table!$C$2:$C3686,MATCH(C194,user_table!$B$2:$B3686,0)),"")
</f>
        <v>Hadi Sari</v>
      </c>
      <c r="E194" s="6" t="str">
        <f t="array" ref="E194">IFERROR(INDEX(user_table!$E$2:$E3686,MATCH(C194,user_table!$B$2:$B3686,0)),"")
</f>
        <v>3, 1</v>
      </c>
      <c r="F194" s="6" t="str">
        <f t="shared" si="2"/>
        <v>142414103</v>
      </c>
      <c r="G194" s="8">
        <v>1.0</v>
      </c>
      <c r="H194" s="9">
        <v>45141.0</v>
      </c>
      <c r="I194" s="10" t="s">
        <v>201</v>
      </c>
    </row>
    <row r="195">
      <c r="A195" s="5" t="str">
        <f t="array" ref="A195">INDEX(event_table!$A$2:$A$69, RANDBETWEEN(1, COUNTA(event_table!$A$2:$A$69)))</f>
        <v>1640</v>
      </c>
      <c r="B195" s="6">
        <f t="array" ref="B195">IFERROR(INDEX(event_table!$E$1:$E3686,MATCH(A195,event_table!$A$1:$A3686,0)),"")
</f>
        <v>6</v>
      </c>
      <c r="C195" s="7">
        <f t="shared" si="1"/>
        <v>52</v>
      </c>
      <c r="D195" s="6" t="str">
        <f t="array" ref="D195">IFERROR(INDEX(user_table!$C$2:$C3686,MATCH(C195,user_table!$B$2:$B3686,0)),"")
</f>
        <v>Ani Nurhayati</v>
      </c>
      <c r="E195" s="6" t="str">
        <f t="array" ref="E195">IFERROR(INDEX(user_table!$E$2:$E3686,MATCH(C195,user_table!$B$2:$B3686,0)),"")
</f>
        <v>2, 2</v>
      </c>
      <c r="F195" s="6" t="str">
        <f t="shared" si="2"/>
        <v>16401652</v>
      </c>
      <c r="G195" s="8">
        <v>1.0</v>
      </c>
      <c r="H195" s="9">
        <v>45164.0</v>
      </c>
      <c r="I195" s="10" t="s">
        <v>202</v>
      </c>
    </row>
    <row r="196">
      <c r="A196" s="5" t="str">
        <f t="array" ref="A196">INDEX(event_table!$A$2:$A$69, RANDBETWEEN(1, COUNTA(event_table!$A$2:$A$69)))</f>
        <v>1416</v>
      </c>
      <c r="B196" s="6">
        <f t="array" ref="B196">IFERROR(INDEX(event_table!$E$1:$E3686,MATCH(A196,event_table!$A$1:$A3686,0)),"")
</f>
        <v>4</v>
      </c>
      <c r="C196" s="7">
        <f t="shared" si="1"/>
        <v>32</v>
      </c>
      <c r="D196" s="6" t="str">
        <f t="array" ref="D196">IFERROR(INDEX(user_table!$C$2:$C3686,MATCH(C196,user_table!$B$2:$B3686,0)),"")
</f>
        <v>Ani Setiawan</v>
      </c>
      <c r="E196" s="6" t="str">
        <f t="array" ref="E196">IFERROR(INDEX(user_table!$E$2:$E3686,MATCH(C196,user_table!$B$2:$B3686,0)),"")
</f>
        <v>6, 3</v>
      </c>
      <c r="F196" s="6" t="str">
        <f t="shared" si="2"/>
        <v>14161432</v>
      </c>
      <c r="G196" s="8">
        <v>1.0</v>
      </c>
      <c r="H196" s="9">
        <v>45162.0</v>
      </c>
      <c r="I196" s="10" t="s">
        <v>203</v>
      </c>
    </row>
    <row r="197">
      <c r="A197" s="5" t="str">
        <f t="array" ref="A197">INDEX(event_table!$A$2:$A$69, RANDBETWEEN(1, COUNTA(event_table!$A$2:$A$69)))</f>
        <v>3168</v>
      </c>
      <c r="B197" s="6">
        <f t="array" ref="B197">IFERROR(INDEX(event_table!$E$1:$E3686,MATCH(A197,event_table!$A$1:$A3686,0)),"")
</f>
        <v>1</v>
      </c>
      <c r="C197" s="7">
        <f t="shared" si="1"/>
        <v>40</v>
      </c>
      <c r="D197" s="6" t="str">
        <f t="array" ref="D197">IFERROR(INDEX(user_table!$C$2:$C3686,MATCH(C197,user_table!$B$2:$B3686,0)),"")
</f>
        <v>Joko Sari</v>
      </c>
      <c r="E197" s="6" t="str">
        <f t="array" ref="E197">IFERROR(INDEX(user_table!$E$2:$E3686,MATCH(C197,user_table!$B$2:$B3686,0)),"")
</f>
        <v>5, 6</v>
      </c>
      <c r="F197" s="6" t="str">
        <f t="shared" si="2"/>
        <v>31681140</v>
      </c>
      <c r="G197" s="8">
        <v>1.0</v>
      </c>
      <c r="H197" s="9">
        <v>45099.0</v>
      </c>
      <c r="I197" s="10" t="s">
        <v>204</v>
      </c>
    </row>
    <row r="198">
      <c r="A198" s="5" t="str">
        <f t="array" ref="A198">INDEX(event_table!$A$2:$A$69, RANDBETWEEN(1, COUNTA(event_table!$A$2:$A$69)))</f>
        <v>3164</v>
      </c>
      <c r="B198" s="6">
        <f t="array" ref="B198">IFERROR(INDEX(event_table!$E$1:$E3686,MATCH(A198,event_table!$A$1:$A3686,0)),"")
</f>
        <v>1</v>
      </c>
      <c r="C198" s="7">
        <f t="shared" si="1"/>
        <v>95</v>
      </c>
      <c r="D198" s="6" t="str">
        <f t="array" ref="D198">IFERROR(INDEX(user_table!$C$2:$C3686,MATCH(C198,user_table!$B$2:$B3686,0)),"")
</f>
        <v>Ani Pratama</v>
      </c>
      <c r="E198" s="6" t="str">
        <f t="array" ref="E198">IFERROR(INDEX(user_table!$E$2:$E3686,MATCH(C198,user_table!$B$2:$B3686,0)),"")
</f>
        <v>3, 5</v>
      </c>
      <c r="F198" s="6" t="str">
        <f t="shared" si="2"/>
        <v>31641195</v>
      </c>
      <c r="G198" s="8">
        <v>1.0</v>
      </c>
      <c r="H198" s="9">
        <v>45076.0</v>
      </c>
      <c r="I198" s="10" t="s">
        <v>205</v>
      </c>
    </row>
    <row r="199">
      <c r="A199" s="5" t="str">
        <f t="array" ref="A199">INDEX(event_table!$A$2:$A$69, RANDBETWEEN(1, COUNTA(event_table!$A$2:$A$69)))</f>
        <v>1636</v>
      </c>
      <c r="B199" s="6">
        <f t="array" ref="B199">IFERROR(INDEX(event_table!$E$1:$E3686,MATCH(A199,event_table!$A$1:$A3686,0)),"")
</f>
        <v>6</v>
      </c>
      <c r="C199" s="7">
        <f t="shared" si="1"/>
        <v>123</v>
      </c>
      <c r="D199" s="6" t="str">
        <f t="array" ref="D199">IFERROR(INDEX(user_table!$C$2:$C3686,MATCH(C199,user_table!$B$2:$B3686,0)),"")
</f>
        <v>Lina Hartono</v>
      </c>
      <c r="E199" s="6" t="str">
        <f t="array" ref="E199">IFERROR(INDEX(user_table!$E$2:$E3686,MATCH(C199,user_table!$B$2:$B3686,0)),"")
</f>
        <v>6, 5</v>
      </c>
      <c r="F199" s="6" t="str">
        <f t="shared" si="2"/>
        <v>163616123</v>
      </c>
      <c r="G199" s="8">
        <v>1.0</v>
      </c>
      <c r="H199" s="9">
        <v>45064.0</v>
      </c>
      <c r="I199" s="10" t="s">
        <v>206</v>
      </c>
    </row>
    <row r="200">
      <c r="A200" s="5" t="str">
        <f t="array" ref="A200">INDEX(event_table!$A$2:$A$69, RANDBETWEEN(1, COUNTA(event_table!$A$2:$A$69)))</f>
        <v>1417</v>
      </c>
      <c r="B200" s="6">
        <f t="array" ref="B200">IFERROR(INDEX(event_table!$E$1:$E3686,MATCH(A200,event_table!$A$1:$A3686,0)),"")
</f>
        <v>4</v>
      </c>
      <c r="C200" s="7">
        <f t="shared" si="1"/>
        <v>162</v>
      </c>
      <c r="D200" s="6" t="str">
        <f t="array" ref="D200">IFERROR(INDEX(user_table!$C$2:$C3686,MATCH(C200,user_table!$B$2:$B3686,0)),"")
</f>
        <v>Dewi Nugroho</v>
      </c>
      <c r="E200" s="6" t="str">
        <f t="array" ref="E200">IFERROR(INDEX(user_table!$E$2:$E3686,MATCH(C200,user_table!$B$2:$B3686,0)),"")
</f>
        <v>2, 5</v>
      </c>
      <c r="F200" s="6" t="str">
        <f t="shared" si="2"/>
        <v>141754162</v>
      </c>
      <c r="G200" s="8">
        <v>5.0</v>
      </c>
      <c r="H200" s="9">
        <v>44739.0</v>
      </c>
      <c r="I200" s="10" t="s">
        <v>207</v>
      </c>
    </row>
    <row r="201">
      <c r="A201" s="5" t="str">
        <f t="array" ref="A201">INDEX(event_table!$A$2:$A$69, RANDBETWEEN(1, COUNTA(event_table!$A$2:$A$69)))</f>
        <v>3356</v>
      </c>
      <c r="B201" s="6">
        <f t="array" ref="B201">IFERROR(INDEX(event_table!$E$1:$E3686,MATCH(A201,event_table!$A$1:$A3686,0)),"")
</f>
        <v>3</v>
      </c>
      <c r="C201" s="7">
        <f t="shared" si="1"/>
        <v>29</v>
      </c>
      <c r="D201" s="6" t="str">
        <f t="array" ref="D201">IFERROR(INDEX(user_table!$C$2:$C3686,MATCH(C201,user_table!$B$2:$B3686,0)),"")
</f>
        <v>Bambang Putri</v>
      </c>
      <c r="E201" s="6" t="str">
        <f t="array" ref="E201">IFERROR(INDEX(user_table!$E$2:$E3686,MATCH(C201,user_table!$B$2:$B3686,0)),"")
</f>
        <v>3, 4</v>
      </c>
      <c r="F201" s="6" t="str">
        <f t="shared" si="2"/>
        <v>33565329</v>
      </c>
      <c r="G201" s="8">
        <v>5.0</v>
      </c>
      <c r="H201" s="9">
        <v>44711.0</v>
      </c>
      <c r="I201" s="10" t="s">
        <v>208</v>
      </c>
    </row>
    <row r="202">
      <c r="A202" s="5" t="str">
        <f t="array" ref="A202">INDEX(event_table!$A$2:$A$69, RANDBETWEEN(1, COUNTA(event_table!$A$2:$A$69)))</f>
        <v>1110</v>
      </c>
      <c r="B202" s="6">
        <f t="array" ref="B202">IFERROR(INDEX(event_table!$E$1:$E3686,MATCH(A202,event_table!$A$1:$A3686,0)),"")
</f>
        <v>1</v>
      </c>
      <c r="C202" s="7">
        <f t="shared" si="1"/>
        <v>111</v>
      </c>
      <c r="D202" s="6" t="str">
        <f t="array" ref="D202">IFERROR(INDEX(user_table!$C$2:$C3686,MATCH(C202,user_table!$B$2:$B3686,0)),"")
</f>
        <v>Hadi Kurniawan</v>
      </c>
      <c r="E202" s="6" t="str">
        <f t="array" ref="E202">IFERROR(INDEX(user_table!$E$2:$E3686,MATCH(C202,user_table!$B$2:$B3686,0)),"")
</f>
        <v>3, 4</v>
      </c>
      <c r="F202" s="6" t="str">
        <f t="shared" si="2"/>
        <v>111051111</v>
      </c>
      <c r="G202" s="8">
        <v>5.0</v>
      </c>
      <c r="H202" s="9">
        <v>44702.0</v>
      </c>
      <c r="I202" s="10" t="s">
        <v>209</v>
      </c>
    </row>
    <row r="203">
      <c r="A203" s="5" t="str">
        <f t="array" ref="A203">INDEX(event_table!$A$2:$A$69, RANDBETWEEN(1, COUNTA(event_table!$A$2:$A$69)))</f>
        <v>1651</v>
      </c>
      <c r="B203" s="6">
        <f t="array" ref="B203">IFERROR(INDEX(event_table!$E$1:$E3686,MATCH(A203,event_table!$A$1:$A3686,0)),"")
</f>
        <v>6</v>
      </c>
      <c r="C203" s="7">
        <f t="shared" si="1"/>
        <v>5</v>
      </c>
      <c r="D203" s="6" t="str">
        <f t="array" ref="D203">IFERROR(INDEX(user_table!$C$2:$C3686,MATCH(C203,user_table!$B$2:$B3686,0)),"")
</f>
        <v>Hadi Nurhayati</v>
      </c>
      <c r="E203" s="6" t="str">
        <f t="array" ref="E203">IFERROR(INDEX(user_table!$E$2:$E3686,MATCH(C203,user_table!$B$2:$B3686,0)),"")
</f>
        <v>1, 5</v>
      </c>
      <c r="F203" s="6" t="str">
        <f t="shared" si="2"/>
        <v>1651565</v>
      </c>
      <c r="G203" s="8">
        <v>5.0</v>
      </c>
      <c r="H203" s="9">
        <v>44682.0</v>
      </c>
      <c r="I203" s="10" t="s">
        <v>210</v>
      </c>
    </row>
    <row r="204">
      <c r="A204" s="5" t="str">
        <f t="array" ref="A204">INDEX(event_table!$A$2:$A$69, RANDBETWEEN(1, COUNTA(event_table!$A$2:$A$69)))</f>
        <v>1642</v>
      </c>
      <c r="B204" s="6">
        <f t="array" ref="B204">IFERROR(INDEX(event_table!$E$1:$E3686,MATCH(A204,event_table!$A$1:$A3686,0)),"")
</f>
        <v>6</v>
      </c>
      <c r="C204" s="7">
        <f t="shared" si="1"/>
        <v>197</v>
      </c>
      <c r="D204" s="6" t="str">
        <f t="array" ref="D204">IFERROR(INDEX(user_table!$C$2:$C3686,MATCH(C204,user_table!$B$2:$B3686,0)),"")
</f>
        <v>Dian Sari</v>
      </c>
      <c r="E204" s="6" t="str">
        <f t="array" ref="E204">IFERROR(INDEX(user_table!$E$2:$E3686,MATCH(C204,user_table!$B$2:$B3686,0)),"")
</f>
        <v>6, 3</v>
      </c>
      <c r="F204" s="6" t="str">
        <f t="shared" si="2"/>
        <v>164256197</v>
      </c>
      <c r="G204" s="8">
        <v>5.0</v>
      </c>
      <c r="H204" s="9">
        <v>44851.0</v>
      </c>
      <c r="I204" s="10" t="s">
        <v>211</v>
      </c>
    </row>
    <row r="205">
      <c r="A205" s="5" t="str">
        <f t="array" ref="A205">INDEX(event_table!$A$2:$A$69, RANDBETWEEN(1, COUNTA(event_table!$A$2:$A$69)))</f>
        <v>1420</v>
      </c>
      <c r="B205" s="6">
        <f t="array" ref="B205">IFERROR(INDEX(event_table!$E$1:$E3686,MATCH(A205,event_table!$A$1:$A3686,0)),"")
</f>
        <v>4</v>
      </c>
      <c r="C205" s="7">
        <f t="shared" si="1"/>
        <v>155</v>
      </c>
      <c r="D205" s="6" t="str">
        <f t="array" ref="D205">IFERROR(INDEX(user_table!$C$2:$C3686,MATCH(C205,user_table!$B$2:$B3686,0)),"")
</f>
        <v>Sinta Saputra</v>
      </c>
      <c r="E205" s="6" t="str">
        <f t="array" ref="E205">IFERROR(INDEX(user_table!$E$2:$E3686,MATCH(C205,user_table!$B$2:$B3686,0)),"")
</f>
        <v>5, 2</v>
      </c>
      <c r="F205" s="6" t="str">
        <f t="shared" si="2"/>
        <v>142054155</v>
      </c>
      <c r="G205" s="8">
        <v>5.0</v>
      </c>
      <c r="H205" s="9">
        <v>44817.0</v>
      </c>
      <c r="I205" s="10" t="s">
        <v>212</v>
      </c>
    </row>
    <row r="206">
      <c r="A206" s="5" t="str">
        <f t="array" ref="A206">INDEX(event_table!$A$2:$A$69, RANDBETWEEN(1, COUNTA(event_table!$A$2:$A$69)))</f>
        <v>3657</v>
      </c>
      <c r="B206" s="6">
        <f t="array" ref="B206">IFERROR(INDEX(event_table!$E$1:$E3686,MATCH(A206,event_table!$A$1:$A3686,0)),"")
</f>
        <v>6</v>
      </c>
      <c r="C206" s="7">
        <f t="shared" si="1"/>
        <v>189</v>
      </c>
      <c r="D206" s="6" t="str">
        <f t="array" ref="D206">IFERROR(INDEX(user_table!$C$2:$C3686,MATCH(C206,user_table!$B$2:$B3686,0)),"")
</f>
        <v>Arif Putri</v>
      </c>
      <c r="E206" s="6" t="str">
        <f t="array" ref="E206">IFERROR(INDEX(user_table!$E$2:$E3686,MATCH(C206,user_table!$B$2:$B3686,0)),"")
</f>
        <v>4, 2</v>
      </c>
      <c r="F206" s="6" t="str">
        <f t="shared" si="2"/>
        <v>365756189</v>
      </c>
      <c r="G206" s="8">
        <v>5.0</v>
      </c>
      <c r="H206" s="9">
        <v>44816.0</v>
      </c>
      <c r="I206" s="10" t="s">
        <v>213</v>
      </c>
    </row>
    <row r="207">
      <c r="A207" s="5" t="str">
        <f t="array" ref="A207">INDEX(event_table!$A$2:$A$69, RANDBETWEEN(1, COUNTA(event_table!$A$2:$A$69)))</f>
        <v>3658</v>
      </c>
      <c r="B207" s="6">
        <f t="array" ref="B207">IFERROR(INDEX(event_table!$E$1:$E3686,MATCH(A207,event_table!$A$1:$A3686,0)),"")
</f>
        <v>6</v>
      </c>
      <c r="C207" s="7">
        <f t="shared" si="1"/>
        <v>45</v>
      </c>
      <c r="D207" s="6" t="str">
        <f t="array" ref="D207">IFERROR(INDEX(user_table!$C$2:$C3686,MATCH(C207,user_table!$B$2:$B3686,0)),"")
</f>
        <v>Siti Kurniawan</v>
      </c>
      <c r="E207" s="6" t="str">
        <f t="array" ref="E207">IFERROR(INDEX(user_table!$E$2:$E3686,MATCH(C207,user_table!$B$2:$B3686,0)),"")
</f>
        <v>1, 1</v>
      </c>
      <c r="F207" s="6" t="str">
        <f t="shared" si="2"/>
        <v>36585645</v>
      </c>
      <c r="G207" s="8">
        <v>5.0</v>
      </c>
      <c r="H207" s="9">
        <v>44795.0</v>
      </c>
      <c r="I207" s="10" t="s">
        <v>214</v>
      </c>
    </row>
    <row r="208">
      <c r="A208" s="5" t="str">
        <f t="array" ref="A208">INDEX(event_table!$A$2:$A$69, RANDBETWEEN(1, COUNTA(event_table!$A$2:$A$69)))</f>
        <v>3163</v>
      </c>
      <c r="B208" s="6">
        <f t="array" ref="B208">IFERROR(INDEX(event_table!$E$1:$E3686,MATCH(A208,event_table!$A$1:$A3686,0)),"")
</f>
        <v>1</v>
      </c>
      <c r="C208" s="7">
        <f t="shared" si="1"/>
        <v>157</v>
      </c>
      <c r="D208" s="6" t="str">
        <f t="array" ref="D208">IFERROR(INDEX(user_table!$C$2:$C3686,MATCH(C208,user_table!$B$2:$B3686,0)),"")
</f>
        <v>Ani Susanto</v>
      </c>
      <c r="E208" s="6" t="str">
        <f t="array" ref="E208">IFERROR(INDEX(user_table!$E$2:$E3686,MATCH(C208,user_table!$B$2:$B3686,0)),"")
</f>
        <v>4, 1</v>
      </c>
      <c r="F208" s="6" t="str">
        <f t="shared" si="2"/>
        <v>316351157</v>
      </c>
      <c r="G208" s="8">
        <v>5.0</v>
      </c>
      <c r="H208" s="9">
        <v>44780.0</v>
      </c>
      <c r="I208" s="10" t="s">
        <v>215</v>
      </c>
    </row>
    <row r="209">
      <c r="A209" s="5" t="str">
        <f t="array" ref="A209">INDEX(event_table!$A$2:$A$69, RANDBETWEEN(1, COUNTA(event_table!$A$2:$A$69)))</f>
        <v>117</v>
      </c>
      <c r="B209" s="6">
        <f t="array" ref="B209">IFERROR(INDEX(event_table!$E$1:$E3686,MATCH(A209,event_table!$A$1:$A3686,0)),"")
</f>
        <v>1</v>
      </c>
      <c r="C209" s="7">
        <f t="shared" si="1"/>
        <v>33</v>
      </c>
      <c r="D209" s="6" t="str">
        <f t="array" ref="D209">IFERROR(INDEX(user_table!$C$2:$C3686,MATCH(C209,user_table!$B$2:$B3686,0)),"")
</f>
        <v>Dewi Wijaya</v>
      </c>
      <c r="E209" s="6" t="str">
        <f t="array" ref="E209">IFERROR(INDEX(user_table!$E$2:$E3686,MATCH(C209,user_table!$B$2:$B3686,0)),"")
</f>
        <v>4, 2</v>
      </c>
      <c r="F209" s="6" t="str">
        <f t="shared" si="2"/>
        <v>1175133</v>
      </c>
      <c r="G209" s="8">
        <v>5.0</v>
      </c>
      <c r="H209" s="9">
        <v>44773.0</v>
      </c>
      <c r="I209" s="10" t="s">
        <v>216</v>
      </c>
    </row>
    <row r="210">
      <c r="A210" s="5" t="str">
        <f t="array" ref="A210">INDEX(event_table!$A$2:$A$69, RANDBETWEEN(1, COUNTA(event_table!$A$2:$A$69)))</f>
        <v>1531</v>
      </c>
      <c r="B210" s="6">
        <f t="array" ref="B210">IFERROR(INDEX(event_table!$E$1:$E3686,MATCH(A210,event_table!$A$1:$A3686,0)),"")
</f>
        <v>5</v>
      </c>
      <c r="C210" s="7">
        <f t="shared" si="1"/>
        <v>94</v>
      </c>
      <c r="D210" s="6" t="str">
        <f t="array" ref="D210">IFERROR(INDEX(user_table!$C$2:$C3686,MATCH(C210,user_table!$B$2:$B3686,0)),"")
</f>
        <v>Ani Susanto</v>
      </c>
      <c r="E210" s="6" t="str">
        <f t="array" ref="E210">IFERROR(INDEX(user_table!$E$2:$E3686,MATCH(C210,user_table!$B$2:$B3686,0)),"")
</f>
        <v>2, 4</v>
      </c>
      <c r="F210" s="6" t="str">
        <f t="shared" si="2"/>
        <v>15315594</v>
      </c>
      <c r="G210" s="8">
        <v>5.0</v>
      </c>
      <c r="H210" s="9">
        <v>44757.0</v>
      </c>
      <c r="I210" s="10" t="s">
        <v>217</v>
      </c>
    </row>
    <row r="211">
      <c r="A211" s="5" t="str">
        <f t="array" ref="A211">INDEX(event_table!$A$2:$A$69, RANDBETWEEN(1, COUNTA(event_table!$A$2:$A$69)))</f>
        <v>1215</v>
      </c>
      <c r="B211" s="6">
        <f t="array" ref="B211">IFERROR(INDEX(event_table!$E$1:$E3686,MATCH(A211,event_table!$A$1:$A3686,0)),"")
</f>
        <v>2</v>
      </c>
      <c r="C211" s="7">
        <f t="shared" si="1"/>
        <v>87</v>
      </c>
      <c r="D211" s="6" t="str">
        <f t="array" ref="D211">IFERROR(INDEX(user_table!$C$2:$C3686,MATCH(C211,user_table!$B$2:$B3686,0)),"")
</f>
        <v>Budi Setiawan</v>
      </c>
      <c r="E211" s="6" t="str">
        <f t="array" ref="E211">IFERROR(INDEX(user_table!$E$2:$E3686,MATCH(C211,user_table!$B$2:$B3686,0)),"")
</f>
        <v>3, 5</v>
      </c>
      <c r="F211" s="6" t="str">
        <f t="shared" si="2"/>
        <v>12155287</v>
      </c>
      <c r="G211" s="8">
        <v>5.0</v>
      </c>
      <c r="H211" s="9">
        <v>44713.0</v>
      </c>
      <c r="I211" s="10" t="s">
        <v>218</v>
      </c>
    </row>
    <row r="212">
      <c r="A212" s="5" t="str">
        <f t="array" ref="A212">INDEX(event_table!$A$2:$A$69, RANDBETWEEN(1, COUNTA(event_table!$A$2:$A$69)))</f>
        <v>1212</v>
      </c>
      <c r="B212" s="6">
        <f t="array" ref="B212">IFERROR(INDEX(event_table!$E$1:$E3686,MATCH(A212,event_table!$A$1:$A3686,0)),"")
</f>
        <v>2</v>
      </c>
      <c r="C212" s="7">
        <f t="shared" si="1"/>
        <v>110</v>
      </c>
      <c r="D212" s="6" t="str">
        <f t="array" ref="D212">IFERROR(INDEX(user_table!$C$2:$C3686,MATCH(C212,user_table!$B$2:$B3686,0)),"")
</f>
        <v>Fajar Wijaya</v>
      </c>
      <c r="E212" s="6" t="str">
        <f t="array" ref="E212">IFERROR(INDEX(user_table!$E$2:$E3686,MATCH(C212,user_table!$B$2:$B3686,0)),"")
</f>
        <v>3, 6</v>
      </c>
      <c r="F212" s="6" t="str">
        <f t="shared" si="2"/>
        <v>121252110</v>
      </c>
      <c r="G212" s="8">
        <v>5.0</v>
      </c>
      <c r="H212" s="9">
        <v>44684.0</v>
      </c>
      <c r="I212" s="10" t="s">
        <v>219</v>
      </c>
    </row>
    <row r="213">
      <c r="A213" s="5" t="str">
        <f t="array" ref="A213">INDEX(event_table!$A$2:$A$69, RANDBETWEEN(1, COUNTA(event_table!$A$2:$A$69)))</f>
        <v>1422</v>
      </c>
      <c r="B213" s="6">
        <f t="array" ref="B213">IFERROR(INDEX(event_table!$E$1:$E3686,MATCH(A213,event_table!$A$1:$A3686,0)),"")
</f>
        <v>4</v>
      </c>
      <c r="C213" s="7">
        <f t="shared" si="1"/>
        <v>152</v>
      </c>
      <c r="D213" s="6" t="str">
        <f t="array" ref="D213">IFERROR(INDEX(user_table!$C$2:$C3686,MATCH(C213,user_table!$B$2:$B3686,0)),"")
</f>
        <v>Budi Kurniawan</v>
      </c>
      <c r="E213" s="6" t="str">
        <f t="array" ref="E213">IFERROR(INDEX(user_table!$E$2:$E3686,MATCH(C213,user_table!$B$2:$B3686,0)),"")
</f>
        <v>5, 5</v>
      </c>
      <c r="F213" s="6" t="str">
        <f t="shared" si="2"/>
        <v>142244152</v>
      </c>
      <c r="G213" s="8">
        <v>4.0</v>
      </c>
      <c r="H213" s="9">
        <v>44698.0</v>
      </c>
      <c r="I213" s="10" t="s">
        <v>220</v>
      </c>
    </row>
    <row r="214">
      <c r="A214" s="5" t="str">
        <f t="array" ref="A214">INDEX(event_table!$A$2:$A$69, RANDBETWEEN(1, COUNTA(event_table!$A$2:$A$69)))</f>
        <v>3454</v>
      </c>
      <c r="B214" s="6">
        <f t="array" ref="B214">IFERROR(INDEX(event_table!$E$1:$E3686,MATCH(A214,event_table!$A$1:$A3686,0)),"")
</f>
        <v>4</v>
      </c>
      <c r="C214" s="7">
        <f t="shared" si="1"/>
        <v>35</v>
      </c>
      <c r="D214" s="6" t="str">
        <f t="array" ref="D214">IFERROR(INDEX(user_table!$C$2:$C3686,MATCH(C214,user_table!$B$2:$B3686,0)),"")
</f>
        <v>Maya Nugroho</v>
      </c>
      <c r="E214" s="6" t="str">
        <f t="array" ref="E214">IFERROR(INDEX(user_table!$E$2:$E3686,MATCH(C214,user_table!$B$2:$B3686,0)),"")
</f>
        <v>6, 2</v>
      </c>
      <c r="F214" s="6" t="str">
        <f t="shared" si="2"/>
        <v>34544435</v>
      </c>
      <c r="G214" s="8">
        <v>4.0</v>
      </c>
      <c r="H214" s="9">
        <v>44829.0</v>
      </c>
      <c r="I214" s="10" t="s">
        <v>221</v>
      </c>
    </row>
    <row r="215">
      <c r="A215" s="5" t="str">
        <f t="array" ref="A215">INDEX(event_table!$A$2:$A$69, RANDBETWEEN(1, COUNTA(event_table!$A$2:$A$69)))</f>
        <v>116</v>
      </c>
      <c r="B215" s="6">
        <f t="array" ref="B215">IFERROR(INDEX(event_table!$E$1:$E3686,MATCH(A215,event_table!$A$1:$A3686,0)),"")
</f>
        <v>1</v>
      </c>
      <c r="C215" s="7">
        <f t="shared" si="1"/>
        <v>180</v>
      </c>
      <c r="D215" s="6" t="str">
        <f t="array" ref="D215">IFERROR(INDEX(user_table!$C$2:$C3686,MATCH(C215,user_table!$B$2:$B3686,0)),"")
</f>
        <v>Andi Susanto</v>
      </c>
      <c r="E215" s="6" t="str">
        <f t="array" ref="E215">IFERROR(INDEX(user_table!$E$2:$E3686,MATCH(C215,user_table!$B$2:$B3686,0)),"")
</f>
        <v>6, 5</v>
      </c>
      <c r="F215" s="6" t="str">
        <f t="shared" si="2"/>
        <v>11641180</v>
      </c>
      <c r="G215" s="8">
        <v>4.0</v>
      </c>
      <c r="H215" s="9">
        <v>44756.0</v>
      </c>
      <c r="I215" s="10" t="s">
        <v>222</v>
      </c>
    </row>
    <row r="216">
      <c r="A216" s="5" t="str">
        <f t="array" ref="A216">INDEX(event_table!$A$2:$A$69, RANDBETWEEN(1, COUNTA(event_table!$A$2:$A$69)))</f>
        <v>3170</v>
      </c>
      <c r="B216" s="6">
        <f t="array" ref="B216">IFERROR(INDEX(event_table!$E$1:$E3686,MATCH(A216,event_table!$A$1:$A3686,0)),"")
</f>
        <v>1</v>
      </c>
      <c r="C216" s="7">
        <f t="shared" si="1"/>
        <v>23</v>
      </c>
      <c r="D216" s="6" t="str">
        <f t="array" ref="D216">IFERROR(INDEX(user_table!$C$2:$C3686,MATCH(C216,user_table!$B$2:$B3686,0)),"")
</f>
        <v>Fajar Kusuma</v>
      </c>
      <c r="E216" s="6" t="str">
        <f t="array" ref="E216">IFERROR(INDEX(user_table!$E$2:$E3686,MATCH(C216,user_table!$B$2:$B3686,0)),"")
</f>
        <v>4, 1</v>
      </c>
      <c r="F216" s="6" t="str">
        <f t="shared" si="2"/>
        <v>31704123</v>
      </c>
      <c r="G216" s="8">
        <v>4.0</v>
      </c>
      <c r="H216" s="9">
        <v>44751.0</v>
      </c>
      <c r="I216" s="10" t="s">
        <v>223</v>
      </c>
    </row>
    <row r="217">
      <c r="A217" s="5" t="str">
        <f t="array" ref="A217">INDEX(event_table!$A$2:$A$69, RANDBETWEEN(1, COUNTA(event_table!$A$2:$A$69)))</f>
        <v>1417</v>
      </c>
      <c r="B217" s="6">
        <f t="array" ref="B217">IFERROR(INDEX(event_table!$E$1:$E3686,MATCH(A217,event_table!$A$1:$A3686,0)),"")
</f>
        <v>4</v>
      </c>
      <c r="C217" s="7">
        <f t="shared" si="1"/>
        <v>4</v>
      </c>
      <c r="D217" s="6" t="str">
        <f t="array" ref="D217">IFERROR(INDEX(user_table!$C$2:$C3686,MATCH(C217,user_table!$B$2:$B3686,0)),"")
</f>
        <v>Dina Utami</v>
      </c>
      <c r="E217" s="6" t="str">
        <f t="array" ref="E217">IFERROR(INDEX(user_table!$E$2:$E3686,MATCH(C217,user_table!$B$2:$B3686,0)),"")
</f>
        <v>6, 2</v>
      </c>
      <c r="F217" s="6" t="str">
        <f t="shared" si="2"/>
        <v>1417444</v>
      </c>
      <c r="G217" s="8">
        <v>4.0</v>
      </c>
      <c r="H217" s="9">
        <v>44727.0</v>
      </c>
      <c r="I217" s="10" t="s">
        <v>224</v>
      </c>
    </row>
    <row r="218">
      <c r="A218" s="5" t="str">
        <f t="array" ref="A218">INDEX(event_table!$A$2:$A$69, RANDBETWEEN(1, COUNTA(event_table!$A$2:$A$69)))</f>
        <v>1423</v>
      </c>
      <c r="B218" s="6">
        <f t="array" ref="B218">IFERROR(INDEX(event_table!$E$1:$E3686,MATCH(A218,event_table!$A$1:$A3686,0)),"")
</f>
        <v>4</v>
      </c>
      <c r="C218" s="7">
        <f t="shared" si="1"/>
        <v>69</v>
      </c>
      <c r="D218" s="6" t="str">
        <f t="array" ref="D218">IFERROR(INDEX(user_table!$C$2:$C3686,MATCH(C218,user_table!$B$2:$B3686,0)),"")
</f>
        <v>Citra Rahayu</v>
      </c>
      <c r="E218" s="6" t="str">
        <f t="array" ref="E218">IFERROR(INDEX(user_table!$E$2:$E3686,MATCH(C218,user_table!$B$2:$B3686,0)),"")
</f>
        <v>5, 5</v>
      </c>
      <c r="F218" s="6" t="str">
        <f t="shared" si="2"/>
        <v>14234469</v>
      </c>
      <c r="G218" s="8">
        <v>4.0</v>
      </c>
      <c r="H218" s="9">
        <v>44715.0</v>
      </c>
      <c r="I218" s="10" t="s">
        <v>225</v>
      </c>
    </row>
    <row r="219">
      <c r="A219" s="5" t="str">
        <f t="array" ref="A219">INDEX(event_table!$A$2:$A$69, RANDBETWEEN(1, COUNTA(event_table!$A$2:$A$69)))</f>
        <v>1646</v>
      </c>
      <c r="B219" s="6">
        <f t="array" ref="B219">IFERROR(INDEX(event_table!$E$1:$E3686,MATCH(A219,event_table!$A$1:$A3686,0)),"")
</f>
        <v>6</v>
      </c>
      <c r="C219" s="7">
        <f t="shared" si="1"/>
        <v>54</v>
      </c>
      <c r="D219" s="6" t="str">
        <f t="array" ref="D219">IFERROR(INDEX(user_table!$C$2:$C3686,MATCH(C219,user_table!$B$2:$B3686,0)),"")
</f>
        <v>Andi Kurniawan</v>
      </c>
      <c r="E219" s="6" t="str">
        <f t="array" ref="E219">IFERROR(INDEX(user_table!$E$2:$E3686,MATCH(C219,user_table!$B$2:$B3686,0)),"")
</f>
        <v>4, 4</v>
      </c>
      <c r="F219" s="6" t="str">
        <f t="shared" si="2"/>
        <v>16464654</v>
      </c>
      <c r="G219" s="8">
        <v>4.0</v>
      </c>
      <c r="H219" s="9">
        <v>44823.0</v>
      </c>
      <c r="I219" s="10" t="s">
        <v>226</v>
      </c>
    </row>
    <row r="220">
      <c r="A220" s="5" t="str">
        <f t="array" ref="A220">INDEX(event_table!$A$2:$A$69, RANDBETWEEN(1, COUNTA(event_table!$A$2:$A$69)))</f>
        <v>1651</v>
      </c>
      <c r="B220" s="6">
        <f t="array" ref="B220">IFERROR(INDEX(event_table!$E$1:$E3686,MATCH(A220,event_table!$A$1:$A3686,0)),"")
</f>
        <v>6</v>
      </c>
      <c r="C220" s="7">
        <f t="shared" si="1"/>
        <v>149</v>
      </c>
      <c r="D220" s="6" t="str">
        <f t="array" ref="D220">IFERROR(INDEX(user_table!$C$2:$C3686,MATCH(C220,user_table!$B$2:$B3686,0)),"")
</f>
        <v>Dian Setiawan</v>
      </c>
      <c r="E220" s="6" t="str">
        <f t="array" ref="E220">IFERROR(INDEX(user_table!$E$2:$E3686,MATCH(C220,user_table!$B$2:$B3686,0)),"")
</f>
        <v>2, 4</v>
      </c>
      <c r="F220" s="6" t="str">
        <f t="shared" si="2"/>
        <v>165146149</v>
      </c>
      <c r="G220" s="8">
        <v>4.0</v>
      </c>
      <c r="H220" s="9">
        <v>44819.0</v>
      </c>
      <c r="I220" s="10" t="s">
        <v>227</v>
      </c>
    </row>
    <row r="221">
      <c r="A221" s="5" t="str">
        <f t="array" ref="A221">INDEX(event_table!$A$2:$A$69, RANDBETWEEN(1, COUNTA(event_table!$A$2:$A$69)))</f>
        <v>1642</v>
      </c>
      <c r="B221" s="6">
        <f t="array" ref="B221">IFERROR(INDEX(event_table!$E$1:$E3686,MATCH(A221,event_table!$A$1:$A3686,0)),"")
</f>
        <v>6</v>
      </c>
      <c r="C221" s="7">
        <f t="shared" si="1"/>
        <v>99</v>
      </c>
      <c r="D221" s="6" t="str">
        <f t="array" ref="D221">IFERROR(INDEX(user_table!$C$2:$C3686,MATCH(C221,user_table!$B$2:$B3686,0)),"")
</f>
        <v>Maya Nugroho</v>
      </c>
      <c r="E221" s="6" t="str">
        <f t="array" ref="E221">IFERROR(INDEX(user_table!$E$2:$E3686,MATCH(C221,user_table!$B$2:$B3686,0)),"")
</f>
        <v>6, 1</v>
      </c>
      <c r="F221" s="6" t="str">
        <f t="shared" si="2"/>
        <v>16424699</v>
      </c>
      <c r="G221" s="8">
        <v>4.0</v>
      </c>
      <c r="H221" s="9">
        <v>44739.0</v>
      </c>
      <c r="I221" s="10" t="s">
        <v>228</v>
      </c>
    </row>
    <row r="222">
      <c r="A222" s="5" t="str">
        <f t="array" ref="A222">INDEX(event_table!$A$2:$A$69, RANDBETWEEN(1, COUNTA(event_table!$A$2:$A$69)))</f>
        <v>3162</v>
      </c>
      <c r="B222" s="6">
        <f t="array" ref="B222">IFERROR(INDEX(event_table!$E$1:$E3686,MATCH(A222,event_table!$A$1:$A3686,0)),"")
</f>
        <v>1</v>
      </c>
      <c r="C222" s="7">
        <f t="shared" si="1"/>
        <v>71</v>
      </c>
      <c r="D222" s="6" t="str">
        <f t="array" ref="D222">IFERROR(INDEX(user_table!$C$2:$C3686,MATCH(C222,user_table!$B$2:$B3686,0)),"")
</f>
        <v>Hadi Putri</v>
      </c>
      <c r="E222" s="6" t="str">
        <f t="array" ref="E222">IFERROR(INDEX(user_table!$E$2:$E3686,MATCH(C222,user_table!$B$2:$B3686,0)),"")
</f>
        <v>3, 3</v>
      </c>
      <c r="F222" s="6" t="str">
        <f t="shared" si="2"/>
        <v>31623171</v>
      </c>
      <c r="G222" s="8">
        <v>3.0</v>
      </c>
      <c r="H222" s="9">
        <v>44743.0</v>
      </c>
      <c r="I222" s="10" t="s">
        <v>229</v>
      </c>
    </row>
    <row r="223">
      <c r="A223" s="5" t="str">
        <f t="array" ref="A223">INDEX(event_table!$A$2:$A$69, RANDBETWEEN(1, COUNTA(event_table!$A$2:$A$69)))</f>
        <v>3659</v>
      </c>
      <c r="B223" s="6">
        <f t="array" ref="B223">IFERROR(INDEX(event_table!$E$1:$E3686,MATCH(A223,event_table!$A$1:$A3686,0)),"")
</f>
        <v>6</v>
      </c>
      <c r="C223" s="7">
        <f t="shared" si="1"/>
        <v>62</v>
      </c>
      <c r="D223" s="6" t="str">
        <f t="array" ref="D223">IFERROR(INDEX(user_table!$C$2:$C3686,MATCH(C223,user_table!$B$2:$B3686,0)),"")
</f>
        <v>Joko Sari</v>
      </c>
      <c r="E223" s="6" t="str">
        <f t="array" ref="E223">IFERROR(INDEX(user_table!$E$2:$E3686,MATCH(C223,user_table!$B$2:$B3686,0)),"")
</f>
        <v>6, 1</v>
      </c>
      <c r="F223" s="6" t="str">
        <f t="shared" si="2"/>
        <v>36593662</v>
      </c>
      <c r="G223" s="8">
        <v>3.0</v>
      </c>
      <c r="H223" s="9">
        <v>44816.0</v>
      </c>
      <c r="I223" s="10" t="s">
        <v>230</v>
      </c>
    </row>
    <row r="224">
      <c r="A224" s="5" t="str">
        <f t="array" ref="A224">INDEX(event_table!$A$2:$A$69, RANDBETWEEN(1, COUNTA(event_table!$A$2:$A$69)))</f>
        <v>3162</v>
      </c>
      <c r="B224" s="6">
        <f t="array" ref="B224">IFERROR(INDEX(event_table!$E$1:$E3686,MATCH(A224,event_table!$A$1:$A3686,0)),"")
</f>
        <v>1</v>
      </c>
      <c r="C224" s="7">
        <f t="shared" si="1"/>
        <v>140</v>
      </c>
      <c r="D224" s="6" t="str">
        <f t="array" ref="D224">IFERROR(INDEX(user_table!$C$2:$C3686,MATCH(C224,user_table!$B$2:$B3686,0)),"")
</f>
        <v>Maya Wijaya</v>
      </c>
      <c r="E224" s="6" t="str">
        <f t="array" ref="E224">IFERROR(INDEX(user_table!$E$2:$E3686,MATCH(C224,user_table!$B$2:$B3686,0)),"")
</f>
        <v>3, 2</v>
      </c>
      <c r="F224" s="6" t="str">
        <f t="shared" si="2"/>
        <v>316231140</v>
      </c>
      <c r="G224" s="8">
        <v>3.0</v>
      </c>
      <c r="H224" s="9">
        <v>45257.0</v>
      </c>
      <c r="I224" s="10" t="s">
        <v>231</v>
      </c>
    </row>
    <row r="225">
      <c r="A225" s="5" t="str">
        <f t="array" ref="A225">INDEX(event_table!$A$2:$A$69, RANDBETWEEN(1, COUNTA(event_table!$A$2:$A$69)))</f>
        <v>1650</v>
      </c>
      <c r="B225" s="6">
        <f t="array" ref="B225">IFERROR(INDEX(event_table!$E$1:$E3686,MATCH(A225,event_table!$A$1:$A3686,0)),"")
</f>
        <v>6</v>
      </c>
      <c r="C225" s="7">
        <f t="shared" si="1"/>
        <v>35</v>
      </c>
      <c r="D225" s="6" t="str">
        <f t="array" ref="D225">IFERROR(INDEX(user_table!$C$2:$C3686,MATCH(C225,user_table!$B$2:$B3686,0)),"")
</f>
        <v>Maya Nugroho</v>
      </c>
      <c r="E225" s="6" t="str">
        <f t="array" ref="E225">IFERROR(INDEX(user_table!$E$2:$E3686,MATCH(C225,user_table!$B$2:$B3686,0)),"")
</f>
        <v>6, 2</v>
      </c>
      <c r="F225" s="6" t="str">
        <f t="shared" si="2"/>
        <v>16503635</v>
      </c>
      <c r="G225" s="8">
        <v>3.0</v>
      </c>
      <c r="H225" s="9">
        <v>45227.0</v>
      </c>
      <c r="I225" s="10" t="s">
        <v>232</v>
      </c>
    </row>
    <row r="226">
      <c r="A226" s="5" t="str">
        <f t="array" ref="A226">INDEX(event_table!$A$2:$A$69, RANDBETWEEN(1, COUNTA(event_table!$A$2:$A$69)))</f>
        <v>1650</v>
      </c>
      <c r="B226" s="6">
        <f t="array" ref="B226">IFERROR(INDEX(event_table!$E$1:$E3686,MATCH(A226,event_table!$A$1:$A3686,0)),"")
</f>
        <v>6</v>
      </c>
      <c r="C226" s="7">
        <f t="shared" si="1"/>
        <v>132</v>
      </c>
      <c r="D226" s="6" t="str">
        <f t="array" ref="D226">IFERROR(INDEX(user_table!$C$2:$C3686,MATCH(C226,user_table!$B$2:$B3686,0)),"")
</f>
        <v>Joko Hartono</v>
      </c>
      <c r="E226" s="6" t="str">
        <f t="array" ref="E226">IFERROR(INDEX(user_table!$E$2:$E3686,MATCH(C226,user_table!$B$2:$B3686,0)),"")
</f>
        <v>1, 3</v>
      </c>
      <c r="F226" s="6" t="str">
        <f t="shared" si="2"/>
        <v>165036132</v>
      </c>
      <c r="G226" s="8">
        <v>3.0</v>
      </c>
      <c r="H226" s="9">
        <v>45226.0</v>
      </c>
      <c r="I226" s="10" t="s">
        <v>233</v>
      </c>
    </row>
    <row r="227">
      <c r="A227" s="5" t="str">
        <f t="array" ref="A227">INDEX(event_table!$A$2:$A$69, RANDBETWEEN(1, COUNTA(event_table!$A$2:$A$69)))</f>
        <v>1643</v>
      </c>
      <c r="B227" s="6">
        <f t="array" ref="B227">IFERROR(INDEX(event_table!$E$1:$E3686,MATCH(A227,event_table!$A$1:$A3686,0)),"")
</f>
        <v>6</v>
      </c>
      <c r="C227" s="7">
        <f t="shared" si="1"/>
        <v>148</v>
      </c>
      <c r="D227" s="6" t="str">
        <f t="array" ref="D227">IFERROR(INDEX(user_table!$C$2:$C3686,MATCH(C227,user_table!$B$2:$B3686,0)),"")
</f>
        <v>Fajar Setiawan</v>
      </c>
      <c r="E227" s="6" t="str">
        <f t="array" ref="E227">IFERROR(INDEX(user_table!$E$2:$E3686,MATCH(C227,user_table!$B$2:$B3686,0)),"")
</f>
        <v>6, 4</v>
      </c>
      <c r="F227" s="6" t="str">
        <f t="shared" si="2"/>
        <v>164336148</v>
      </c>
      <c r="G227" s="8">
        <v>3.0</v>
      </c>
      <c r="H227" s="9">
        <v>45131.0</v>
      </c>
      <c r="I227" s="10" t="s">
        <v>234</v>
      </c>
    </row>
    <row r="228">
      <c r="A228" s="5" t="str">
        <f t="array" ref="A228">INDEX(event_table!$A$2:$A$69, RANDBETWEEN(1, COUNTA(event_table!$A$2:$A$69)))</f>
        <v>3657</v>
      </c>
      <c r="B228" s="6">
        <f t="array" ref="B228">IFERROR(INDEX(event_table!$E$1:$E3686,MATCH(A228,event_table!$A$1:$A3686,0)),"")
</f>
        <v>6</v>
      </c>
      <c r="C228" s="7">
        <f t="shared" si="1"/>
        <v>97</v>
      </c>
      <c r="D228" s="6" t="str">
        <f t="array" ref="D228">IFERROR(INDEX(user_table!$C$2:$C3686,MATCH(C228,user_table!$B$2:$B3686,0)),"")
</f>
        <v>Dewi Hidayat</v>
      </c>
      <c r="E228" s="6" t="str">
        <f t="array" ref="E228">IFERROR(INDEX(user_table!$E$2:$E3686,MATCH(C228,user_table!$B$2:$B3686,0)),"")
</f>
        <v>2, 2</v>
      </c>
      <c r="F228" s="6" t="str">
        <f t="shared" si="2"/>
        <v>36572697</v>
      </c>
      <c r="G228" s="8">
        <v>2.0</v>
      </c>
      <c r="H228" s="9">
        <v>44705.0</v>
      </c>
      <c r="I228" s="10" t="s">
        <v>235</v>
      </c>
    </row>
    <row r="229">
      <c r="A229" s="5" t="str">
        <f t="array" ref="A229">INDEX(event_table!$A$2:$A$69, RANDBETWEEN(1, COUNTA(event_table!$A$2:$A$69)))</f>
        <v>1422</v>
      </c>
      <c r="B229" s="6">
        <f t="array" ref="B229">IFERROR(INDEX(event_table!$E$1:$E3686,MATCH(A229,event_table!$A$1:$A3686,0)),"")
</f>
        <v>4</v>
      </c>
      <c r="C229" s="7">
        <f t="shared" si="1"/>
        <v>55</v>
      </c>
      <c r="D229" s="6" t="str">
        <f t="array" ref="D229">IFERROR(INDEX(user_table!$C$2:$C3686,MATCH(C229,user_table!$B$2:$B3686,0)),"")
</f>
        <v>Joko Sari</v>
      </c>
      <c r="E229" s="6" t="str">
        <f t="array" ref="E229">IFERROR(INDEX(user_table!$E$2:$E3686,MATCH(C229,user_table!$B$2:$B3686,0)),"")
</f>
        <v>6, 6</v>
      </c>
      <c r="F229" s="6" t="str">
        <f t="shared" si="2"/>
        <v>14222455</v>
      </c>
      <c r="G229" s="8">
        <v>2.0</v>
      </c>
      <c r="H229" s="9">
        <v>45079.0</v>
      </c>
      <c r="I229" s="10" t="s">
        <v>236</v>
      </c>
    </row>
    <row r="230">
      <c r="A230" s="5" t="str">
        <f t="array" ref="A230">INDEX(event_table!$A$2:$A$69, RANDBETWEEN(1, COUNTA(event_table!$A$2:$A$69)))</f>
        <v>1642</v>
      </c>
      <c r="B230" s="6">
        <f t="array" ref="B230">IFERROR(INDEX(event_table!$E$1:$E3686,MATCH(A230,event_table!$A$1:$A3686,0)),"")
</f>
        <v>6</v>
      </c>
      <c r="C230" s="7">
        <f t="shared" si="1"/>
        <v>49</v>
      </c>
      <c r="D230" s="6" t="str">
        <f t="array" ref="D230">IFERROR(INDEX(user_table!$C$2:$C3686,MATCH(C230,user_table!$B$2:$B3686,0)),"")
</f>
        <v>Fajar Hidayat</v>
      </c>
      <c r="E230" s="6" t="str">
        <f t="array" ref="E230">IFERROR(INDEX(user_table!$E$2:$E3686,MATCH(C230,user_table!$B$2:$B3686,0)),"")
</f>
        <v>3, 1</v>
      </c>
      <c r="F230" s="6" t="str">
        <f t="shared" si="2"/>
        <v>16422649</v>
      </c>
      <c r="G230" s="8">
        <v>2.0</v>
      </c>
      <c r="H230" s="9">
        <v>44964.0</v>
      </c>
      <c r="I230" s="10" t="s">
        <v>237</v>
      </c>
    </row>
    <row r="231">
      <c r="A231" s="5" t="str">
        <f t="array" ref="A231">INDEX(event_table!$A$2:$A$69, RANDBETWEEN(1, COUNTA(event_table!$A$2:$A$69)))</f>
        <v>122</v>
      </c>
      <c r="B231" s="6">
        <f t="array" ref="B231">IFERROR(INDEX(event_table!$E$1:$E3686,MATCH(A231,event_table!$A$1:$A3686,0)),"")
</f>
        <v>2</v>
      </c>
      <c r="C231" s="7">
        <f t="shared" si="1"/>
        <v>186</v>
      </c>
      <c r="D231" s="6" t="str">
        <f t="array" ref="D231">IFERROR(INDEX(user_table!$C$2:$C3686,MATCH(C231,user_table!$B$2:$B3686,0)),"")
</f>
        <v>Budi Wijaya</v>
      </c>
      <c r="E231" s="6" t="str">
        <f t="array" ref="E231">IFERROR(INDEX(user_table!$E$2:$E3686,MATCH(C231,user_table!$B$2:$B3686,0)),"")
</f>
        <v>1, 4</v>
      </c>
      <c r="F231" s="6" t="str">
        <f t="shared" si="2"/>
        <v>12222186</v>
      </c>
      <c r="G231" s="8">
        <v>2.0</v>
      </c>
      <c r="H231" s="9">
        <v>44433.0</v>
      </c>
      <c r="I231" s="10" t="s">
        <v>238</v>
      </c>
    </row>
    <row r="232">
      <c r="A232" s="5" t="str">
        <f t="array" ref="A232">INDEX(event_table!$A$2:$A$69, RANDBETWEEN(1, COUNTA(event_table!$A$2:$A$69)))</f>
        <v>113</v>
      </c>
      <c r="B232" s="6">
        <f t="array" ref="B232">IFERROR(INDEX(event_table!$E$1:$E3686,MATCH(A232,event_table!$A$1:$A3686,0)),"")
</f>
        <v>1</v>
      </c>
      <c r="C232" s="7">
        <f t="shared" si="1"/>
        <v>93</v>
      </c>
      <c r="D232" s="6" t="str">
        <f t="array" ref="D232">IFERROR(INDEX(user_table!$C$2:$C3686,MATCH(C232,user_table!$B$2:$B3686,0)),"")
</f>
        <v>Hadi Putri</v>
      </c>
      <c r="E232" s="6" t="str">
        <f t="array" ref="E232">IFERROR(INDEX(user_table!$E$2:$E3686,MATCH(C232,user_table!$B$2:$B3686,0)),"")
</f>
        <v>5, 6</v>
      </c>
      <c r="F232" s="6" t="str">
        <f t="shared" si="2"/>
        <v>1132193</v>
      </c>
      <c r="G232" s="8">
        <v>2.0</v>
      </c>
      <c r="H232" s="9">
        <v>44376.0</v>
      </c>
      <c r="I232" s="11" t="s">
        <v>239</v>
      </c>
    </row>
    <row r="233">
      <c r="A233" s="5" t="str">
        <f t="array" ref="A233">INDEX(event_table!$A$2:$A$69, RANDBETWEEN(1, COUNTA(event_table!$A$2:$A$69)))</f>
        <v>1215</v>
      </c>
      <c r="B233" s="6">
        <f t="array" ref="B233">IFERROR(INDEX(event_table!$E$1:$E3686,MATCH(A233,event_table!$A$1:$A3686,0)),"")
</f>
        <v>2</v>
      </c>
      <c r="C233" s="7">
        <f t="shared" si="1"/>
        <v>123</v>
      </c>
      <c r="D233" s="6" t="str">
        <f t="array" ref="D233">IFERROR(INDEX(user_table!$C$2:$C3686,MATCH(C233,user_table!$B$2:$B3686,0)),"")
</f>
        <v>Lina Hartono</v>
      </c>
      <c r="E233" s="6" t="str">
        <f t="array" ref="E233">IFERROR(INDEX(user_table!$E$2:$E3686,MATCH(C233,user_table!$B$2:$B3686,0)),"")
</f>
        <v>6, 5</v>
      </c>
      <c r="F233" s="6" t="str">
        <f t="shared" si="2"/>
        <v>121522123</v>
      </c>
      <c r="G233" s="8">
        <v>2.0</v>
      </c>
      <c r="H233" s="9">
        <v>45239.0</v>
      </c>
      <c r="I233" s="10" t="s">
        <v>240</v>
      </c>
    </row>
    <row r="234">
      <c r="A234" s="5" t="str">
        <f t="array" ref="A234">INDEX(event_table!$A$2:$A$69, RANDBETWEEN(1, COUNTA(event_table!$A$2:$A$69)))</f>
        <v>1332</v>
      </c>
      <c r="B234" s="6">
        <f t="array" ref="B234">IFERROR(INDEX(event_table!$E$1:$E3686,MATCH(A234,event_table!$A$1:$A3686,0)),"")
</f>
        <v>3</v>
      </c>
      <c r="C234" s="7">
        <f t="shared" si="1"/>
        <v>159</v>
      </c>
      <c r="D234" s="6" t="str">
        <f t="array" ref="D234">IFERROR(INDEX(user_table!$C$2:$C3686,MATCH(C234,user_table!$B$2:$B3686,0)),"")
</f>
        <v>Rudi Santoso</v>
      </c>
      <c r="E234" s="6" t="str">
        <f t="array" ref="E234">IFERROR(INDEX(user_table!$E$2:$E3686,MATCH(C234,user_table!$B$2:$B3686,0)),"")
</f>
        <v>5, 1</v>
      </c>
      <c r="F234" s="6" t="str">
        <f t="shared" si="2"/>
        <v>133223159</v>
      </c>
      <c r="G234" s="8">
        <v>2.0</v>
      </c>
      <c r="H234" s="9">
        <v>45107.0</v>
      </c>
      <c r="I234" s="10" t="s">
        <v>241</v>
      </c>
    </row>
    <row r="235">
      <c r="A235" s="5" t="str">
        <f t="array" ref="A235">INDEX(event_table!$A$2:$A$69, RANDBETWEEN(1, COUNTA(event_table!$A$2:$A$69)))</f>
        <v>1425</v>
      </c>
      <c r="B235" s="6">
        <f t="array" ref="B235">IFERROR(INDEX(event_table!$E$1:$E3686,MATCH(A235,event_table!$A$1:$A3686,0)),"")
</f>
        <v>4</v>
      </c>
      <c r="C235" s="7">
        <f t="shared" si="1"/>
        <v>38</v>
      </c>
      <c r="D235" s="6" t="str">
        <f t="array" ref="D235">IFERROR(INDEX(user_table!$C$2:$C3686,MATCH(C235,user_table!$B$2:$B3686,0)),"")
</f>
        <v>Maya Utami</v>
      </c>
      <c r="E235" s="6" t="str">
        <f t="array" ref="E235">IFERROR(INDEX(user_table!$E$2:$E3686,MATCH(C235,user_table!$B$2:$B3686,0)),"")
</f>
        <v>2, 1</v>
      </c>
      <c r="F235" s="6" t="str">
        <f t="shared" si="2"/>
        <v>14251438</v>
      </c>
      <c r="G235" s="8">
        <v>1.0</v>
      </c>
      <c r="H235" s="9">
        <v>45165.0</v>
      </c>
      <c r="I235" s="10" t="s">
        <v>242</v>
      </c>
    </row>
    <row r="236">
      <c r="A236" s="5" t="str">
        <f t="array" ref="A236">INDEX(event_table!$A$2:$A$69, RANDBETWEEN(1, COUNTA(event_table!$A$2:$A$69)))</f>
        <v>115</v>
      </c>
      <c r="B236" s="6">
        <f t="array" ref="B236">IFERROR(INDEX(event_table!$E$1:$E3686,MATCH(A236,event_table!$A$1:$A3686,0)),"")
</f>
        <v>1</v>
      </c>
      <c r="C236" s="7">
        <f t="shared" si="1"/>
        <v>148</v>
      </c>
      <c r="D236" s="6" t="str">
        <f t="array" ref="D236">IFERROR(INDEX(user_table!$C$2:$C3686,MATCH(C236,user_table!$B$2:$B3686,0)),"")
</f>
        <v>Fajar Setiawan</v>
      </c>
      <c r="E236" s="6" t="str">
        <f t="array" ref="E236">IFERROR(INDEX(user_table!$E$2:$E3686,MATCH(C236,user_table!$B$2:$B3686,0)),"")
</f>
        <v>6, 4</v>
      </c>
      <c r="F236" s="6" t="str">
        <f t="shared" si="2"/>
        <v>11511148</v>
      </c>
      <c r="G236" s="8">
        <v>1.0</v>
      </c>
      <c r="H236" s="9">
        <v>45201.0</v>
      </c>
      <c r="I236" s="10" t="s">
        <v>243</v>
      </c>
    </row>
    <row r="237">
      <c r="A237" s="5" t="str">
        <f t="array" ref="A237">INDEX(event_table!$A$2:$A$69, RANDBETWEEN(1, COUNTA(event_table!$A$2:$A$69)))</f>
        <v>1642</v>
      </c>
      <c r="B237" s="6">
        <f t="array" ref="B237">IFERROR(INDEX(event_table!$E$1:$E3686,MATCH(A237,event_table!$A$1:$A3686,0)),"")
</f>
        <v>6</v>
      </c>
      <c r="C237" s="7">
        <f t="shared" si="1"/>
        <v>111</v>
      </c>
      <c r="D237" s="6" t="str">
        <f t="array" ref="D237">IFERROR(INDEX(user_table!$C$2:$C3686,MATCH(C237,user_table!$B$2:$B3686,0)),"")
</f>
        <v>Hadi Kurniawan</v>
      </c>
      <c r="E237" s="6" t="str">
        <f t="array" ref="E237">IFERROR(INDEX(user_table!$E$2:$E3686,MATCH(C237,user_table!$B$2:$B3686,0)),"")
</f>
        <v>3, 4</v>
      </c>
      <c r="F237" s="6" t="str">
        <f t="shared" si="2"/>
        <v>164216111</v>
      </c>
      <c r="G237" s="8">
        <v>1.0</v>
      </c>
      <c r="H237" s="9">
        <v>45144.0</v>
      </c>
      <c r="I237" s="10" t="s">
        <v>244</v>
      </c>
    </row>
    <row r="238">
      <c r="A238" s="5" t="str">
        <f t="array" ref="A238">INDEX(event_table!$A$2:$A$69, RANDBETWEEN(1, COUNTA(event_table!$A$2:$A$69)))</f>
        <v>3165</v>
      </c>
      <c r="B238" s="6">
        <f t="array" ref="B238">IFERROR(INDEX(event_table!$E$1:$E3686,MATCH(A238,event_table!$A$1:$A3686,0)),"")
</f>
        <v>1</v>
      </c>
      <c r="C238" s="7">
        <f t="shared" si="1"/>
        <v>19</v>
      </c>
      <c r="D238" s="6" t="str">
        <f t="array" ref="D238">IFERROR(INDEX(user_table!$C$2:$C3686,MATCH(C238,user_table!$B$2:$B3686,0)),"")
</f>
        <v>Siti Purnama</v>
      </c>
      <c r="E238" s="6" t="str">
        <f t="array" ref="E238">IFERROR(INDEX(user_table!$E$2:$E3686,MATCH(C238,user_table!$B$2:$B3686,0)),"")
</f>
        <v>2, 1</v>
      </c>
      <c r="F238" s="6" t="str">
        <f t="shared" si="2"/>
        <v>31651119</v>
      </c>
      <c r="G238" s="8">
        <v>1.0</v>
      </c>
      <c r="H238" s="9">
        <v>45117.0</v>
      </c>
      <c r="I238" s="10" t="s">
        <v>245</v>
      </c>
    </row>
    <row r="239">
      <c r="A239" s="5" t="str">
        <f t="array" ref="A239">INDEX(event_table!$A$2:$A$69, RANDBETWEEN(1, COUNTA(event_table!$A$2:$A$69)))</f>
        <v>1212</v>
      </c>
      <c r="B239" s="6">
        <f t="array" ref="B239">IFERROR(INDEX(event_table!$E$1:$E3686,MATCH(A239,event_table!$A$1:$A3686,0)),"")
</f>
        <v>2</v>
      </c>
      <c r="C239" s="7">
        <f t="shared" si="1"/>
        <v>145</v>
      </c>
      <c r="D239" s="6" t="str">
        <f t="array" ref="D239">IFERROR(INDEX(user_table!$C$2:$C3686,MATCH(C239,user_table!$B$2:$B3686,0)),"")
</f>
        <v>Arif Nugroho</v>
      </c>
      <c r="E239" s="6" t="str">
        <f t="array" ref="E239">IFERROR(INDEX(user_table!$E$2:$E3686,MATCH(C239,user_table!$B$2:$B3686,0)),"")
</f>
        <v>1, 4</v>
      </c>
      <c r="F239" s="6" t="str">
        <f t="shared" si="2"/>
        <v>121212145</v>
      </c>
      <c r="G239" s="8">
        <v>1.0</v>
      </c>
      <c r="H239" s="9">
        <v>45111.0</v>
      </c>
      <c r="I239" s="10" t="s">
        <v>246</v>
      </c>
    </row>
    <row r="240">
      <c r="A240" s="5" t="str">
        <f t="array" ref="A240">INDEX(event_table!$A$2:$A$69, RANDBETWEEN(1, COUNTA(event_table!$A$2:$A$69)))</f>
        <v>1313</v>
      </c>
      <c r="B240" s="6">
        <f t="array" ref="B240">IFERROR(INDEX(event_table!$E$1:$E3686,MATCH(A240,event_table!$A$1:$A3686,0)),"")
</f>
        <v>3</v>
      </c>
      <c r="C240" s="7">
        <f t="shared" si="1"/>
        <v>154</v>
      </c>
      <c r="D240" s="6" t="str">
        <f t="array" ref="D240">IFERROR(INDEX(user_table!$C$2:$C3686,MATCH(C240,user_table!$B$2:$B3686,0)),"")
</f>
        <v>Dian Nurhayati</v>
      </c>
      <c r="E240" s="6" t="str">
        <f t="array" ref="E240">IFERROR(INDEX(user_table!$E$2:$E3686,MATCH(C240,user_table!$B$2:$B3686,0)),"")
</f>
        <v>5, 3</v>
      </c>
      <c r="F240" s="6" t="str">
        <f t="shared" si="2"/>
        <v>131313154</v>
      </c>
      <c r="G240" s="8">
        <v>1.0</v>
      </c>
      <c r="H240" s="9">
        <v>45031.0</v>
      </c>
      <c r="I240" s="10" t="s">
        <v>247</v>
      </c>
    </row>
    <row r="241">
      <c r="A241" s="5" t="str">
        <f t="array" ref="A241">INDEX(event_table!$A$2:$A$69, RANDBETWEEN(1, COUNTA(event_table!$A$2:$A$69)))</f>
        <v>1652</v>
      </c>
      <c r="B241" s="6">
        <f t="array" ref="B241">IFERROR(INDEX(event_table!$E$1:$E3686,MATCH(A241,event_table!$A$1:$A3686,0)),"")
</f>
        <v>6</v>
      </c>
      <c r="C241" s="7">
        <f t="shared" si="1"/>
        <v>40</v>
      </c>
      <c r="D241" s="6" t="str">
        <f t="array" ref="D241">IFERROR(INDEX(user_table!$C$2:$C3686,MATCH(C241,user_table!$B$2:$B3686,0)),"")
</f>
        <v>Joko Sari</v>
      </c>
      <c r="E241" s="6" t="str">
        <f t="array" ref="E241">IFERROR(INDEX(user_table!$E$2:$E3686,MATCH(C241,user_table!$B$2:$B3686,0)),"")
</f>
        <v>5, 6</v>
      </c>
      <c r="F241" s="6" t="str">
        <f t="shared" si="2"/>
        <v>16521640</v>
      </c>
      <c r="G241" s="8">
        <v>1.0</v>
      </c>
      <c r="H241" s="9">
        <v>45025.0</v>
      </c>
      <c r="I241" s="10" t="s">
        <v>248</v>
      </c>
    </row>
    <row r="242">
      <c r="A242" s="5" t="str">
        <f t="array" ref="A242">INDEX(event_table!$A$2:$A$69, RANDBETWEEN(1, COUNTA(event_table!$A$2:$A$69)))</f>
        <v>122</v>
      </c>
      <c r="B242" s="6">
        <f t="array" ref="B242">IFERROR(INDEX(event_table!$E$1:$E3686,MATCH(A242,event_table!$A$1:$A3686,0)),"")
</f>
        <v>2</v>
      </c>
      <c r="C242" s="7">
        <f t="shared" si="1"/>
        <v>197</v>
      </c>
      <c r="D242" s="6" t="str">
        <f t="array" ref="D242">IFERROR(INDEX(user_table!$C$2:$C3686,MATCH(C242,user_table!$B$2:$B3686,0)),"")
</f>
        <v>Dian Sari</v>
      </c>
      <c r="E242" s="6" t="str">
        <f t="array" ref="E242">IFERROR(INDEX(user_table!$E$2:$E3686,MATCH(C242,user_table!$B$2:$B3686,0)),"")
</f>
        <v>6, 3</v>
      </c>
      <c r="F242" s="6" t="str">
        <f t="shared" si="2"/>
        <v>12252197</v>
      </c>
      <c r="G242" s="8">
        <v>5.0</v>
      </c>
      <c r="H242" s="9">
        <v>44742.0</v>
      </c>
      <c r="I242" s="10" t="s">
        <v>249</v>
      </c>
    </row>
    <row r="243">
      <c r="A243" s="5" t="str">
        <f t="array" ref="A243">INDEX(event_table!$A$2:$A$69, RANDBETWEEN(1, COUNTA(event_table!$A$2:$A$69)))</f>
        <v>3164</v>
      </c>
      <c r="B243" s="6">
        <f t="array" ref="B243">IFERROR(INDEX(event_table!$E$1:$E3686,MATCH(A243,event_table!$A$1:$A3686,0)),"")
</f>
        <v>1</v>
      </c>
      <c r="C243" s="7">
        <f t="shared" si="1"/>
        <v>194</v>
      </c>
      <c r="D243" s="6" t="str">
        <f t="array" ref="D243">IFERROR(INDEX(user_table!$C$2:$C3686,MATCH(C243,user_table!$B$2:$B3686,0)),"")
</f>
        <v>Andi Putri</v>
      </c>
      <c r="E243" s="6" t="str">
        <f t="array" ref="E243">IFERROR(INDEX(user_table!$E$2:$E3686,MATCH(C243,user_table!$B$2:$B3686,0)),"")
</f>
        <v>4, 4</v>
      </c>
      <c r="F243" s="6" t="str">
        <f t="shared" si="2"/>
        <v>316451194</v>
      </c>
      <c r="G243" s="8">
        <v>5.0</v>
      </c>
      <c r="H243" s="9">
        <v>44721.0</v>
      </c>
      <c r="I243" s="10" t="s">
        <v>250</v>
      </c>
    </row>
    <row r="244">
      <c r="A244" s="5" t="str">
        <f t="array" ref="A244">INDEX(event_table!$A$2:$A$69, RANDBETWEEN(1, COUNTA(event_table!$A$2:$A$69)))</f>
        <v>1519</v>
      </c>
      <c r="B244" s="6">
        <f t="array" ref="B244">IFERROR(INDEX(event_table!$E$1:$E3686,MATCH(A244,event_table!$A$1:$A3686,0)),"")
</f>
        <v>5</v>
      </c>
      <c r="C244" s="7">
        <f t="shared" si="1"/>
        <v>109</v>
      </c>
      <c r="D244" s="6" t="str">
        <f t="array" ref="D244">IFERROR(INDEX(user_table!$C$2:$C3686,MATCH(C244,user_table!$B$2:$B3686,0)),"")
</f>
        <v>Ani Sari</v>
      </c>
      <c r="E244" s="6" t="str">
        <f t="array" ref="E244">IFERROR(INDEX(user_table!$E$2:$E3686,MATCH(C244,user_table!$B$2:$B3686,0)),"")
</f>
        <v>4, 5</v>
      </c>
      <c r="F244" s="6" t="str">
        <f t="shared" si="2"/>
        <v>151955109</v>
      </c>
      <c r="G244" s="8">
        <v>5.0</v>
      </c>
      <c r="H244" s="9">
        <v>44688.0</v>
      </c>
      <c r="I244" s="10" t="s">
        <v>251</v>
      </c>
    </row>
    <row r="245">
      <c r="A245" s="5" t="str">
        <f t="array" ref="A245">INDEX(event_table!$A$2:$A$69, RANDBETWEEN(1, COUNTA(event_table!$A$2:$A$69)))</f>
        <v>1647</v>
      </c>
      <c r="B245" s="6">
        <f t="array" ref="B245">IFERROR(INDEX(event_table!$E$1:$E3686,MATCH(A245,event_table!$A$1:$A3686,0)),"")
</f>
        <v>6</v>
      </c>
      <c r="C245" s="7">
        <f t="shared" si="1"/>
        <v>142</v>
      </c>
      <c r="D245" s="6" t="str">
        <f t="array" ref="D245">IFERROR(INDEX(user_table!$C$2:$C3686,MATCH(C245,user_table!$B$2:$B3686,0)),"")
</f>
        <v>Siti Rahayu</v>
      </c>
      <c r="E245" s="6" t="str">
        <f t="array" ref="E245">IFERROR(INDEX(user_table!$E$2:$E3686,MATCH(C245,user_table!$B$2:$B3686,0)),"")
</f>
        <v>6, 3</v>
      </c>
      <c r="F245" s="6" t="str">
        <f t="shared" si="2"/>
        <v>164756142</v>
      </c>
      <c r="G245" s="8">
        <v>5.0</v>
      </c>
      <c r="H245" s="9">
        <v>44687.0</v>
      </c>
      <c r="I245" s="10" t="s">
        <v>252</v>
      </c>
    </row>
    <row r="246">
      <c r="A246" s="5" t="str">
        <f t="array" ref="A246">INDEX(event_table!$A$2:$A$69, RANDBETWEEN(1, COUNTA(event_table!$A$2:$A$69)))</f>
        <v>1421</v>
      </c>
      <c r="B246" s="6">
        <f t="array" ref="B246">IFERROR(INDEX(event_table!$E$1:$E3686,MATCH(A246,event_table!$A$1:$A3686,0)),"")
</f>
        <v>4</v>
      </c>
      <c r="C246" s="7">
        <f t="shared" si="1"/>
        <v>123</v>
      </c>
      <c r="D246" s="6" t="str">
        <f t="array" ref="D246">IFERROR(INDEX(user_table!$C$2:$C3686,MATCH(C246,user_table!$B$2:$B3686,0)),"")
</f>
        <v>Lina Hartono</v>
      </c>
      <c r="E246" s="6" t="str">
        <f t="array" ref="E246">IFERROR(INDEX(user_table!$E$2:$E3686,MATCH(C246,user_table!$B$2:$B3686,0)),"")
</f>
        <v>6, 5</v>
      </c>
      <c r="F246" s="6" t="str">
        <f t="shared" si="2"/>
        <v>142154123</v>
      </c>
      <c r="G246" s="8">
        <v>5.0</v>
      </c>
      <c r="H246" s="9">
        <v>45119.0</v>
      </c>
      <c r="I246" s="10" t="s">
        <v>253</v>
      </c>
    </row>
    <row r="247">
      <c r="A247" s="5" t="str">
        <f t="array" ref="A247">INDEX(event_table!$A$2:$A$69, RANDBETWEEN(1, COUNTA(event_table!$A$2:$A$69)))</f>
        <v>3454</v>
      </c>
      <c r="B247" s="6">
        <f t="array" ref="B247">IFERROR(INDEX(event_table!$E$1:$E3686,MATCH(A247,event_table!$A$1:$A3686,0)),"")
</f>
        <v>4</v>
      </c>
      <c r="C247" s="7">
        <f t="shared" si="1"/>
        <v>185</v>
      </c>
      <c r="D247" s="6" t="str">
        <f t="array" ref="D247">IFERROR(INDEX(user_table!$C$2:$C3686,MATCH(C247,user_table!$B$2:$B3686,0)),"")
</f>
        <v>Budi Wijaya</v>
      </c>
      <c r="E247" s="6" t="str">
        <f t="array" ref="E247">IFERROR(INDEX(user_table!$E$2:$E3686,MATCH(C247,user_table!$B$2:$B3686,0)),"")
</f>
        <v>6, 3</v>
      </c>
      <c r="F247" s="6" t="str">
        <f t="shared" si="2"/>
        <v>345454185</v>
      </c>
      <c r="G247" s="8">
        <v>5.0</v>
      </c>
      <c r="H247" s="9">
        <v>44942.0</v>
      </c>
      <c r="I247" s="10" t="s">
        <v>254</v>
      </c>
    </row>
    <row r="248">
      <c r="A248" s="5" t="str">
        <f t="array" ref="A248">INDEX(event_table!$A$2:$A$69, RANDBETWEEN(1, COUNTA(event_table!$A$2:$A$69)))</f>
        <v>1313</v>
      </c>
      <c r="B248" s="6">
        <f t="array" ref="B248">IFERROR(INDEX(event_table!$E$1:$E3686,MATCH(A248,event_table!$A$1:$A3686,0)),"")
</f>
        <v>3</v>
      </c>
      <c r="C248" s="7">
        <f t="shared" si="1"/>
        <v>183</v>
      </c>
      <c r="D248" s="6" t="str">
        <f t="array" ref="D248">IFERROR(INDEX(user_table!$C$2:$C3686,MATCH(C248,user_table!$B$2:$B3686,0)),"")
</f>
        <v>Siti Nugroho</v>
      </c>
      <c r="E248" s="6" t="str">
        <f t="array" ref="E248">IFERROR(INDEX(user_table!$E$2:$E3686,MATCH(C248,user_table!$B$2:$B3686,0)),"")
</f>
        <v>4, 6</v>
      </c>
      <c r="F248" s="6" t="str">
        <f t="shared" si="2"/>
        <v>131353183</v>
      </c>
      <c r="G248" s="8">
        <v>5.0</v>
      </c>
      <c r="H248" s="9">
        <v>44821.0</v>
      </c>
      <c r="I248" s="10" t="s">
        <v>255</v>
      </c>
    </row>
    <row r="249">
      <c r="A249" s="5" t="str">
        <f t="array" ref="A249">INDEX(event_table!$A$2:$A$69, RANDBETWEEN(1, COUNTA(event_table!$A$2:$A$69)))</f>
        <v>3166</v>
      </c>
      <c r="B249" s="6">
        <f t="array" ref="B249">IFERROR(INDEX(event_table!$E$1:$E3686,MATCH(A249,event_table!$A$1:$A3686,0)),"")
</f>
        <v>1</v>
      </c>
      <c r="C249" s="7">
        <f t="shared" si="1"/>
        <v>23</v>
      </c>
      <c r="D249" s="6" t="str">
        <f t="array" ref="D249">IFERROR(INDEX(user_table!$C$2:$C3686,MATCH(C249,user_table!$B$2:$B3686,0)),"")
</f>
        <v>Fajar Kusuma</v>
      </c>
      <c r="E249" s="6" t="str">
        <f t="array" ref="E249">IFERROR(INDEX(user_table!$E$2:$E3686,MATCH(C249,user_table!$B$2:$B3686,0)),"")
</f>
        <v>4, 1</v>
      </c>
      <c r="F249" s="6" t="str">
        <f t="shared" si="2"/>
        <v>31665123</v>
      </c>
      <c r="G249" s="8">
        <v>5.0</v>
      </c>
      <c r="H249" s="9">
        <v>44733.0</v>
      </c>
      <c r="I249" s="10" t="s">
        <v>256</v>
      </c>
    </row>
    <row r="250">
      <c r="A250" s="5" t="str">
        <f t="array" ref="A250">INDEX(event_table!$A$2:$A$69, RANDBETWEEN(1, COUNTA(event_table!$A$2:$A$69)))</f>
        <v>1423</v>
      </c>
      <c r="B250" s="6">
        <f t="array" ref="B250">IFERROR(INDEX(event_table!$E$1:$E3686,MATCH(A250,event_table!$A$1:$A3686,0)),"")
</f>
        <v>4</v>
      </c>
      <c r="C250" s="7">
        <f t="shared" si="1"/>
        <v>115</v>
      </c>
      <c r="D250" s="6" t="str">
        <f t="array" ref="D250">IFERROR(INDEX(user_table!$C$2:$C3686,MATCH(C250,user_table!$B$2:$B3686,0)),"")
</f>
        <v>Dewi Septiani</v>
      </c>
      <c r="E250" s="6" t="str">
        <f t="array" ref="E250">IFERROR(INDEX(user_table!$E$2:$E3686,MATCH(C250,user_table!$B$2:$B3686,0)),"")
</f>
        <v>6, 3</v>
      </c>
      <c r="F250" s="6" t="str">
        <f t="shared" si="2"/>
        <v>142354115</v>
      </c>
      <c r="G250" s="8">
        <v>5.0</v>
      </c>
      <c r="H250" s="9">
        <v>44724.0</v>
      </c>
      <c r="I250" s="10" t="s">
        <v>257</v>
      </c>
    </row>
    <row r="251">
      <c r="A251" s="5" t="str">
        <f t="array" ref="A251">INDEX(event_table!$A$2:$A$69, RANDBETWEEN(1, COUNTA(event_table!$A$2:$A$69)))</f>
        <v>1638</v>
      </c>
      <c r="B251" s="6">
        <f t="array" ref="B251">IFERROR(INDEX(event_table!$E$1:$E3686,MATCH(A251,event_table!$A$1:$A3686,0)),"")
</f>
        <v>6</v>
      </c>
      <c r="C251" s="7">
        <f t="shared" si="1"/>
        <v>58</v>
      </c>
      <c r="D251" s="6" t="str">
        <f t="array" ref="D251">IFERROR(INDEX(user_table!$C$2:$C3686,MATCH(C251,user_table!$B$2:$B3686,0)),"")
</f>
        <v>Joko Septiani</v>
      </c>
      <c r="E251" s="6" t="str">
        <f t="array" ref="E251">IFERROR(INDEX(user_table!$E$2:$E3686,MATCH(C251,user_table!$B$2:$B3686,0)),"")
</f>
        <v>2, 5</v>
      </c>
      <c r="F251" s="6" t="str">
        <f t="shared" si="2"/>
        <v>16385658</v>
      </c>
      <c r="G251" s="8">
        <v>5.0</v>
      </c>
      <c r="H251" s="9">
        <v>44712.0</v>
      </c>
      <c r="I251" s="10" t="s">
        <v>258</v>
      </c>
    </row>
    <row r="252">
      <c r="A252" s="5" t="str">
        <f t="array" ref="A252">INDEX(event_table!$A$2:$A$69, RANDBETWEEN(1, COUNTA(event_table!$A$2:$A$69)))</f>
        <v>111</v>
      </c>
      <c r="B252" s="6">
        <f t="array" ref="B252">IFERROR(INDEX(event_table!$E$1:$E3686,MATCH(A252,event_table!$A$1:$A3686,0)),"")
</f>
        <v>1</v>
      </c>
      <c r="C252" s="7">
        <f t="shared" si="1"/>
        <v>152</v>
      </c>
      <c r="D252" s="6" t="str">
        <f t="array" ref="D252">IFERROR(INDEX(user_table!$C$2:$C3686,MATCH(C252,user_table!$B$2:$B3686,0)),"")
</f>
        <v>Budi Kurniawan</v>
      </c>
      <c r="E252" s="6" t="str">
        <f t="array" ref="E252">IFERROR(INDEX(user_table!$E$2:$E3686,MATCH(C252,user_table!$B$2:$B3686,0)),"")
</f>
        <v>5, 5</v>
      </c>
      <c r="F252" s="6" t="str">
        <f t="shared" si="2"/>
        <v>11151152</v>
      </c>
      <c r="G252" s="8">
        <v>5.0</v>
      </c>
      <c r="H252" s="9">
        <v>44703.0</v>
      </c>
      <c r="I252" s="10" t="s">
        <v>259</v>
      </c>
    </row>
    <row r="253">
      <c r="A253" s="5" t="str">
        <f t="array" ref="A253">INDEX(event_table!$A$2:$A$69, RANDBETWEEN(1, COUNTA(event_table!$A$2:$A$69)))</f>
        <v>1651</v>
      </c>
      <c r="B253" s="6">
        <f t="array" ref="B253">IFERROR(INDEX(event_table!$E$1:$E3686,MATCH(A253,event_table!$A$1:$A3686,0)),"")
</f>
        <v>6</v>
      </c>
      <c r="C253" s="7">
        <f t="shared" si="1"/>
        <v>107</v>
      </c>
      <c r="D253" s="6" t="str">
        <f t="array" ref="D253">IFERROR(INDEX(user_table!$C$2:$C3686,MATCH(C253,user_table!$B$2:$B3686,0)),"")
</f>
        <v>Citra Rahayu</v>
      </c>
      <c r="E253" s="6" t="str">
        <f t="array" ref="E253">IFERROR(INDEX(user_table!$E$2:$E3686,MATCH(C253,user_table!$B$2:$B3686,0)),"")
</f>
        <v>1, 5</v>
      </c>
      <c r="F253" s="6" t="str">
        <f t="shared" si="2"/>
        <v>165146107</v>
      </c>
      <c r="G253" s="8">
        <v>4.0</v>
      </c>
      <c r="H253" s="9">
        <v>44688.0</v>
      </c>
      <c r="I253" s="10" t="s">
        <v>260</v>
      </c>
    </row>
    <row r="254">
      <c r="A254" s="5" t="str">
        <f t="array" ref="A254">INDEX(event_table!$A$2:$A$69, RANDBETWEEN(1, COUNTA(event_table!$A$2:$A$69)))</f>
        <v>1648</v>
      </c>
      <c r="B254" s="6">
        <f t="array" ref="B254">IFERROR(INDEX(event_table!$E$1:$E3686,MATCH(A254,event_table!$A$1:$A3686,0)),"")
</f>
        <v>6</v>
      </c>
      <c r="C254" s="7">
        <f t="shared" si="1"/>
        <v>196</v>
      </c>
      <c r="D254" s="6" t="str">
        <f t="array" ref="D254">IFERROR(INDEX(user_table!$C$2:$C3686,MATCH(C254,user_table!$B$2:$B3686,0)),"")
</f>
        <v>Dewi Susanto</v>
      </c>
      <c r="E254" s="6" t="str">
        <f t="array" ref="E254">IFERROR(INDEX(user_table!$E$2:$E3686,MATCH(C254,user_table!$B$2:$B3686,0)),"")
</f>
        <v>2, 1</v>
      </c>
      <c r="F254" s="6" t="str">
        <f t="shared" si="2"/>
        <v>164846196</v>
      </c>
      <c r="G254" s="8">
        <v>4.0</v>
      </c>
      <c r="H254" s="9">
        <v>44741.0</v>
      </c>
      <c r="I254" s="10" t="s">
        <v>261</v>
      </c>
    </row>
    <row r="255">
      <c r="A255" s="5" t="str">
        <f t="array" ref="A255">INDEX(event_table!$A$2:$A$69, RANDBETWEEN(1, COUNTA(event_table!$A$2:$A$69)))</f>
        <v>1114</v>
      </c>
      <c r="B255" s="6">
        <f t="array" ref="B255">IFERROR(INDEX(event_table!$E$1:$E3686,MATCH(A255,event_table!$A$1:$A3686,0)),"")
</f>
        <v>1</v>
      </c>
      <c r="C255" s="7">
        <f t="shared" si="1"/>
        <v>137</v>
      </c>
      <c r="D255" s="6" t="str">
        <f t="array" ref="D255">IFERROR(INDEX(user_table!$C$2:$C3686,MATCH(C255,user_table!$B$2:$B3686,0)),"")
</f>
        <v>Dina Pratama</v>
      </c>
      <c r="E255" s="6" t="str">
        <f t="array" ref="E255">IFERROR(INDEX(user_table!$E$2:$E3686,MATCH(C255,user_table!$B$2:$B3686,0)),"")
</f>
        <v>4, 4</v>
      </c>
      <c r="F255" s="6" t="str">
        <f t="shared" si="2"/>
        <v>111441137</v>
      </c>
      <c r="G255" s="8">
        <v>4.0</v>
      </c>
      <c r="H255" s="9">
        <v>44760.0</v>
      </c>
      <c r="I255" s="10" t="s">
        <v>262</v>
      </c>
    </row>
    <row r="256">
      <c r="A256" s="5" t="str">
        <f t="array" ref="A256">INDEX(event_table!$A$2:$A$69, RANDBETWEEN(1, COUNTA(event_table!$A$2:$A$69)))</f>
        <v>3164</v>
      </c>
      <c r="B256" s="6">
        <f t="array" ref="B256">IFERROR(INDEX(event_table!$E$1:$E3686,MATCH(A256,event_table!$A$1:$A3686,0)),"")
</f>
        <v>1</v>
      </c>
      <c r="C256" s="7">
        <f t="shared" si="1"/>
        <v>158</v>
      </c>
      <c r="D256" s="6" t="str">
        <f t="array" ref="D256">IFERROR(INDEX(user_table!$C$2:$C3686,MATCH(C256,user_table!$B$2:$B3686,0)),"")
</f>
        <v>Maya Wijaya</v>
      </c>
      <c r="E256" s="6" t="str">
        <f t="array" ref="E256">IFERROR(INDEX(user_table!$E$2:$E3686,MATCH(C256,user_table!$B$2:$B3686,0)),"")
</f>
        <v>3, 4</v>
      </c>
      <c r="F256" s="6" t="str">
        <f t="shared" si="2"/>
        <v>316431158</v>
      </c>
      <c r="G256" s="8">
        <v>3.0</v>
      </c>
      <c r="H256" s="9">
        <v>45101.0</v>
      </c>
      <c r="I256" s="10" t="s">
        <v>263</v>
      </c>
    </row>
    <row r="257">
      <c r="A257" s="5" t="str">
        <f t="array" ref="A257">INDEX(event_table!$A$2:$A$69, RANDBETWEEN(1, COUNTA(event_table!$A$2:$A$69)))</f>
        <v>1646</v>
      </c>
      <c r="B257" s="6">
        <f t="array" ref="B257">IFERROR(INDEX(event_table!$E$1:$E3686,MATCH(A257,event_table!$A$1:$A3686,0)),"")
</f>
        <v>6</v>
      </c>
      <c r="C257" s="7">
        <f t="shared" si="1"/>
        <v>169</v>
      </c>
      <c r="D257" s="6" t="str">
        <f t="array" ref="D257">IFERROR(INDEX(user_table!$C$2:$C3686,MATCH(C257,user_table!$B$2:$B3686,0)),"")
</f>
        <v>Dian Saputra</v>
      </c>
      <c r="E257" s="6" t="str">
        <f t="array" ref="E257">IFERROR(INDEX(user_table!$E$2:$E3686,MATCH(C257,user_table!$B$2:$B3686,0)),"")
</f>
        <v>6, 1</v>
      </c>
      <c r="F257" s="6" t="str">
        <f t="shared" si="2"/>
        <v>164636169</v>
      </c>
      <c r="G257" s="8">
        <v>3.0</v>
      </c>
      <c r="H257" s="9">
        <v>45198.0</v>
      </c>
      <c r="I257" s="10" t="s">
        <v>264</v>
      </c>
    </row>
    <row r="258">
      <c r="A258" s="5" t="str">
        <f t="array" ref="A258">INDEX(event_table!$A$2:$A$69, RANDBETWEEN(1, COUNTA(event_table!$A$2:$A$69)))</f>
        <v>3454</v>
      </c>
      <c r="B258" s="6">
        <f t="array" ref="B258">IFERROR(INDEX(event_table!$E$1:$E3686,MATCH(A258,event_table!$A$1:$A3686,0)),"")
</f>
        <v>4</v>
      </c>
      <c r="C258" s="7">
        <f t="shared" si="1"/>
        <v>107</v>
      </c>
      <c r="D258" s="6" t="str">
        <f t="array" ref="D258">IFERROR(INDEX(user_table!$C$2:$C3686,MATCH(C258,user_table!$B$2:$B3686,0)),"")
</f>
        <v>Citra Rahayu</v>
      </c>
      <c r="E258" s="6" t="str">
        <f t="array" ref="E258">IFERROR(INDEX(user_table!$E$2:$E3686,MATCH(C258,user_table!$B$2:$B3686,0)),"")
</f>
        <v>1, 5</v>
      </c>
      <c r="F258" s="6" t="str">
        <f t="shared" si="2"/>
        <v>345434107</v>
      </c>
      <c r="G258" s="8">
        <v>3.0</v>
      </c>
      <c r="H258" s="9">
        <v>45182.0</v>
      </c>
      <c r="I258" s="10" t="s">
        <v>265</v>
      </c>
    </row>
    <row r="259">
      <c r="A259" s="5" t="str">
        <f t="array" ref="A259">INDEX(event_table!$A$2:$A$69, RANDBETWEEN(1, COUNTA(event_table!$A$2:$A$69)))</f>
        <v>1420</v>
      </c>
      <c r="B259" s="6">
        <f t="array" ref="B259">IFERROR(INDEX(event_table!$E$1:$E3686,MATCH(A259,event_table!$A$1:$A3686,0)),"")
</f>
        <v>4</v>
      </c>
      <c r="C259" s="7">
        <f t="shared" si="1"/>
        <v>194</v>
      </c>
      <c r="D259" s="6" t="str">
        <f t="array" ref="D259">IFERROR(INDEX(user_table!$C$2:$C3686,MATCH(C259,user_table!$B$2:$B3686,0)),"")
</f>
        <v>Andi Putri</v>
      </c>
      <c r="E259" s="6" t="str">
        <f t="array" ref="E259">IFERROR(INDEX(user_table!$E$2:$E3686,MATCH(C259,user_table!$B$2:$B3686,0)),"")
</f>
        <v>4, 4</v>
      </c>
      <c r="F259" s="6" t="str">
        <f t="shared" si="2"/>
        <v>142024194</v>
      </c>
      <c r="G259" s="8">
        <v>2.0</v>
      </c>
      <c r="H259" s="9">
        <v>45166.0</v>
      </c>
      <c r="I259" s="10" t="s">
        <v>266</v>
      </c>
    </row>
    <row r="260">
      <c r="A260" s="5" t="str">
        <f t="array" ref="A260">INDEX(event_table!$A$2:$A$69, RANDBETWEEN(1, COUNTA(event_table!$A$2:$A$69)))</f>
        <v>1334</v>
      </c>
      <c r="B260" s="6">
        <f t="array" ref="B260">IFERROR(INDEX(event_table!$E$1:$E3686,MATCH(A260,event_table!$A$1:$A3686,0)),"")
</f>
        <v>3</v>
      </c>
      <c r="C260" s="7">
        <f t="shared" si="1"/>
        <v>171</v>
      </c>
      <c r="D260" s="6" t="str">
        <f t="array" ref="D260">IFERROR(INDEX(user_table!$C$2:$C3686,MATCH(C260,user_table!$B$2:$B3686,0)),"")
</f>
        <v>Andi Santoso</v>
      </c>
      <c r="E260" s="6" t="str">
        <f t="array" ref="E260">IFERROR(INDEX(user_table!$E$2:$E3686,MATCH(C260,user_table!$B$2:$B3686,0)),"")
</f>
        <v>4, 3</v>
      </c>
      <c r="F260" s="6" t="str">
        <f t="shared" si="2"/>
        <v>133423171</v>
      </c>
      <c r="G260" s="8">
        <v>2.0</v>
      </c>
      <c r="H260" s="9">
        <v>45103.0</v>
      </c>
      <c r="I260" s="10" t="s">
        <v>267</v>
      </c>
    </row>
    <row r="261">
      <c r="A261" s="5" t="str">
        <f t="array" ref="A261">INDEX(event_table!$A$2:$A$69, RANDBETWEEN(1, COUNTA(event_table!$A$2:$A$69)))</f>
        <v>1642</v>
      </c>
      <c r="B261" s="6">
        <f t="array" ref="B261">IFERROR(INDEX(event_table!$E$1:$E3686,MATCH(A261,event_table!$A$1:$A3686,0)),"")
</f>
        <v>6</v>
      </c>
      <c r="C261" s="7">
        <f t="shared" si="1"/>
        <v>18</v>
      </c>
      <c r="D261" s="6" t="str">
        <f t="array" ref="D261">IFERROR(INDEX(user_table!$C$2:$C3686,MATCH(C261,user_table!$B$2:$B3686,0)),"")
</f>
        <v>Rudi Santoso</v>
      </c>
      <c r="E261" s="6" t="str">
        <f t="array" ref="E261">IFERROR(INDEX(user_table!$E$2:$E3686,MATCH(C261,user_table!$B$2:$B3686,0)),"")
</f>
        <v>4, 2</v>
      </c>
      <c r="F261" s="6" t="str">
        <f t="shared" si="2"/>
        <v>16422618</v>
      </c>
      <c r="G261" s="8">
        <v>2.0</v>
      </c>
      <c r="H261" s="9">
        <v>45009.0</v>
      </c>
      <c r="I261" s="10" t="s">
        <v>268</v>
      </c>
    </row>
    <row r="262">
      <c r="A262" s="5" t="str">
        <f t="array" ref="A262">INDEX(event_table!$A$2:$A$69, RANDBETWEEN(1, COUNTA(event_table!$A$2:$A$69)))</f>
        <v>1530</v>
      </c>
      <c r="B262" s="6">
        <f t="array" ref="B262">IFERROR(INDEX(event_table!$E$1:$E3686,MATCH(A262,event_table!$A$1:$A3686,0)),"")
</f>
        <v>5</v>
      </c>
      <c r="C262" s="7">
        <f t="shared" si="1"/>
        <v>200</v>
      </c>
      <c r="D262" s="6" t="str">
        <f t="array" ref="D262">IFERROR(INDEX(user_table!$C$2:$C3686,MATCH(C262,user_table!$B$2:$B3686,0)),"")
</f>
        <v>Dina Susanto</v>
      </c>
      <c r="E262" s="6" t="str">
        <f t="array" ref="E262">IFERROR(INDEX(user_table!$E$2:$E3686,MATCH(C262,user_table!$B$2:$B3686,0)),"")
</f>
        <v>5, 4</v>
      </c>
      <c r="F262" s="6" t="str">
        <f t="shared" si="2"/>
        <v>153025200</v>
      </c>
      <c r="G262" s="8">
        <v>2.0</v>
      </c>
      <c r="H262" s="9">
        <v>44756.0</v>
      </c>
      <c r="I262" s="10" t="s">
        <v>269</v>
      </c>
    </row>
    <row r="263">
      <c r="A263" s="5" t="str">
        <f t="array" ref="A263">INDEX(event_table!$A$2:$A$69, RANDBETWEEN(1, COUNTA(event_table!$A$2:$A$69)))</f>
        <v>116</v>
      </c>
      <c r="B263" s="6">
        <f t="array" ref="B263">IFERROR(INDEX(event_table!$E$1:$E3686,MATCH(A263,event_table!$A$1:$A3686,0)),"")
</f>
        <v>1</v>
      </c>
      <c r="C263" s="7">
        <f t="shared" si="1"/>
        <v>148</v>
      </c>
      <c r="D263" s="6" t="str">
        <f t="array" ref="D263">IFERROR(INDEX(user_table!$C$2:$C3686,MATCH(C263,user_table!$B$2:$B3686,0)),"")
</f>
        <v>Fajar Setiawan</v>
      </c>
      <c r="E263" s="6" t="str">
        <f t="array" ref="E263">IFERROR(INDEX(user_table!$E$2:$E3686,MATCH(C263,user_table!$B$2:$B3686,0)),"")
</f>
        <v>6, 4</v>
      </c>
      <c r="F263" s="6" t="str">
        <f t="shared" si="2"/>
        <v>11621148</v>
      </c>
      <c r="G263" s="8">
        <v>2.0</v>
      </c>
      <c r="H263" s="9">
        <v>44754.0</v>
      </c>
      <c r="I263" s="10" t="s">
        <v>270</v>
      </c>
    </row>
    <row r="264">
      <c r="A264" s="5" t="str">
        <f t="array" ref="A264">INDEX(event_table!$A$2:$A$69, RANDBETWEEN(1, COUNTA(event_table!$A$2:$A$69)))</f>
        <v>3454</v>
      </c>
      <c r="B264" s="6">
        <f t="array" ref="B264">IFERROR(INDEX(event_table!$E$1:$E3686,MATCH(A264,event_table!$A$1:$A3686,0)),"")
</f>
        <v>4</v>
      </c>
      <c r="C264" s="7">
        <f t="shared" si="1"/>
        <v>161</v>
      </c>
      <c r="D264" s="6" t="str">
        <f t="array" ref="D264">IFERROR(INDEX(user_table!$C$2:$C3686,MATCH(C264,user_table!$B$2:$B3686,0)),"")
</f>
        <v>Lina Nugroho</v>
      </c>
      <c r="E264" s="6" t="str">
        <f t="array" ref="E264">IFERROR(INDEX(user_table!$E$2:$E3686,MATCH(C264,user_table!$B$2:$B3686,0)),"")
</f>
        <v>6, 5</v>
      </c>
      <c r="F264" s="6" t="str">
        <f t="shared" si="2"/>
        <v>345424161</v>
      </c>
      <c r="G264" s="8">
        <v>2.0</v>
      </c>
      <c r="H264" s="9">
        <v>45208.0</v>
      </c>
      <c r="I264" s="10" t="s">
        <v>271</v>
      </c>
    </row>
    <row r="265">
      <c r="A265" s="5" t="str">
        <f t="array" ref="A265">INDEX(event_table!$A$2:$A$69, RANDBETWEEN(1, COUNTA(event_table!$A$2:$A$69)))</f>
        <v>3169</v>
      </c>
      <c r="B265" s="6">
        <f t="array" ref="B265">IFERROR(INDEX(event_table!$E$1:$E3686,MATCH(A265,event_table!$A$1:$A3686,0)),"")
</f>
        <v>1</v>
      </c>
      <c r="C265" s="7">
        <f t="shared" si="1"/>
        <v>67</v>
      </c>
      <c r="D265" s="6" t="str">
        <f t="array" ref="D265">IFERROR(INDEX(user_table!$C$2:$C3686,MATCH(C265,user_table!$B$2:$B3686,0)),"")
</f>
        <v>Joko Pratama</v>
      </c>
      <c r="E265" s="6" t="str">
        <f t="array" ref="E265">IFERROR(INDEX(user_table!$E$2:$E3686,MATCH(C265,user_table!$B$2:$B3686,0)),"")
</f>
        <v>1, 3</v>
      </c>
      <c r="F265" s="6" t="str">
        <f t="shared" si="2"/>
        <v>31692167</v>
      </c>
      <c r="G265" s="8">
        <v>2.0</v>
      </c>
      <c r="H265" s="9">
        <v>45200.0</v>
      </c>
      <c r="I265" s="10" t="s">
        <v>272</v>
      </c>
    </row>
    <row r="266">
      <c r="A266" s="5" t="str">
        <f t="array" ref="A266">INDEX(event_table!$A$2:$A$69, RANDBETWEEN(1, COUNTA(event_table!$A$2:$A$69)))</f>
        <v>1418</v>
      </c>
      <c r="B266" s="6">
        <f t="array" ref="B266">IFERROR(INDEX(event_table!$E$1:$E3686,MATCH(A266,event_table!$A$1:$A3686,0)),"")
</f>
        <v>4</v>
      </c>
      <c r="C266" s="7">
        <f t="shared" si="1"/>
        <v>139</v>
      </c>
      <c r="D266" s="6" t="str">
        <f t="array" ref="D266">IFERROR(INDEX(user_table!$C$2:$C3686,MATCH(C266,user_table!$B$2:$B3686,0)),"")
</f>
        <v>Sinta Kurniawan</v>
      </c>
      <c r="E266" s="6" t="str">
        <f t="array" ref="E266">IFERROR(INDEX(user_table!$E$2:$E3686,MATCH(C266,user_table!$B$2:$B3686,0)),"")
</f>
        <v>4, 6</v>
      </c>
      <c r="F266" s="6" t="str">
        <f t="shared" si="2"/>
        <v>141824139</v>
      </c>
      <c r="G266" s="8">
        <v>2.0</v>
      </c>
      <c r="H266" s="9">
        <v>45169.0</v>
      </c>
      <c r="I266" s="10" t="s">
        <v>273</v>
      </c>
    </row>
    <row r="267">
      <c r="A267" s="5" t="str">
        <f t="array" ref="A267">INDEX(event_table!$A$2:$A$69, RANDBETWEEN(1, COUNTA(event_table!$A$2:$A$69)))</f>
        <v>3356</v>
      </c>
      <c r="B267" s="6">
        <f t="array" ref="B267">IFERROR(INDEX(event_table!$E$1:$E3686,MATCH(A267,event_table!$A$1:$A3686,0)),"")
</f>
        <v>3</v>
      </c>
      <c r="C267" s="7">
        <f t="shared" si="1"/>
        <v>68</v>
      </c>
      <c r="D267" s="6" t="str">
        <f t="array" ref="D267">IFERROR(INDEX(user_table!$C$2:$C3686,MATCH(C267,user_table!$B$2:$B3686,0)),"")
</f>
        <v>Wahyu Wijaya</v>
      </c>
      <c r="E267" s="6" t="str">
        <f t="array" ref="E267">IFERROR(INDEX(user_table!$E$2:$E3686,MATCH(C267,user_table!$B$2:$B3686,0)),"")
</f>
        <v>4, 6</v>
      </c>
      <c r="F267" s="6" t="str">
        <f t="shared" si="2"/>
        <v>33562368</v>
      </c>
      <c r="G267" s="8">
        <v>2.0</v>
      </c>
      <c r="H267" s="9">
        <v>45129.0</v>
      </c>
      <c r="I267" s="10" t="s">
        <v>274</v>
      </c>
    </row>
    <row r="268">
      <c r="A268" s="5" t="str">
        <f t="array" ref="A268">INDEX(event_table!$A$2:$A$69, RANDBETWEEN(1, COUNTA(event_table!$A$2:$A$69)))</f>
        <v>1651</v>
      </c>
      <c r="B268" s="6">
        <f t="array" ref="B268">IFERROR(INDEX(event_table!$E$1:$E3686,MATCH(A268,event_table!$A$1:$A3686,0)),"")
</f>
        <v>6</v>
      </c>
      <c r="C268" s="7">
        <f t="shared" si="1"/>
        <v>192</v>
      </c>
      <c r="D268" s="6" t="str">
        <f t="array" ref="D268">IFERROR(INDEX(user_table!$C$2:$C3686,MATCH(C268,user_table!$B$2:$B3686,0)),"")
</f>
        <v>Joko Hadiwijaya</v>
      </c>
      <c r="E268" s="6" t="str">
        <f t="array" ref="E268">IFERROR(INDEX(user_table!$E$2:$E3686,MATCH(C268,user_table!$B$2:$B3686,0)),"")
</f>
        <v>1, 3</v>
      </c>
      <c r="F268" s="6" t="str">
        <f t="shared" si="2"/>
        <v>165126192</v>
      </c>
      <c r="G268" s="8">
        <v>2.0</v>
      </c>
      <c r="H268" s="9">
        <v>45109.0</v>
      </c>
      <c r="I268" s="10" t="s">
        <v>275</v>
      </c>
    </row>
    <row r="269">
      <c r="A269" s="5" t="str">
        <f t="array" ref="A269">INDEX(event_table!$A$2:$A$69, RANDBETWEEN(1, COUNTA(event_table!$A$2:$A$69)))</f>
        <v>1638</v>
      </c>
      <c r="B269" s="6">
        <f t="array" ref="B269">IFERROR(INDEX(event_table!$E$1:$E3686,MATCH(A269,event_table!$A$1:$A3686,0)),"")
</f>
        <v>6</v>
      </c>
      <c r="C269" s="7">
        <f t="shared" si="1"/>
        <v>138</v>
      </c>
      <c r="D269" s="6" t="str">
        <f t="array" ref="D269">IFERROR(INDEX(user_table!$C$2:$C3686,MATCH(C269,user_table!$B$2:$B3686,0)),"")
</f>
        <v>Joko Hermawan</v>
      </c>
      <c r="E269" s="6" t="str">
        <f t="array" ref="E269">IFERROR(INDEX(user_table!$E$2:$E3686,MATCH(C269,user_table!$B$2:$B3686,0)),"")
</f>
        <v>4, 1</v>
      </c>
      <c r="F269" s="6" t="str">
        <f t="shared" si="2"/>
        <v>163826138</v>
      </c>
      <c r="G269" s="8">
        <v>2.0</v>
      </c>
      <c r="H269" s="9">
        <v>45080.0</v>
      </c>
      <c r="I269" s="10" t="s">
        <v>276</v>
      </c>
    </row>
    <row r="270">
      <c r="A270" s="5" t="str">
        <f t="array" ref="A270">INDEX(event_table!$A$2:$A$69, RANDBETWEEN(1, COUNTA(event_table!$A$2:$A$69)))</f>
        <v>3164</v>
      </c>
      <c r="B270" s="6">
        <f t="array" ref="B270">IFERROR(INDEX(event_table!$E$1:$E3686,MATCH(A270,event_table!$A$1:$A3686,0)),"")
</f>
        <v>1</v>
      </c>
      <c r="C270" s="7">
        <f t="shared" si="1"/>
        <v>200</v>
      </c>
      <c r="D270" s="6" t="str">
        <f t="array" ref="D270">IFERROR(INDEX(user_table!$C$2:$C3686,MATCH(C270,user_table!$B$2:$B3686,0)),"")
</f>
        <v>Dina Susanto</v>
      </c>
      <c r="E270" s="6" t="str">
        <f t="array" ref="E270">IFERROR(INDEX(user_table!$E$2:$E3686,MATCH(C270,user_table!$B$2:$B3686,0)),"")
</f>
        <v>5, 4</v>
      </c>
      <c r="F270" s="6" t="str">
        <f t="shared" si="2"/>
        <v>316421200</v>
      </c>
      <c r="G270" s="8">
        <v>2.0</v>
      </c>
      <c r="H270" s="9">
        <v>45040.0</v>
      </c>
      <c r="I270" s="10" t="s">
        <v>277</v>
      </c>
    </row>
    <row r="271">
      <c r="A271" s="5" t="str">
        <f t="array" ref="A271">INDEX(event_table!$A$2:$A$69, RANDBETWEEN(1, COUNTA(event_table!$A$2:$A$69)))</f>
        <v>1531</v>
      </c>
      <c r="B271" s="6">
        <f t="array" ref="B271">IFERROR(INDEX(event_table!$E$1:$E3686,MATCH(A271,event_table!$A$1:$A3686,0)),"")
</f>
        <v>5</v>
      </c>
      <c r="C271" s="7">
        <f t="shared" si="1"/>
        <v>82</v>
      </c>
      <c r="D271" s="6" t="str">
        <f t="array" ref="D271">IFERROR(INDEX(user_table!$C$2:$C3686,MATCH(C271,user_table!$B$2:$B3686,0)),"")
</f>
        <v>Fandi Nurhayati</v>
      </c>
      <c r="E271" s="6" t="str">
        <f t="array" ref="E271">IFERROR(INDEX(user_table!$E$2:$E3686,MATCH(C271,user_table!$B$2:$B3686,0)),"")
</f>
        <v>3, 2</v>
      </c>
      <c r="F271" s="6" t="str">
        <f t="shared" si="2"/>
        <v>15311582</v>
      </c>
      <c r="G271" s="8">
        <v>1.0</v>
      </c>
      <c r="H271" s="9">
        <v>45226.0</v>
      </c>
      <c r="I271" s="10" t="s">
        <v>278</v>
      </c>
    </row>
    <row r="272">
      <c r="A272" s="5" t="str">
        <f t="array" ref="A272">INDEX(event_table!$A$2:$A$69, RANDBETWEEN(1, COUNTA(event_table!$A$2:$A$69)))</f>
        <v>1651</v>
      </c>
      <c r="B272" s="6">
        <f t="array" ref="B272">IFERROR(INDEX(event_table!$E$1:$E3686,MATCH(A272,event_table!$A$1:$A3686,0)),"")
</f>
        <v>6</v>
      </c>
      <c r="C272" s="7">
        <f t="shared" si="1"/>
        <v>150</v>
      </c>
      <c r="D272" s="6" t="str">
        <f t="array" ref="D272">IFERROR(INDEX(user_table!$C$2:$C3686,MATCH(C272,user_table!$B$2:$B3686,0)),"")
</f>
        <v>Dina Susanto</v>
      </c>
      <c r="E272" s="6" t="str">
        <f t="array" ref="E272">IFERROR(INDEX(user_table!$E$2:$E3686,MATCH(C272,user_table!$B$2:$B3686,0)),"")
</f>
        <v>2, 6</v>
      </c>
      <c r="F272" s="6" t="str">
        <f t="shared" si="2"/>
        <v>165116150</v>
      </c>
      <c r="G272" s="8">
        <v>1.0</v>
      </c>
      <c r="H272" s="9">
        <v>45167.0</v>
      </c>
      <c r="I272" s="10" t="s">
        <v>279</v>
      </c>
    </row>
    <row r="273">
      <c r="A273" s="5" t="str">
        <f t="array" ref="A273">INDEX(event_table!$A$2:$A$69, RANDBETWEEN(1, COUNTA(event_table!$A$2:$A$69)))</f>
        <v>3169</v>
      </c>
      <c r="B273" s="6">
        <f t="array" ref="B273">IFERROR(INDEX(event_table!$E$1:$E3686,MATCH(A273,event_table!$A$1:$A3686,0)),"")
</f>
        <v>1</v>
      </c>
      <c r="C273" s="7">
        <f t="shared" si="1"/>
        <v>49</v>
      </c>
      <c r="D273" s="6" t="str">
        <f t="array" ref="D273">IFERROR(INDEX(user_table!$C$2:$C3686,MATCH(C273,user_table!$B$2:$B3686,0)),"")
</f>
        <v>Fajar Hidayat</v>
      </c>
      <c r="E273" s="6" t="str">
        <f t="array" ref="E273">IFERROR(INDEX(user_table!$E$2:$E3686,MATCH(C273,user_table!$B$2:$B3686,0)),"")
</f>
        <v>3, 1</v>
      </c>
      <c r="F273" s="6" t="str">
        <f t="shared" si="2"/>
        <v>31691149</v>
      </c>
      <c r="G273" s="8">
        <v>1.0</v>
      </c>
      <c r="H273" s="9">
        <v>45213.0</v>
      </c>
      <c r="I273" s="10" t="s">
        <v>280</v>
      </c>
    </row>
    <row r="274">
      <c r="A274" s="5" t="str">
        <f t="array" ref="A274">INDEX(event_table!$A$2:$A$69, RANDBETWEEN(1, COUNTA(event_table!$A$2:$A$69)))</f>
        <v>1647</v>
      </c>
      <c r="B274" s="6">
        <f t="array" ref="B274">IFERROR(INDEX(event_table!$E$1:$E3686,MATCH(A274,event_table!$A$1:$A3686,0)),"")
</f>
        <v>6</v>
      </c>
      <c r="C274" s="7">
        <f t="shared" si="1"/>
        <v>29</v>
      </c>
      <c r="D274" s="6" t="str">
        <f t="array" ref="D274">IFERROR(INDEX(user_table!$C$2:$C3686,MATCH(C274,user_table!$B$2:$B3686,0)),"")
</f>
        <v>Bambang Putri</v>
      </c>
      <c r="E274" s="6" t="str">
        <f t="array" ref="E274">IFERROR(INDEX(user_table!$E$2:$E3686,MATCH(C274,user_table!$B$2:$B3686,0)),"")
</f>
        <v>3, 4</v>
      </c>
      <c r="F274" s="6" t="str">
        <f t="shared" si="2"/>
        <v>16471629</v>
      </c>
      <c r="G274" s="8">
        <v>1.0</v>
      </c>
      <c r="H274" s="9">
        <v>45256.0</v>
      </c>
      <c r="I274" s="10" t="s">
        <v>281</v>
      </c>
    </row>
    <row r="275">
      <c r="A275" s="5" t="str">
        <f t="array" ref="A275">INDEX(event_table!$A$2:$A$69, RANDBETWEEN(1, COUNTA(event_table!$A$2:$A$69)))</f>
        <v>1333</v>
      </c>
      <c r="B275" s="6">
        <f t="array" ref="B275">IFERROR(INDEX(event_table!$E$1:$E3686,MATCH(A275,event_table!$A$1:$A3686,0)),"")
</f>
        <v>3</v>
      </c>
      <c r="C275" s="7">
        <f t="shared" si="1"/>
        <v>150</v>
      </c>
      <c r="D275" s="6" t="str">
        <f t="array" ref="D275">IFERROR(INDEX(user_table!$C$2:$C3686,MATCH(C275,user_table!$B$2:$B3686,0)),"")
</f>
        <v>Dina Susanto</v>
      </c>
      <c r="E275" s="6" t="str">
        <f t="array" ref="E275">IFERROR(INDEX(user_table!$E$2:$E3686,MATCH(C275,user_table!$B$2:$B3686,0)),"")
</f>
        <v>2, 6</v>
      </c>
      <c r="F275" s="6" t="str">
        <f t="shared" si="2"/>
        <v>133313150</v>
      </c>
      <c r="G275" s="8">
        <v>1.0</v>
      </c>
      <c r="H275" s="9">
        <v>45164.0</v>
      </c>
      <c r="I275" s="10" t="s">
        <v>282</v>
      </c>
    </row>
    <row r="276">
      <c r="A276" s="5" t="str">
        <f t="array" ref="A276">INDEX(event_table!$A$2:$A$69, RANDBETWEEN(1, COUNTA(event_table!$A$2:$A$69)))</f>
        <v>3162</v>
      </c>
      <c r="B276" s="6">
        <f t="array" ref="B276">IFERROR(INDEX(event_table!$E$1:$E3686,MATCH(A276,event_table!$A$1:$A3686,0)),"")
</f>
        <v>1</v>
      </c>
      <c r="C276" s="7">
        <f t="shared" si="1"/>
        <v>179</v>
      </c>
      <c r="D276" s="6" t="str">
        <f t="array" ref="D276">IFERROR(INDEX(user_table!$C$2:$C3686,MATCH(C276,user_table!$B$2:$B3686,0)),"")
</f>
        <v>Andi Susanto</v>
      </c>
      <c r="E276" s="6" t="str">
        <f t="array" ref="E276">IFERROR(INDEX(user_table!$E$2:$E3686,MATCH(C276,user_table!$B$2:$B3686,0)),"")
</f>
        <v>1, 6</v>
      </c>
      <c r="F276" s="6" t="str">
        <f t="shared" si="2"/>
        <v>316211179</v>
      </c>
      <c r="G276" s="8">
        <v>1.0</v>
      </c>
      <c r="H276" s="9">
        <v>45144.0</v>
      </c>
      <c r="I276" s="10" t="s">
        <v>283</v>
      </c>
    </row>
    <row r="277">
      <c r="A277" s="5" t="str">
        <f t="array" ref="A277">INDEX(event_table!$A$2:$A$69, RANDBETWEEN(1, COUNTA(event_table!$A$2:$A$69)))</f>
        <v>1648</v>
      </c>
      <c r="B277" s="6">
        <f t="array" ref="B277">IFERROR(INDEX(event_table!$E$1:$E3686,MATCH(A277,event_table!$A$1:$A3686,0)),"")
</f>
        <v>6</v>
      </c>
      <c r="C277" s="7">
        <f t="shared" si="1"/>
        <v>194</v>
      </c>
      <c r="D277" s="6" t="str">
        <f t="array" ref="D277">IFERROR(INDEX(user_table!$C$2:$C3686,MATCH(C277,user_table!$B$2:$B3686,0)),"")
</f>
        <v>Andi Putri</v>
      </c>
      <c r="E277" s="6" t="str">
        <f t="array" ref="E277">IFERROR(INDEX(user_table!$E$2:$E3686,MATCH(C277,user_table!$B$2:$B3686,0)),"")
</f>
        <v>4, 4</v>
      </c>
      <c r="F277" s="6" t="str">
        <f t="shared" si="2"/>
        <v>164816194</v>
      </c>
      <c r="G277" s="8">
        <v>1.0</v>
      </c>
      <c r="H277" s="9">
        <v>45132.0</v>
      </c>
      <c r="I277" s="10" t="s">
        <v>284</v>
      </c>
    </row>
    <row r="278">
      <c r="A278" s="5" t="str">
        <f t="array" ref="A278">INDEX(event_table!$A$2:$A$69, RANDBETWEEN(1, COUNTA(event_table!$A$2:$A$69)))</f>
        <v>111</v>
      </c>
      <c r="B278" s="6">
        <f t="array" ref="B278">IFERROR(INDEX(event_table!$E$1:$E3686,MATCH(A278,event_table!$A$1:$A3686,0)),"")
</f>
        <v>1</v>
      </c>
      <c r="C278" s="7">
        <f t="shared" si="1"/>
        <v>193</v>
      </c>
      <c r="D278" s="6" t="str">
        <f t="array" ref="D278">IFERROR(INDEX(user_table!$C$2:$C3686,MATCH(C278,user_table!$B$2:$B3686,0)),"")
</f>
        <v>Dina Wijaya</v>
      </c>
      <c r="E278" s="6" t="str">
        <f t="array" ref="E278">IFERROR(INDEX(user_table!$E$2:$E3686,MATCH(C278,user_table!$B$2:$B3686,0)),"")
</f>
        <v>4, 5</v>
      </c>
      <c r="F278" s="6" t="str">
        <f t="shared" si="2"/>
        <v>11111193</v>
      </c>
      <c r="G278" s="8">
        <v>1.0</v>
      </c>
      <c r="H278" s="9">
        <v>45127.0</v>
      </c>
      <c r="I278" s="10" t="s">
        <v>285</v>
      </c>
    </row>
    <row r="279">
      <c r="A279" s="5" t="str">
        <f t="array" ref="A279">INDEX(event_table!$A$2:$A$69, RANDBETWEEN(1, COUNTA(event_table!$A$2:$A$69)))</f>
        <v>119</v>
      </c>
      <c r="B279" s="6">
        <f t="array" ref="B279">IFERROR(INDEX(event_table!$E$1:$E3686,MATCH(A279,event_table!$A$1:$A3686,0)),"")
</f>
        <v>1</v>
      </c>
      <c r="C279" s="7">
        <f t="shared" si="1"/>
        <v>110</v>
      </c>
      <c r="D279" s="6" t="str">
        <f t="array" ref="D279">IFERROR(INDEX(user_table!$C$2:$C3686,MATCH(C279,user_table!$B$2:$B3686,0)),"")
</f>
        <v>Fajar Wijaya</v>
      </c>
      <c r="E279" s="6" t="str">
        <f t="array" ref="E279">IFERROR(INDEX(user_table!$E$2:$E3686,MATCH(C279,user_table!$B$2:$B3686,0)),"")
</f>
        <v>3, 6</v>
      </c>
      <c r="F279" s="6" t="str">
        <f t="shared" si="2"/>
        <v>11911110</v>
      </c>
      <c r="G279" s="8">
        <v>1.0</v>
      </c>
      <c r="H279" s="9">
        <v>45098.0</v>
      </c>
      <c r="I279" s="10" t="s">
        <v>286</v>
      </c>
    </row>
    <row r="280">
      <c r="A280" s="5" t="str">
        <f t="array" ref="A280">INDEX(event_table!$A$2:$A$69, RANDBETWEEN(1, COUNTA(event_table!$A$2:$A$69)))</f>
        <v>1334</v>
      </c>
      <c r="B280" s="6">
        <f t="array" ref="B280">IFERROR(INDEX(event_table!$E$1:$E3686,MATCH(A280,event_table!$A$1:$A3686,0)),"")
</f>
        <v>3</v>
      </c>
      <c r="C280" s="7">
        <f t="shared" si="1"/>
        <v>45</v>
      </c>
      <c r="D280" s="6" t="str">
        <f t="array" ref="D280">IFERROR(INDEX(user_table!$C$2:$C3686,MATCH(C280,user_table!$B$2:$B3686,0)),"")
</f>
        <v>Siti Kurniawan</v>
      </c>
      <c r="E280" s="6" t="str">
        <f t="array" ref="E280">IFERROR(INDEX(user_table!$E$2:$E3686,MATCH(C280,user_table!$B$2:$B3686,0)),"")
</f>
        <v>1, 1</v>
      </c>
      <c r="F280" s="6" t="str">
        <f t="shared" si="2"/>
        <v>13341345</v>
      </c>
      <c r="G280" s="8">
        <v>1.0</v>
      </c>
      <c r="H280" s="9">
        <v>45090.0</v>
      </c>
      <c r="I280" s="10" t="s">
        <v>287</v>
      </c>
    </row>
    <row r="281">
      <c r="A281" s="5" t="str">
        <f t="array" ref="A281">INDEX(event_table!$A$2:$A$69, RANDBETWEEN(1, COUNTA(event_table!$A$2:$A$69)))</f>
        <v>1110</v>
      </c>
      <c r="B281" s="6">
        <f t="array" ref="B281">IFERROR(INDEX(event_table!$E$1:$E3686,MATCH(A281,event_table!$A$1:$A3686,0)),"")
</f>
        <v>1</v>
      </c>
      <c r="C281" s="7">
        <f t="shared" si="1"/>
        <v>96</v>
      </c>
      <c r="D281" s="6" t="str">
        <f t="array" ref="D281">IFERROR(INDEX(user_table!$C$2:$C3686,MATCH(C281,user_table!$B$2:$B3686,0)),"")
</f>
        <v>Budi Sari</v>
      </c>
      <c r="E281" s="6" t="str">
        <f t="array" ref="E281">IFERROR(INDEX(user_table!$E$2:$E3686,MATCH(C281,user_table!$B$2:$B3686,0)),"")
</f>
        <v>3, 2</v>
      </c>
      <c r="F281" s="6" t="str">
        <f t="shared" si="2"/>
        <v>11101196</v>
      </c>
      <c r="G281" s="8">
        <v>1.0</v>
      </c>
      <c r="H281" s="9">
        <v>45080.0</v>
      </c>
      <c r="I281" s="10" t="s">
        <v>288</v>
      </c>
    </row>
    <row r="282">
      <c r="A282" s="5" t="str">
        <f t="array" ref="A282">INDEX(event_table!$A$2:$A$69, RANDBETWEEN(1, COUNTA(event_table!$A$2:$A$69)))</f>
        <v>1651</v>
      </c>
      <c r="B282" s="6">
        <f t="array" ref="B282">IFERROR(INDEX(event_table!$E$1:$E3686,MATCH(A282,event_table!$A$1:$A3686,0)),"")
</f>
        <v>6</v>
      </c>
      <c r="C282" s="7">
        <f t="shared" si="1"/>
        <v>131</v>
      </c>
      <c r="D282" s="6" t="str">
        <f t="array" ref="D282">IFERROR(INDEX(user_table!$C$2:$C3686,MATCH(C282,user_table!$B$2:$B3686,0)),"")
</f>
        <v>Dian Purnama</v>
      </c>
      <c r="E282" s="6" t="str">
        <f t="array" ref="E282">IFERROR(INDEX(user_table!$E$2:$E3686,MATCH(C282,user_table!$B$2:$B3686,0)),"")
</f>
        <v>3, 5</v>
      </c>
      <c r="F282" s="6" t="str">
        <f t="shared" si="2"/>
        <v>165116131</v>
      </c>
      <c r="G282" s="8">
        <v>1.0</v>
      </c>
      <c r="H282" s="9">
        <v>45050.0</v>
      </c>
      <c r="I282" s="10" t="s">
        <v>289</v>
      </c>
    </row>
    <row r="283">
      <c r="A283" s="5" t="str">
        <f t="array" ref="A283">INDEX(event_table!$A$2:$A$69, RANDBETWEEN(1, COUNTA(event_table!$A$2:$A$69)))</f>
        <v>3165</v>
      </c>
      <c r="B283" s="6">
        <f t="array" ref="B283">IFERROR(INDEX(event_table!$E$1:$E3686,MATCH(A283,event_table!$A$1:$A3686,0)),"")
</f>
        <v>1</v>
      </c>
      <c r="C283" s="7">
        <f t="shared" si="1"/>
        <v>80</v>
      </c>
      <c r="D283" s="6" t="str">
        <f t="array" ref="D283">IFERROR(INDEX(user_table!$C$2:$C3686,MATCH(C283,user_table!$B$2:$B3686,0)),"")
</f>
        <v>Sinta Susanto</v>
      </c>
      <c r="E283" s="6" t="str">
        <f t="array" ref="E283">IFERROR(INDEX(user_table!$E$2:$E3686,MATCH(C283,user_table!$B$2:$B3686,0)),"")
</f>
        <v>5, 2</v>
      </c>
      <c r="F283" s="6" t="str">
        <f t="shared" si="2"/>
        <v>31655180</v>
      </c>
      <c r="G283" s="8">
        <v>5.0</v>
      </c>
      <c r="H283" s="9">
        <v>44747.0</v>
      </c>
      <c r="I283" s="10" t="s">
        <v>290</v>
      </c>
    </row>
    <row r="284">
      <c r="A284" s="5" t="str">
        <f t="array" ref="A284">INDEX(event_table!$A$2:$A$69, RANDBETWEEN(1, COUNTA(event_table!$A$2:$A$69)))</f>
        <v>1648</v>
      </c>
      <c r="B284" s="6">
        <f t="array" ref="B284">IFERROR(INDEX(event_table!$E$1:$E3686,MATCH(A284,event_table!$A$1:$A3686,0)),"")
</f>
        <v>6</v>
      </c>
      <c r="C284" s="7">
        <f t="shared" si="1"/>
        <v>8</v>
      </c>
      <c r="D284" s="6" t="str">
        <f t="array" ref="D284">IFERROR(INDEX(user_table!$C$2:$C3686,MATCH(C284,user_table!$B$2:$B3686,0)),"")
</f>
        <v>Bambang Kurniawan</v>
      </c>
      <c r="E284" s="6" t="str">
        <f t="array" ref="E284">IFERROR(INDEX(user_table!$E$2:$E3686,MATCH(C284,user_table!$B$2:$B3686,0)),"")
</f>
        <v>2, 1</v>
      </c>
      <c r="F284" s="6" t="str">
        <f t="shared" si="2"/>
        <v>1648568</v>
      </c>
      <c r="G284" s="8">
        <v>5.0</v>
      </c>
      <c r="H284" s="9">
        <v>44745.0</v>
      </c>
      <c r="I284" s="10" t="s">
        <v>291</v>
      </c>
    </row>
    <row r="285">
      <c r="A285" s="5" t="str">
        <f t="array" ref="A285">INDEX(event_table!$A$2:$A$69, RANDBETWEEN(1, COUNTA(event_table!$A$2:$A$69)))</f>
        <v>111</v>
      </c>
      <c r="B285" s="6">
        <f t="array" ref="B285">IFERROR(INDEX(event_table!$E$1:$E3686,MATCH(A285,event_table!$A$1:$A3686,0)),"")
</f>
        <v>1</v>
      </c>
      <c r="C285" s="7">
        <f t="shared" si="1"/>
        <v>84</v>
      </c>
      <c r="D285" s="6" t="str">
        <f t="array" ref="D285">IFERROR(INDEX(user_table!$C$2:$C3686,MATCH(C285,user_table!$B$2:$B3686,0)),"")
</f>
        <v>Budi Hermawan</v>
      </c>
      <c r="E285" s="6" t="str">
        <f t="array" ref="E285">IFERROR(INDEX(user_table!$E$2:$E3686,MATCH(C285,user_table!$B$2:$B3686,0)),"")
</f>
        <v>5, 5</v>
      </c>
      <c r="F285" s="6" t="str">
        <f t="shared" si="2"/>
        <v>1115184</v>
      </c>
      <c r="G285" s="8">
        <v>5.0</v>
      </c>
      <c r="H285" s="9">
        <v>44745.0</v>
      </c>
      <c r="I285" s="10" t="s">
        <v>292</v>
      </c>
    </row>
    <row r="286">
      <c r="A286" s="5" t="str">
        <f t="array" ref="A286">INDEX(event_table!$A$2:$A$69, RANDBETWEEN(1, COUNTA(event_table!$A$2:$A$69)))</f>
        <v>1643</v>
      </c>
      <c r="B286" s="6">
        <f t="array" ref="B286">IFERROR(INDEX(event_table!$E$1:$E3686,MATCH(A286,event_table!$A$1:$A3686,0)),"")
</f>
        <v>6</v>
      </c>
      <c r="C286" s="7">
        <f t="shared" si="1"/>
        <v>6</v>
      </c>
      <c r="D286" s="6" t="str">
        <f t="array" ref="D286">IFERROR(INDEX(user_table!$C$2:$C3686,MATCH(C286,user_table!$B$2:$B3686,0)),"")
</f>
        <v>Arif Putri</v>
      </c>
      <c r="E286" s="6" t="str">
        <f t="array" ref="E286">IFERROR(INDEX(user_table!$E$2:$E3686,MATCH(C286,user_table!$B$2:$B3686,0)),"")
</f>
        <v>5, 2</v>
      </c>
      <c r="F286" s="6" t="str">
        <f t="shared" si="2"/>
        <v>1643566</v>
      </c>
      <c r="G286" s="8">
        <v>5.0</v>
      </c>
      <c r="H286" s="9">
        <v>44738.0</v>
      </c>
      <c r="I286" s="10" t="s">
        <v>293</v>
      </c>
    </row>
    <row r="287">
      <c r="A287" s="5" t="str">
        <f t="array" ref="A287">INDEX(event_table!$A$2:$A$69, RANDBETWEEN(1, COUNTA(event_table!$A$2:$A$69)))</f>
        <v>118</v>
      </c>
      <c r="B287" s="6">
        <f t="array" ref="B287">IFERROR(INDEX(event_table!$E$1:$E3686,MATCH(A287,event_table!$A$1:$A3686,0)),"")
</f>
        <v>1</v>
      </c>
      <c r="C287" s="7">
        <f t="shared" si="1"/>
        <v>54</v>
      </c>
      <c r="D287" s="6" t="str">
        <f t="array" ref="D287">IFERROR(INDEX(user_table!$C$2:$C3686,MATCH(C287,user_table!$B$2:$B3686,0)),"")
</f>
        <v>Andi Kurniawan</v>
      </c>
      <c r="E287" s="6" t="str">
        <f t="array" ref="E287">IFERROR(INDEX(user_table!$E$2:$E3686,MATCH(C287,user_table!$B$2:$B3686,0)),"")
</f>
        <v>4, 4</v>
      </c>
      <c r="F287" s="6" t="str">
        <f t="shared" si="2"/>
        <v>1185154</v>
      </c>
      <c r="G287" s="8">
        <v>5.0</v>
      </c>
      <c r="H287" s="9">
        <v>44731.0</v>
      </c>
      <c r="I287" s="10" t="s">
        <v>294</v>
      </c>
    </row>
    <row r="288">
      <c r="A288" s="5" t="str">
        <f t="array" ref="A288">INDEX(event_table!$A$2:$A$69, RANDBETWEEN(1, COUNTA(event_table!$A$2:$A$69)))</f>
        <v>1638</v>
      </c>
      <c r="B288" s="6">
        <f t="array" ref="B288">IFERROR(INDEX(event_table!$E$1:$E3686,MATCH(A288,event_table!$A$1:$A3686,0)),"")
</f>
        <v>6</v>
      </c>
      <c r="C288" s="7">
        <f t="shared" si="1"/>
        <v>142</v>
      </c>
      <c r="D288" s="6" t="str">
        <f t="array" ref="D288">IFERROR(INDEX(user_table!$C$2:$C3686,MATCH(C288,user_table!$B$2:$B3686,0)),"")
</f>
        <v>Siti Rahayu</v>
      </c>
      <c r="E288" s="6" t="str">
        <f t="array" ref="E288">IFERROR(INDEX(user_table!$E$2:$E3686,MATCH(C288,user_table!$B$2:$B3686,0)),"")
</f>
        <v>6, 3</v>
      </c>
      <c r="F288" s="6" t="str">
        <f t="shared" si="2"/>
        <v>163856142</v>
      </c>
      <c r="G288" s="8">
        <v>5.0</v>
      </c>
      <c r="H288" s="9">
        <v>44727.0</v>
      </c>
      <c r="I288" s="10" t="s">
        <v>295</v>
      </c>
    </row>
    <row r="289">
      <c r="A289" s="5" t="str">
        <f t="array" ref="A289">INDEX(event_table!$A$2:$A$69, RANDBETWEEN(1, COUNTA(event_table!$A$2:$A$69)))</f>
        <v>1423</v>
      </c>
      <c r="B289" s="6">
        <f t="array" ref="B289">IFERROR(INDEX(event_table!$E$1:$E3686,MATCH(A289,event_table!$A$1:$A3686,0)),"")
</f>
        <v>4</v>
      </c>
      <c r="C289" s="7">
        <f t="shared" si="1"/>
        <v>72</v>
      </c>
      <c r="D289" s="6" t="str">
        <f t="array" ref="D289">IFERROR(INDEX(user_table!$C$2:$C3686,MATCH(C289,user_table!$B$2:$B3686,0)),"")
</f>
        <v>Wahyu Kurniawan</v>
      </c>
      <c r="E289" s="6" t="str">
        <f t="array" ref="E289">IFERROR(INDEX(user_table!$E$2:$E3686,MATCH(C289,user_table!$B$2:$B3686,0)),"")
</f>
        <v>5, 3</v>
      </c>
      <c r="F289" s="6" t="str">
        <f t="shared" si="2"/>
        <v>14235472</v>
      </c>
      <c r="G289" s="8">
        <v>5.0</v>
      </c>
      <c r="H289" s="9">
        <v>44725.0</v>
      </c>
      <c r="I289" s="10" t="s">
        <v>296</v>
      </c>
    </row>
    <row r="290">
      <c r="A290" s="5" t="str">
        <f t="array" ref="A290">INDEX(event_table!$A$2:$A$69, RANDBETWEEN(1, COUNTA(event_table!$A$2:$A$69)))</f>
        <v>1529</v>
      </c>
      <c r="B290" s="6">
        <f t="array" ref="B290">IFERROR(INDEX(event_table!$E$1:$E3686,MATCH(A290,event_table!$A$1:$A3686,0)),"")
</f>
        <v>5</v>
      </c>
      <c r="C290" s="7">
        <f t="shared" si="1"/>
        <v>48</v>
      </c>
      <c r="D290" s="6" t="str">
        <f t="array" ref="D290">IFERROR(INDEX(user_table!$C$2:$C3686,MATCH(C290,user_table!$B$2:$B3686,0)),"")
</f>
        <v>Maya Kusuma</v>
      </c>
      <c r="E290" s="6" t="str">
        <f t="array" ref="E290">IFERROR(INDEX(user_table!$E$2:$E3686,MATCH(C290,user_table!$B$2:$B3686,0)),"")
</f>
        <v>2, 3</v>
      </c>
      <c r="F290" s="6" t="str">
        <f t="shared" si="2"/>
        <v>15295548</v>
      </c>
      <c r="G290" s="8">
        <v>5.0</v>
      </c>
      <c r="H290" s="9">
        <v>44725.0</v>
      </c>
      <c r="I290" s="10" t="s">
        <v>297</v>
      </c>
    </row>
    <row r="291">
      <c r="A291" s="5" t="str">
        <f t="array" ref="A291">INDEX(event_table!$A$2:$A$69, RANDBETWEEN(1, COUNTA(event_table!$A$2:$A$69)))</f>
        <v>1422</v>
      </c>
      <c r="B291" s="6">
        <f t="array" ref="B291">IFERROR(INDEX(event_table!$E$1:$E3686,MATCH(A291,event_table!$A$1:$A3686,0)),"")
</f>
        <v>4</v>
      </c>
      <c r="C291" s="7">
        <f t="shared" si="1"/>
        <v>104</v>
      </c>
      <c r="D291" s="6" t="str">
        <f t="array" ref="D291">IFERROR(INDEX(user_table!$C$2:$C3686,MATCH(C291,user_table!$B$2:$B3686,0)),"")
</f>
        <v>Fajar Utami</v>
      </c>
      <c r="E291" s="6" t="str">
        <f t="array" ref="E291">IFERROR(INDEX(user_table!$E$2:$E3686,MATCH(C291,user_table!$B$2:$B3686,0)),"")
</f>
        <v>2, 5</v>
      </c>
      <c r="F291" s="6" t="str">
        <f t="shared" si="2"/>
        <v>142254104</v>
      </c>
      <c r="G291" s="8">
        <v>5.0</v>
      </c>
      <c r="H291" s="9">
        <v>44706.0</v>
      </c>
      <c r="I291" s="10" t="s">
        <v>298</v>
      </c>
    </row>
    <row r="292">
      <c r="A292" s="5" t="str">
        <f t="array" ref="A292">INDEX(event_table!$A$2:$A$69, RANDBETWEEN(1, COUNTA(event_table!$A$2:$A$69)))</f>
        <v>3162</v>
      </c>
      <c r="B292" s="6">
        <f t="array" ref="B292">IFERROR(INDEX(event_table!$E$1:$E3686,MATCH(A292,event_table!$A$1:$A3686,0)),"")
</f>
        <v>1</v>
      </c>
      <c r="C292" s="7">
        <f t="shared" si="1"/>
        <v>29</v>
      </c>
      <c r="D292" s="6" t="str">
        <f t="array" ref="D292">IFERROR(INDEX(user_table!$C$2:$C3686,MATCH(C292,user_table!$B$2:$B3686,0)),"")
</f>
        <v>Bambang Putri</v>
      </c>
      <c r="E292" s="6" t="str">
        <f t="array" ref="E292">IFERROR(INDEX(user_table!$E$2:$E3686,MATCH(C292,user_table!$B$2:$B3686,0)),"")
</f>
        <v>3, 4</v>
      </c>
      <c r="F292" s="6" t="str">
        <f t="shared" si="2"/>
        <v>31625129</v>
      </c>
      <c r="G292" s="8">
        <v>5.0</v>
      </c>
      <c r="H292" s="9">
        <v>44698.0</v>
      </c>
      <c r="I292" s="10" t="s">
        <v>299</v>
      </c>
    </row>
    <row r="293">
      <c r="A293" s="5" t="str">
        <f t="array" ref="A293">INDEX(event_table!$A$2:$A$69, RANDBETWEEN(1, COUNTA(event_table!$A$2:$A$69)))</f>
        <v>1649</v>
      </c>
      <c r="B293" s="6">
        <f t="array" ref="B293">IFERROR(INDEX(event_table!$E$1:$E3686,MATCH(A293,event_table!$A$1:$A3686,0)),"")
</f>
        <v>6</v>
      </c>
      <c r="C293" s="7">
        <f t="shared" si="1"/>
        <v>181</v>
      </c>
      <c r="D293" s="6" t="str">
        <f t="array" ref="D293">IFERROR(INDEX(user_table!$C$2:$C3686,MATCH(C293,user_table!$B$2:$B3686,0)),"")
</f>
        <v>Andi Hadiwijaya</v>
      </c>
      <c r="E293" s="6" t="str">
        <f t="array" ref="E293">IFERROR(INDEX(user_table!$E$2:$E3686,MATCH(C293,user_table!$B$2:$B3686,0)),"")
</f>
        <v>3, 2</v>
      </c>
      <c r="F293" s="6" t="str">
        <f t="shared" si="2"/>
        <v>164956181</v>
      </c>
      <c r="G293" s="8">
        <v>5.0</v>
      </c>
      <c r="H293" s="9">
        <v>44698.0</v>
      </c>
      <c r="I293" s="10" t="s">
        <v>300</v>
      </c>
    </row>
    <row r="294">
      <c r="A294" s="5" t="str">
        <f t="array" ref="A294">INDEX(event_table!$A$2:$A$69, RANDBETWEEN(1, COUNTA(event_table!$A$2:$A$69)))</f>
        <v>1335</v>
      </c>
      <c r="B294" s="6">
        <f t="array" ref="B294">IFERROR(INDEX(event_table!$E$1:$E3686,MATCH(A294,event_table!$A$1:$A3686,0)),"")
</f>
        <v>3</v>
      </c>
      <c r="C294" s="7">
        <f t="shared" si="1"/>
        <v>81</v>
      </c>
      <c r="D294" s="6" t="str">
        <f t="array" ref="D294">IFERROR(INDEX(user_table!$C$2:$C3686,MATCH(C294,user_table!$B$2:$B3686,0)),"")
</f>
        <v>Lina Rahayu</v>
      </c>
      <c r="E294" s="6" t="str">
        <f t="array" ref="E294">IFERROR(INDEX(user_table!$E$2:$E3686,MATCH(C294,user_table!$B$2:$B3686,0)),"")
</f>
        <v>2, 1</v>
      </c>
      <c r="F294" s="6" t="str">
        <f t="shared" si="2"/>
        <v>13355381</v>
      </c>
      <c r="G294" s="8">
        <v>5.0</v>
      </c>
      <c r="H294" s="9">
        <v>45025.0</v>
      </c>
      <c r="I294" s="10" t="s">
        <v>301</v>
      </c>
    </row>
    <row r="295">
      <c r="A295" s="5" t="str">
        <f t="array" ref="A295">INDEX(event_table!$A$2:$A$69, RANDBETWEEN(1, COUNTA(event_table!$A$2:$A$69)))</f>
        <v>1335</v>
      </c>
      <c r="B295" s="6">
        <f t="array" ref="B295">IFERROR(INDEX(event_table!$E$1:$E3686,MATCH(A295,event_table!$A$1:$A3686,0)),"")
</f>
        <v>3</v>
      </c>
      <c r="C295" s="7">
        <f t="shared" si="1"/>
        <v>114</v>
      </c>
      <c r="D295" s="6" t="str">
        <f t="array" ref="D295">IFERROR(INDEX(user_table!$C$2:$C3686,MATCH(C295,user_table!$B$2:$B3686,0)),"")
</f>
        <v>Ani Sari</v>
      </c>
      <c r="E295" s="6" t="str">
        <f t="array" ref="E295">IFERROR(INDEX(user_table!$E$2:$E3686,MATCH(C295,user_table!$B$2:$B3686,0)),"")
</f>
        <v>4, 3</v>
      </c>
      <c r="F295" s="6" t="str">
        <f t="shared" si="2"/>
        <v>133553114</v>
      </c>
      <c r="G295" s="8">
        <v>5.0</v>
      </c>
      <c r="H295" s="9">
        <v>44951.0</v>
      </c>
      <c r="I295" s="10" t="s">
        <v>302</v>
      </c>
    </row>
    <row r="296">
      <c r="A296" s="5" t="str">
        <f t="array" ref="A296">INDEX(event_table!$A$2:$A$69, RANDBETWEEN(1, COUNTA(event_table!$A$2:$A$69)))</f>
        <v>1639</v>
      </c>
      <c r="B296" s="6">
        <f t="array" ref="B296">IFERROR(INDEX(event_table!$E$1:$E3686,MATCH(A296,event_table!$A$1:$A3686,0)),"")
</f>
        <v>6</v>
      </c>
      <c r="C296" s="7">
        <f t="shared" si="1"/>
        <v>96</v>
      </c>
      <c r="D296" s="6" t="str">
        <f t="array" ref="D296">IFERROR(INDEX(user_table!$C$2:$C3686,MATCH(C296,user_table!$B$2:$B3686,0)),"")
</f>
        <v>Budi Sari</v>
      </c>
      <c r="E296" s="6" t="str">
        <f t="array" ref="E296">IFERROR(INDEX(user_table!$E$2:$E3686,MATCH(C296,user_table!$B$2:$B3686,0)),"")
</f>
        <v>3, 2</v>
      </c>
      <c r="F296" s="6" t="str">
        <f t="shared" si="2"/>
        <v>16395696</v>
      </c>
      <c r="G296" s="8">
        <v>5.0</v>
      </c>
      <c r="H296" s="9">
        <v>44940.0</v>
      </c>
      <c r="I296" s="10" t="s">
        <v>303</v>
      </c>
    </row>
    <row r="297">
      <c r="A297" s="5" t="str">
        <f t="array" ref="A297">INDEX(event_table!$A$2:$A$69, RANDBETWEEN(1, COUNTA(event_table!$A$2:$A$69)))</f>
        <v>1313</v>
      </c>
      <c r="B297" s="6">
        <f t="array" ref="B297">IFERROR(INDEX(event_table!$E$1:$E3686,MATCH(A297,event_table!$A$1:$A3686,0)),"")
</f>
        <v>3</v>
      </c>
      <c r="C297" s="7">
        <f t="shared" si="1"/>
        <v>25</v>
      </c>
      <c r="D297" s="6" t="str">
        <f t="array" ref="D297">IFERROR(INDEX(user_table!$C$2:$C3686,MATCH(C297,user_table!$B$2:$B3686,0)),"")
</f>
        <v>Agus Hartono</v>
      </c>
      <c r="E297" s="6" t="str">
        <f t="array" ref="E297">IFERROR(INDEX(user_table!$E$2:$E3686,MATCH(C297,user_table!$B$2:$B3686,0)),"")
</f>
        <v>6, 3</v>
      </c>
      <c r="F297" s="6" t="str">
        <f t="shared" si="2"/>
        <v>13135325</v>
      </c>
      <c r="G297" s="8">
        <v>5.0</v>
      </c>
      <c r="H297" s="9">
        <v>44896.0</v>
      </c>
      <c r="I297" s="10" t="s">
        <v>304</v>
      </c>
    </row>
    <row r="298">
      <c r="A298" s="5" t="str">
        <f t="array" ref="A298">INDEX(event_table!$A$2:$A$69, RANDBETWEEN(1, COUNTA(event_table!$A$2:$A$69)))</f>
        <v>1646</v>
      </c>
      <c r="B298" s="6">
        <f t="array" ref="B298">IFERROR(INDEX(event_table!$E$1:$E3686,MATCH(A298,event_table!$A$1:$A3686,0)),"")
</f>
        <v>6</v>
      </c>
      <c r="C298" s="7">
        <f t="shared" si="1"/>
        <v>16</v>
      </c>
      <c r="D298" s="6" t="str">
        <f t="array" ref="D298">IFERROR(INDEX(user_table!$C$2:$C3686,MATCH(C298,user_table!$B$2:$B3686,0)),"")
</f>
        <v>Siti Utami</v>
      </c>
      <c r="E298" s="6" t="str">
        <f t="array" ref="E298">IFERROR(INDEX(user_table!$E$2:$E3686,MATCH(C298,user_table!$B$2:$B3686,0)),"")
</f>
        <v>1, 2</v>
      </c>
      <c r="F298" s="6" t="str">
        <f t="shared" si="2"/>
        <v>16465616</v>
      </c>
      <c r="G298" s="8">
        <v>5.0</v>
      </c>
      <c r="H298" s="9">
        <v>44720.0</v>
      </c>
      <c r="I298" s="10" t="s">
        <v>305</v>
      </c>
    </row>
    <row r="299">
      <c r="A299" s="5" t="str">
        <f t="array" ref="A299">INDEX(event_table!$A$2:$A$69, RANDBETWEEN(1, COUNTA(event_table!$A$2:$A$69)))</f>
        <v>3454</v>
      </c>
      <c r="B299" s="6">
        <f t="array" ref="B299">IFERROR(INDEX(event_table!$E$1:$E3686,MATCH(A299,event_table!$A$1:$A3686,0)),"")
</f>
        <v>4</v>
      </c>
      <c r="C299" s="7">
        <f t="shared" si="1"/>
        <v>2</v>
      </c>
      <c r="D299" s="6" t="str">
        <f t="array" ref="D299">IFERROR(INDEX(user_table!$C$2:$C3686,MATCH(C299,user_table!$B$2:$B3686,0)),"")
</f>
        <v>Dian Putri</v>
      </c>
      <c r="E299" s="6" t="str">
        <f t="array" ref="E299">IFERROR(INDEX(user_table!$E$2:$E3686,MATCH(C299,user_table!$B$2:$B3686,0)),"")
</f>
        <v>1, 6</v>
      </c>
      <c r="F299" s="6" t="str">
        <f t="shared" si="2"/>
        <v>3454542</v>
      </c>
      <c r="G299" s="8">
        <v>5.0</v>
      </c>
      <c r="H299" s="9">
        <v>44691.0</v>
      </c>
      <c r="I299" s="10" t="s">
        <v>306</v>
      </c>
    </row>
    <row r="300">
      <c r="A300" s="5" t="str">
        <f t="array" ref="A300">INDEX(event_table!$A$2:$A$69, RANDBETWEEN(1, COUNTA(event_table!$A$2:$A$69)))</f>
        <v>1644</v>
      </c>
      <c r="B300" s="6">
        <f t="array" ref="B300">IFERROR(INDEX(event_table!$E$1:$E3686,MATCH(A300,event_table!$A$1:$A3686,0)),"")
</f>
        <v>6</v>
      </c>
      <c r="C300" s="7">
        <f t="shared" si="1"/>
        <v>101</v>
      </c>
      <c r="D300" s="6" t="str">
        <f t="array" ref="D300">IFERROR(INDEX(user_table!$C$2:$C3686,MATCH(C300,user_table!$B$2:$B3686,0)),"")
</f>
        <v>Maya Hadiwijaya</v>
      </c>
      <c r="E300" s="6" t="str">
        <f t="array" ref="E300">IFERROR(INDEX(user_table!$E$2:$E3686,MATCH(C300,user_table!$B$2:$B3686,0)),"")
</f>
        <v>5, 4</v>
      </c>
      <c r="F300" s="6" t="str">
        <f t="shared" si="2"/>
        <v>164446101</v>
      </c>
      <c r="G300" s="8">
        <v>4.0</v>
      </c>
      <c r="H300" s="9">
        <v>45232.0</v>
      </c>
      <c r="I300" s="10" t="s">
        <v>307</v>
      </c>
    </row>
    <row r="301">
      <c r="A301" s="5" t="str">
        <f t="array" ref="A301">INDEX(event_table!$A$2:$A$69, RANDBETWEEN(1, COUNTA(event_table!$A$2:$A$69)))</f>
        <v>1553</v>
      </c>
      <c r="B301" s="6">
        <f t="array" ref="B301">IFERROR(INDEX(event_table!$E$1:$E3686,MATCH(A301,event_table!$A$1:$A3686,0)),"")
</f>
        <v>5</v>
      </c>
      <c r="C301" s="7">
        <f t="shared" si="1"/>
        <v>178</v>
      </c>
      <c r="D301" s="6" t="str">
        <f t="array" ref="D301">IFERROR(INDEX(user_table!$C$2:$C3686,MATCH(C301,user_table!$B$2:$B3686,0)),"")
</f>
        <v>Dewi Hidayat</v>
      </c>
      <c r="E301" s="6" t="str">
        <f t="array" ref="E301">IFERROR(INDEX(user_table!$E$2:$E3686,MATCH(C301,user_table!$B$2:$B3686,0)),"")
</f>
        <v>3, 2</v>
      </c>
      <c r="F301" s="6" t="str">
        <f t="shared" si="2"/>
        <v>155345178</v>
      </c>
      <c r="G301" s="8">
        <v>4.0</v>
      </c>
      <c r="H301" s="9">
        <v>44930.0</v>
      </c>
      <c r="I301" s="10" t="s">
        <v>308</v>
      </c>
    </row>
    <row r="302">
      <c r="A302" s="5" t="str">
        <f t="array" ref="A302">INDEX(event_table!$A$2:$A$69, RANDBETWEEN(1, COUNTA(event_table!$A$2:$A$69)))</f>
        <v>1425</v>
      </c>
      <c r="B302" s="6">
        <f t="array" ref="B302">IFERROR(INDEX(event_table!$E$1:$E3686,MATCH(A302,event_table!$A$1:$A3686,0)),"")
</f>
        <v>4</v>
      </c>
      <c r="C302" s="7">
        <f t="shared" si="1"/>
        <v>41</v>
      </c>
      <c r="D302" s="6" t="str">
        <f t="array" ref="D302">IFERROR(INDEX(user_table!$C$2:$C3686,MATCH(C302,user_table!$B$2:$B3686,0)),"")
</f>
        <v>Wahyu Susanto</v>
      </c>
      <c r="E302" s="6" t="str">
        <f t="array" ref="E302">IFERROR(INDEX(user_table!$E$2:$E3686,MATCH(C302,user_table!$B$2:$B3686,0)),"")
</f>
        <v>5, 4</v>
      </c>
      <c r="F302" s="6" t="str">
        <f t="shared" si="2"/>
        <v>14254441</v>
      </c>
      <c r="G302" s="8">
        <v>4.0</v>
      </c>
      <c r="H302" s="9">
        <v>44722.0</v>
      </c>
      <c r="I302" s="10" t="s">
        <v>309</v>
      </c>
    </row>
    <row r="303">
      <c r="A303" s="5" t="str">
        <f t="array" ref="A303">INDEX(event_table!$A$2:$A$69, RANDBETWEEN(1, COUNTA(event_table!$A$2:$A$69)))</f>
        <v>3170</v>
      </c>
      <c r="B303" s="6">
        <f t="array" ref="B303">IFERROR(INDEX(event_table!$E$1:$E3686,MATCH(A303,event_table!$A$1:$A3686,0)),"")
</f>
        <v>1</v>
      </c>
      <c r="C303" s="7">
        <f t="shared" si="1"/>
        <v>41</v>
      </c>
      <c r="D303" s="6" t="str">
        <f t="array" ref="D303">IFERROR(INDEX(user_table!$C$2:$C3686,MATCH(C303,user_table!$B$2:$B3686,0)),"")
</f>
        <v>Wahyu Susanto</v>
      </c>
      <c r="E303" s="6" t="str">
        <f t="array" ref="E303">IFERROR(INDEX(user_table!$E$2:$E3686,MATCH(C303,user_table!$B$2:$B3686,0)),"")
</f>
        <v>5, 4</v>
      </c>
      <c r="F303" s="6" t="str">
        <f t="shared" si="2"/>
        <v>31704141</v>
      </c>
      <c r="G303" s="8">
        <v>4.0</v>
      </c>
      <c r="H303" s="9">
        <v>44998.0</v>
      </c>
      <c r="I303" s="10" t="s">
        <v>310</v>
      </c>
    </row>
    <row r="304">
      <c r="A304" s="5" t="str">
        <f t="array" ref="A304">INDEX(event_table!$A$2:$A$69, RANDBETWEEN(1, COUNTA(event_table!$A$2:$A$69)))</f>
        <v>1334</v>
      </c>
      <c r="B304" s="6">
        <f t="array" ref="B304">IFERROR(INDEX(event_table!$E$1:$E3686,MATCH(A304,event_table!$A$1:$A3686,0)),"")
</f>
        <v>3</v>
      </c>
      <c r="C304" s="7">
        <f t="shared" si="1"/>
        <v>186</v>
      </c>
      <c r="D304" s="6" t="str">
        <f t="array" ref="D304">IFERROR(INDEX(user_table!$C$2:$C3686,MATCH(C304,user_table!$B$2:$B3686,0)),"")
</f>
        <v>Budi Wijaya</v>
      </c>
      <c r="E304" s="6" t="str">
        <f t="array" ref="E304">IFERROR(INDEX(user_table!$E$2:$E3686,MATCH(C304,user_table!$B$2:$B3686,0)),"")
</f>
        <v>1, 4</v>
      </c>
      <c r="F304" s="6" t="str">
        <f t="shared" si="2"/>
        <v>133443186</v>
      </c>
      <c r="G304" s="8">
        <v>4.0</v>
      </c>
      <c r="H304" s="9">
        <v>45149.0</v>
      </c>
      <c r="I304" s="10" t="s">
        <v>311</v>
      </c>
    </row>
    <row r="305">
      <c r="A305" s="5" t="str">
        <f t="array" ref="A305">INDEX(event_table!$A$2:$A$69, RANDBETWEEN(1, COUNTA(event_table!$A$2:$A$69)))</f>
        <v>3170</v>
      </c>
      <c r="B305" s="6">
        <f t="array" ref="B305">IFERROR(INDEX(event_table!$E$1:$E3686,MATCH(A305,event_table!$A$1:$A3686,0)),"")
</f>
        <v>1</v>
      </c>
      <c r="C305" s="7">
        <f t="shared" si="1"/>
        <v>137</v>
      </c>
      <c r="D305" s="6" t="str">
        <f t="array" ref="D305">IFERROR(INDEX(user_table!$C$2:$C3686,MATCH(C305,user_table!$B$2:$B3686,0)),"")
</f>
        <v>Dina Pratama</v>
      </c>
      <c r="E305" s="6" t="str">
        <f t="array" ref="E305">IFERROR(INDEX(user_table!$E$2:$E3686,MATCH(C305,user_table!$B$2:$B3686,0)),"")
</f>
        <v>4, 4</v>
      </c>
      <c r="F305" s="6" t="str">
        <f t="shared" si="2"/>
        <v>317041137</v>
      </c>
      <c r="G305" s="8">
        <v>4.0</v>
      </c>
      <c r="H305" s="9">
        <v>44835.0</v>
      </c>
      <c r="I305" s="10" t="s">
        <v>312</v>
      </c>
    </row>
    <row r="306">
      <c r="A306" s="5" t="str">
        <f t="array" ref="A306">INDEX(event_table!$A$2:$A$69, RANDBETWEEN(1, COUNTA(event_table!$A$2:$A$69)))</f>
        <v>1530</v>
      </c>
      <c r="B306" s="6">
        <f t="array" ref="B306">IFERROR(INDEX(event_table!$E$1:$E3686,MATCH(A306,event_table!$A$1:$A3686,0)),"")
</f>
        <v>5</v>
      </c>
      <c r="C306" s="7">
        <f t="shared" si="1"/>
        <v>91</v>
      </c>
      <c r="D306" s="6" t="str">
        <f t="array" ref="D306">IFERROR(INDEX(user_table!$C$2:$C3686,MATCH(C306,user_table!$B$2:$B3686,0)),"")
</f>
        <v>Bambang Wijaya</v>
      </c>
      <c r="E306" s="6" t="str">
        <f t="array" ref="E306">IFERROR(INDEX(user_table!$E$2:$E3686,MATCH(C306,user_table!$B$2:$B3686,0)),"")
</f>
        <v>1, 2</v>
      </c>
      <c r="F306" s="6" t="str">
        <f t="shared" si="2"/>
        <v>15304591</v>
      </c>
      <c r="G306" s="8">
        <v>4.0</v>
      </c>
      <c r="H306" s="9">
        <v>44778.0</v>
      </c>
      <c r="I306" s="10" t="s">
        <v>313</v>
      </c>
    </row>
    <row r="307">
      <c r="A307" s="5" t="str">
        <f t="array" ref="A307">INDEX(event_table!$A$2:$A$69, RANDBETWEEN(1, COUNTA(event_table!$A$2:$A$69)))</f>
        <v>122</v>
      </c>
      <c r="B307" s="6">
        <f t="array" ref="B307">IFERROR(INDEX(event_table!$E$1:$E3686,MATCH(A307,event_table!$A$1:$A3686,0)),"")
</f>
        <v>2</v>
      </c>
      <c r="C307" s="7">
        <f t="shared" si="1"/>
        <v>36</v>
      </c>
      <c r="D307" s="6" t="str">
        <f t="array" ref="D307">IFERROR(INDEX(user_table!$C$2:$C3686,MATCH(C307,user_table!$B$2:$B3686,0)),"")
</f>
        <v>Arif Susanto</v>
      </c>
      <c r="E307" s="6" t="str">
        <f t="array" ref="E307">IFERROR(INDEX(user_table!$E$2:$E3686,MATCH(C307,user_table!$B$2:$B3686,0)),"")
</f>
        <v>3, 5</v>
      </c>
      <c r="F307" s="6" t="str">
        <f t="shared" si="2"/>
        <v>1224236</v>
      </c>
      <c r="G307" s="8">
        <v>4.0</v>
      </c>
      <c r="H307" s="9">
        <v>44756.0</v>
      </c>
      <c r="I307" s="10" t="s">
        <v>314</v>
      </c>
    </row>
    <row r="308">
      <c r="A308" s="5" t="str">
        <f t="array" ref="A308">INDEX(event_table!$A$2:$A$69, RANDBETWEEN(1, COUNTA(event_table!$A$2:$A$69)))</f>
        <v>1640</v>
      </c>
      <c r="B308" s="6">
        <f t="array" ref="B308">IFERROR(INDEX(event_table!$E$1:$E3686,MATCH(A308,event_table!$A$1:$A3686,0)),"")
</f>
        <v>6</v>
      </c>
      <c r="C308" s="7">
        <f t="shared" si="1"/>
        <v>17</v>
      </c>
      <c r="D308" s="6" t="str">
        <f t="array" ref="D308">IFERROR(INDEX(user_table!$C$2:$C3686,MATCH(C308,user_table!$B$2:$B3686,0)),"")
</f>
        <v>Fajar Wijaya</v>
      </c>
      <c r="E308" s="6" t="str">
        <f t="array" ref="E308">IFERROR(INDEX(user_table!$E$2:$E3686,MATCH(C308,user_table!$B$2:$B3686,0)),"")
</f>
        <v>1, 1</v>
      </c>
      <c r="F308" s="6" t="str">
        <f t="shared" si="2"/>
        <v>16404617</v>
      </c>
      <c r="G308" s="8">
        <v>4.0</v>
      </c>
      <c r="H308" s="9">
        <v>44732.0</v>
      </c>
      <c r="I308" s="10" t="s">
        <v>315</v>
      </c>
    </row>
    <row r="309">
      <c r="A309" s="5" t="str">
        <f t="array" ref="A309">INDEX(event_table!$A$2:$A$69, RANDBETWEEN(1, COUNTA(event_table!$A$2:$A$69)))</f>
        <v>1637</v>
      </c>
      <c r="B309" s="6">
        <f t="array" ref="B309">IFERROR(INDEX(event_table!$E$1:$E3686,MATCH(A309,event_table!$A$1:$A3686,0)),"")
</f>
        <v>6</v>
      </c>
      <c r="C309" s="7">
        <f t="shared" si="1"/>
        <v>94</v>
      </c>
      <c r="D309" s="6" t="str">
        <f t="array" ref="D309">IFERROR(INDEX(user_table!$C$2:$C3686,MATCH(C309,user_table!$B$2:$B3686,0)),"")
</f>
        <v>Ani Susanto</v>
      </c>
      <c r="E309" s="6" t="str">
        <f t="array" ref="E309">IFERROR(INDEX(user_table!$E$2:$E3686,MATCH(C309,user_table!$B$2:$B3686,0)),"")
</f>
        <v>2, 4</v>
      </c>
      <c r="F309" s="6" t="str">
        <f t="shared" si="2"/>
        <v>16374694</v>
      </c>
      <c r="G309" s="8">
        <v>4.0</v>
      </c>
      <c r="H309" s="9">
        <v>44712.0</v>
      </c>
      <c r="I309" s="10" t="s">
        <v>316</v>
      </c>
    </row>
    <row r="310">
      <c r="A310" s="5" t="str">
        <f t="array" ref="A310">INDEX(event_table!$A$2:$A$69, RANDBETWEEN(1, COUNTA(event_table!$A$2:$A$69)))</f>
        <v>116</v>
      </c>
      <c r="B310" s="6">
        <f t="array" ref="B310">IFERROR(INDEX(event_table!$E$1:$E3686,MATCH(A310,event_table!$A$1:$A3686,0)),"")
</f>
        <v>1</v>
      </c>
      <c r="C310" s="7">
        <f t="shared" si="1"/>
        <v>187</v>
      </c>
      <c r="D310" s="6" t="str">
        <f t="array" ref="D310">IFERROR(INDEX(user_table!$C$2:$C3686,MATCH(C310,user_table!$B$2:$B3686,0)),"")
</f>
        <v>Bambang Saputra</v>
      </c>
      <c r="E310" s="6" t="str">
        <f t="array" ref="E310">IFERROR(INDEX(user_table!$E$2:$E3686,MATCH(C310,user_table!$B$2:$B3686,0)),"")
</f>
        <v>3, 1</v>
      </c>
      <c r="F310" s="6" t="str">
        <f t="shared" si="2"/>
        <v>11641187</v>
      </c>
      <c r="G310" s="8">
        <v>4.0</v>
      </c>
      <c r="H310" s="9">
        <v>44687.0</v>
      </c>
      <c r="I310" s="10" t="s">
        <v>317</v>
      </c>
    </row>
    <row r="311">
      <c r="A311" s="5" t="str">
        <f t="array" ref="A311">INDEX(event_table!$A$2:$A$69, RANDBETWEEN(1, COUNTA(event_table!$A$2:$A$69)))</f>
        <v>1644</v>
      </c>
      <c r="B311" s="6">
        <f t="array" ref="B311">IFERROR(INDEX(event_table!$E$1:$E3686,MATCH(A311,event_table!$A$1:$A3686,0)),"")
</f>
        <v>6</v>
      </c>
      <c r="C311" s="7">
        <f t="shared" si="1"/>
        <v>73</v>
      </c>
      <c r="D311" s="6" t="str">
        <f t="array" ref="D311">IFERROR(INDEX(user_table!$C$2:$C3686,MATCH(C311,user_table!$B$2:$B3686,0)),"")
</f>
        <v>Hadi Santoso</v>
      </c>
      <c r="E311" s="6" t="str">
        <f t="array" ref="E311">IFERROR(INDEX(user_table!$E$2:$E3686,MATCH(C311,user_table!$B$2:$B3686,0)),"")
</f>
        <v>6, 3</v>
      </c>
      <c r="F311" s="6" t="str">
        <f t="shared" si="2"/>
        <v>16444673</v>
      </c>
      <c r="G311" s="8">
        <v>4.0</v>
      </c>
      <c r="H311" s="9">
        <v>45251.0</v>
      </c>
      <c r="I311" s="10" t="s">
        <v>318</v>
      </c>
    </row>
    <row r="312">
      <c r="A312" s="5" t="str">
        <f t="array" ref="A312">INDEX(event_table!$A$2:$A$69, RANDBETWEEN(1, COUNTA(event_table!$A$2:$A$69)))</f>
        <v>118</v>
      </c>
      <c r="B312" s="6">
        <f t="array" ref="B312">IFERROR(INDEX(event_table!$E$1:$E3686,MATCH(A312,event_table!$A$1:$A3686,0)),"")
</f>
        <v>1</v>
      </c>
      <c r="C312" s="7">
        <f t="shared" si="1"/>
        <v>199</v>
      </c>
      <c r="D312" s="6" t="str">
        <f t="array" ref="D312">IFERROR(INDEX(user_table!$C$2:$C3686,MATCH(C312,user_table!$B$2:$B3686,0)),"")
</f>
        <v>Rudi Putri</v>
      </c>
      <c r="E312" s="6" t="str">
        <f t="array" ref="E312">IFERROR(INDEX(user_table!$E$2:$E3686,MATCH(C312,user_table!$B$2:$B3686,0)),"")
</f>
        <v>2, 1</v>
      </c>
      <c r="F312" s="6" t="str">
        <f t="shared" si="2"/>
        <v>11841199</v>
      </c>
      <c r="G312" s="8">
        <v>4.0</v>
      </c>
      <c r="H312" s="9">
        <v>44725.0</v>
      </c>
      <c r="I312" s="10" t="s">
        <v>319</v>
      </c>
    </row>
    <row r="313">
      <c r="A313" s="5" t="str">
        <f t="array" ref="A313">INDEX(event_table!$A$2:$A$69, RANDBETWEEN(1, COUNTA(event_table!$A$2:$A$69)))</f>
        <v>3170</v>
      </c>
      <c r="B313" s="6">
        <f t="array" ref="B313">IFERROR(INDEX(event_table!$E$1:$E3686,MATCH(A313,event_table!$A$1:$A3686,0)),"")
</f>
        <v>1</v>
      </c>
      <c r="C313" s="7">
        <f t="shared" si="1"/>
        <v>150</v>
      </c>
      <c r="D313" s="6" t="str">
        <f t="array" ref="D313">IFERROR(INDEX(user_table!$C$2:$C3686,MATCH(C313,user_table!$B$2:$B3686,0)),"")
</f>
        <v>Dina Susanto</v>
      </c>
      <c r="E313" s="6" t="str">
        <f t="array" ref="E313">IFERROR(INDEX(user_table!$E$2:$E3686,MATCH(C313,user_table!$B$2:$B3686,0)),"")
</f>
        <v>2, 6</v>
      </c>
      <c r="F313" s="6" t="str">
        <f t="shared" si="2"/>
        <v>317041150</v>
      </c>
      <c r="G313" s="8">
        <v>4.0</v>
      </c>
      <c r="H313" s="9">
        <v>44710.0</v>
      </c>
      <c r="I313" s="10" t="s">
        <v>320</v>
      </c>
    </row>
    <row r="314">
      <c r="A314" s="5" t="str">
        <f t="array" ref="A314">INDEX(event_table!$A$2:$A$69, RANDBETWEEN(1, COUNTA(event_table!$A$2:$A$69)))</f>
        <v>1641</v>
      </c>
      <c r="B314" s="6">
        <f t="array" ref="B314">IFERROR(INDEX(event_table!$E$1:$E3686,MATCH(A314,event_table!$A$1:$A3686,0)),"")
</f>
        <v>6</v>
      </c>
      <c r="C314" s="7">
        <f t="shared" si="1"/>
        <v>88</v>
      </c>
      <c r="D314" s="6" t="str">
        <f t="array" ref="D314">IFERROR(INDEX(user_table!$C$2:$C3686,MATCH(C314,user_table!$B$2:$B3686,0)),"")
</f>
        <v>Fajar Hadiwijaya</v>
      </c>
      <c r="E314" s="6" t="str">
        <f t="array" ref="E314">IFERROR(INDEX(user_table!$E$2:$E3686,MATCH(C314,user_table!$B$2:$B3686,0)),"")
</f>
        <v>2, 6</v>
      </c>
      <c r="F314" s="6" t="str">
        <f t="shared" si="2"/>
        <v>16414688</v>
      </c>
      <c r="G314" s="8">
        <v>4.0</v>
      </c>
      <c r="H314" s="9">
        <v>44699.0</v>
      </c>
      <c r="I314" s="10" t="s">
        <v>321</v>
      </c>
    </row>
    <row r="315">
      <c r="A315" s="5" t="str">
        <f t="array" ref="A315">INDEX(event_table!$A$2:$A$69, RANDBETWEEN(1, COUNTA(event_table!$A$2:$A$69)))</f>
        <v>1424</v>
      </c>
      <c r="B315" s="6">
        <f t="array" ref="B315">IFERROR(INDEX(event_table!$E$1:$E3686,MATCH(A315,event_table!$A$1:$A3686,0)),"")
</f>
        <v>4</v>
      </c>
      <c r="C315" s="7">
        <f t="shared" si="1"/>
        <v>20</v>
      </c>
      <c r="D315" s="6" t="str">
        <f t="array" ref="D315">IFERROR(INDEX(user_table!$C$2:$C3686,MATCH(C315,user_table!$B$2:$B3686,0)),"")
</f>
        <v>Arif Septiani</v>
      </c>
      <c r="E315" s="6" t="str">
        <f t="array" ref="E315">IFERROR(INDEX(user_table!$E$2:$E3686,MATCH(C315,user_table!$B$2:$B3686,0)),"")
</f>
        <v>6, 3</v>
      </c>
      <c r="F315" s="6" t="str">
        <f t="shared" si="2"/>
        <v>14243420</v>
      </c>
      <c r="G315" s="8">
        <v>3.0</v>
      </c>
      <c r="H315" s="9">
        <v>45095.0</v>
      </c>
      <c r="I315" s="10" t="s">
        <v>322</v>
      </c>
    </row>
    <row r="316">
      <c r="A316" s="5" t="str">
        <f t="array" ref="A316">INDEX(event_table!$A$2:$A$69, RANDBETWEEN(1, COUNTA(event_table!$A$2:$A$69)))</f>
        <v>3168</v>
      </c>
      <c r="B316" s="6">
        <f t="array" ref="B316">IFERROR(INDEX(event_table!$E$1:$E3686,MATCH(A316,event_table!$A$1:$A3686,0)),"")
</f>
        <v>1</v>
      </c>
      <c r="C316" s="7">
        <f t="shared" si="1"/>
        <v>104</v>
      </c>
      <c r="D316" s="6" t="str">
        <f t="array" ref="D316">IFERROR(INDEX(user_table!$C$2:$C3686,MATCH(C316,user_table!$B$2:$B3686,0)),"")
</f>
        <v>Fajar Utami</v>
      </c>
      <c r="E316" s="6" t="str">
        <f t="array" ref="E316">IFERROR(INDEX(user_table!$E$2:$E3686,MATCH(C316,user_table!$B$2:$B3686,0)),"")
</f>
        <v>2, 5</v>
      </c>
      <c r="F316" s="6" t="str">
        <f t="shared" si="2"/>
        <v>316831104</v>
      </c>
      <c r="G316" s="8">
        <v>3.0</v>
      </c>
      <c r="H316" s="9">
        <v>44752.0</v>
      </c>
      <c r="I316" s="10" t="s">
        <v>323</v>
      </c>
    </row>
    <row r="317">
      <c r="A317" s="5" t="str">
        <f t="array" ref="A317">INDEX(event_table!$A$2:$A$69, RANDBETWEEN(1, COUNTA(event_table!$A$2:$A$69)))</f>
        <v>111</v>
      </c>
      <c r="B317" s="6">
        <f t="array" ref="B317">IFERROR(INDEX(event_table!$E$1:$E3686,MATCH(A317,event_table!$A$1:$A3686,0)),"")
</f>
        <v>1</v>
      </c>
      <c r="C317" s="7">
        <f t="shared" si="1"/>
        <v>97</v>
      </c>
      <c r="D317" s="6" t="str">
        <f t="array" ref="D317">IFERROR(INDEX(user_table!$C$2:$C3686,MATCH(C317,user_table!$B$2:$B3686,0)),"")
</f>
        <v>Dewi Hidayat</v>
      </c>
      <c r="E317" s="6" t="str">
        <f t="array" ref="E317">IFERROR(INDEX(user_table!$E$2:$E3686,MATCH(C317,user_table!$B$2:$B3686,0)),"")
</f>
        <v>2, 2</v>
      </c>
      <c r="F317" s="6" t="str">
        <f t="shared" si="2"/>
        <v>1113197</v>
      </c>
      <c r="G317" s="8">
        <v>3.0</v>
      </c>
      <c r="H317" s="9">
        <v>44687.0</v>
      </c>
      <c r="I317" s="10" t="s">
        <v>324</v>
      </c>
    </row>
    <row r="318">
      <c r="A318" s="5" t="str">
        <f t="array" ref="A318">INDEX(event_table!$A$2:$A$69, RANDBETWEEN(1, COUNTA(event_table!$A$2:$A$69)))</f>
        <v>1423</v>
      </c>
      <c r="B318" s="6">
        <f t="array" ref="B318">IFERROR(INDEX(event_table!$E$1:$E3686,MATCH(A318,event_table!$A$1:$A3686,0)),"")
</f>
        <v>4</v>
      </c>
      <c r="C318" s="7">
        <f t="shared" si="1"/>
        <v>90</v>
      </c>
      <c r="D318" s="6" t="str">
        <f t="array" ref="D318">IFERROR(INDEX(user_table!$C$2:$C3686,MATCH(C318,user_table!$B$2:$B3686,0)),"")
</f>
        <v>Dina Saputra</v>
      </c>
      <c r="E318" s="6" t="str">
        <f t="array" ref="E318">IFERROR(INDEX(user_table!$E$2:$E3686,MATCH(C318,user_table!$B$2:$B3686,0)),"")
</f>
        <v>1, 2</v>
      </c>
      <c r="F318" s="6" t="str">
        <f t="shared" si="2"/>
        <v>14233490</v>
      </c>
      <c r="G318" s="8">
        <v>3.0</v>
      </c>
      <c r="H318" s="9">
        <v>45242.0</v>
      </c>
      <c r="I318" s="10" t="s">
        <v>325</v>
      </c>
    </row>
    <row r="319">
      <c r="A319" s="5" t="str">
        <f t="array" ref="A319">INDEX(event_table!$A$2:$A$69, RANDBETWEEN(1, COUNTA(event_table!$A$2:$A$69)))</f>
        <v>3658</v>
      </c>
      <c r="B319" s="6">
        <f t="array" ref="B319">IFERROR(INDEX(event_table!$E$1:$E3686,MATCH(A319,event_table!$A$1:$A3686,0)),"")
</f>
        <v>6</v>
      </c>
      <c r="C319" s="7">
        <f t="shared" si="1"/>
        <v>10</v>
      </c>
      <c r="D319" s="6" t="str">
        <f t="array" ref="D319">IFERROR(INDEX(user_table!$C$2:$C3686,MATCH(C319,user_table!$B$2:$B3686,0)),"")
</f>
        <v>Dina Susanto</v>
      </c>
      <c r="E319" s="6" t="str">
        <f t="array" ref="E319">IFERROR(INDEX(user_table!$E$2:$E3686,MATCH(C319,user_table!$B$2:$B3686,0)),"")
</f>
        <v>4, 5</v>
      </c>
      <c r="F319" s="6" t="str">
        <f t="shared" si="2"/>
        <v>36583610</v>
      </c>
      <c r="G319" s="8">
        <v>3.0</v>
      </c>
      <c r="H319" s="9">
        <v>45239.0</v>
      </c>
      <c r="I319" s="10" t="s">
        <v>326</v>
      </c>
    </row>
    <row r="320">
      <c r="A320" s="5" t="str">
        <f t="array" ref="A320">INDEX(event_table!$A$2:$A$69, RANDBETWEEN(1, COUNTA(event_table!$A$2:$A$69)))</f>
        <v>1335</v>
      </c>
      <c r="B320" s="6">
        <f t="array" ref="B320">IFERROR(INDEX(event_table!$E$1:$E3686,MATCH(A320,event_table!$A$1:$A3686,0)),"")
</f>
        <v>3</v>
      </c>
      <c r="C320" s="7">
        <f t="shared" si="1"/>
        <v>142</v>
      </c>
      <c r="D320" s="6" t="str">
        <f t="array" ref="D320">IFERROR(INDEX(user_table!$C$2:$C3686,MATCH(C320,user_table!$B$2:$B3686,0)),"")
</f>
        <v>Siti Rahayu</v>
      </c>
      <c r="E320" s="6" t="str">
        <f t="array" ref="E320">IFERROR(INDEX(user_table!$E$2:$E3686,MATCH(C320,user_table!$B$2:$B3686,0)),"")
</f>
        <v>6, 3</v>
      </c>
      <c r="F320" s="6" t="str">
        <f t="shared" si="2"/>
        <v>133533142</v>
      </c>
      <c r="G320" s="8">
        <v>3.0</v>
      </c>
      <c r="H320" s="9">
        <v>45165.0</v>
      </c>
      <c r="I320" s="10" t="s">
        <v>327</v>
      </c>
    </row>
    <row r="321">
      <c r="A321" s="5" t="str">
        <f t="array" ref="A321">INDEX(event_table!$A$2:$A$69, RANDBETWEEN(1, COUNTA(event_table!$A$2:$A$69)))</f>
        <v>3658</v>
      </c>
      <c r="B321" s="6">
        <f t="array" ref="B321">IFERROR(INDEX(event_table!$E$1:$E3686,MATCH(A321,event_table!$A$1:$A3686,0)),"")
</f>
        <v>6</v>
      </c>
      <c r="C321" s="7">
        <f t="shared" si="1"/>
        <v>157</v>
      </c>
      <c r="D321" s="6" t="str">
        <f t="array" ref="D321">IFERROR(INDEX(user_table!$C$2:$C3686,MATCH(C321,user_table!$B$2:$B3686,0)),"")
</f>
        <v>Ani Susanto</v>
      </c>
      <c r="E321" s="6" t="str">
        <f t="array" ref="E321">IFERROR(INDEX(user_table!$E$2:$E3686,MATCH(C321,user_table!$B$2:$B3686,0)),"")
</f>
        <v>4, 1</v>
      </c>
      <c r="F321" s="6" t="str">
        <f t="shared" si="2"/>
        <v>365826157</v>
      </c>
      <c r="G321" s="8">
        <v>2.0</v>
      </c>
      <c r="H321" s="9">
        <v>45138.0</v>
      </c>
      <c r="I321" s="10" t="s">
        <v>328</v>
      </c>
    </row>
    <row r="322">
      <c r="A322" s="5" t="str">
        <f t="array" ref="A322">INDEX(event_table!$A$2:$A$69, RANDBETWEEN(1, COUNTA(event_table!$A$2:$A$69)))</f>
        <v>3164</v>
      </c>
      <c r="B322" s="6">
        <f t="array" ref="B322">IFERROR(INDEX(event_table!$E$1:$E3686,MATCH(A322,event_table!$A$1:$A3686,0)),"")
</f>
        <v>1</v>
      </c>
      <c r="C322" s="7">
        <f t="shared" si="1"/>
        <v>103</v>
      </c>
      <c r="D322" s="6" t="str">
        <f t="array" ref="D322">IFERROR(INDEX(user_table!$C$2:$C3686,MATCH(C322,user_table!$B$2:$B3686,0)),"")
</f>
        <v>Hadi Sari</v>
      </c>
      <c r="E322" s="6" t="str">
        <f t="array" ref="E322">IFERROR(INDEX(user_table!$E$2:$E3686,MATCH(C322,user_table!$B$2:$B3686,0)),"")
</f>
        <v>3, 1</v>
      </c>
      <c r="F322" s="6" t="str">
        <f t="shared" si="2"/>
        <v>316421103</v>
      </c>
      <c r="G322" s="8">
        <v>2.0</v>
      </c>
      <c r="H322" s="9">
        <v>44410.0</v>
      </c>
      <c r="I322" s="10" t="s">
        <v>329</v>
      </c>
    </row>
    <row r="323">
      <c r="A323" s="5" t="str">
        <f t="array" ref="A323">INDEX(event_table!$A$2:$A$69, RANDBETWEEN(1, COUNTA(event_table!$A$2:$A$69)))</f>
        <v>1553</v>
      </c>
      <c r="B323" s="6">
        <f t="array" ref="B323">IFERROR(INDEX(event_table!$E$1:$E3686,MATCH(A323,event_table!$A$1:$A3686,0)),"")
</f>
        <v>5</v>
      </c>
      <c r="C323" s="7">
        <f t="shared" si="1"/>
        <v>151</v>
      </c>
      <c r="D323" s="6" t="str">
        <f t="array" ref="D323">IFERROR(INDEX(user_table!$C$2:$C3686,MATCH(C323,user_table!$B$2:$B3686,0)),"")
</f>
        <v>Maya Hidayat</v>
      </c>
      <c r="E323" s="6" t="str">
        <f t="array" ref="E323">IFERROR(INDEX(user_table!$E$2:$E3686,MATCH(C323,user_table!$B$2:$B3686,0)),"")
</f>
        <v>2, 3</v>
      </c>
      <c r="F323" s="6" t="str">
        <f t="shared" si="2"/>
        <v>155325151</v>
      </c>
      <c r="G323" s="8">
        <v>2.0</v>
      </c>
      <c r="H323" s="9">
        <v>44404.0</v>
      </c>
      <c r="I323" s="10" t="s">
        <v>330</v>
      </c>
    </row>
    <row r="324">
      <c r="A324" s="5" t="str">
        <f t="array" ref="A324">INDEX(event_table!$A$2:$A$69, RANDBETWEEN(1, COUNTA(event_table!$A$2:$A$69)))</f>
        <v>3454</v>
      </c>
      <c r="B324" s="6">
        <f t="array" ref="B324">IFERROR(INDEX(event_table!$E$1:$E3686,MATCH(A324,event_table!$A$1:$A3686,0)),"")
</f>
        <v>4</v>
      </c>
      <c r="C324" s="7">
        <f t="shared" si="1"/>
        <v>12</v>
      </c>
      <c r="D324" s="6" t="str">
        <f t="array" ref="D324">IFERROR(INDEX(user_table!$C$2:$C3686,MATCH(C324,user_table!$B$2:$B3686,0)),"")
</f>
        <v>Joko Susanto</v>
      </c>
      <c r="E324" s="6" t="str">
        <f t="array" ref="E324">IFERROR(INDEX(user_table!$E$2:$E3686,MATCH(C324,user_table!$B$2:$B3686,0)),"")
</f>
        <v>4, 2</v>
      </c>
      <c r="F324" s="6" t="str">
        <f t="shared" si="2"/>
        <v>34542412</v>
      </c>
      <c r="G324" s="8">
        <v>2.0</v>
      </c>
      <c r="H324" s="9">
        <v>45241.0</v>
      </c>
      <c r="I324" s="10" t="s">
        <v>331</v>
      </c>
    </row>
    <row r="325">
      <c r="A325" s="5" t="str">
        <f t="array" ref="A325">INDEX(event_table!$A$2:$A$69, RANDBETWEEN(1, COUNTA(event_table!$A$2:$A$69)))</f>
        <v>3170</v>
      </c>
      <c r="B325" s="6">
        <f t="array" ref="B325">IFERROR(INDEX(event_table!$E$1:$E3686,MATCH(A325,event_table!$A$1:$A3686,0)),"")
</f>
        <v>1</v>
      </c>
      <c r="C325" s="7">
        <f t="shared" si="1"/>
        <v>43</v>
      </c>
      <c r="D325" s="6" t="str">
        <f t="array" ref="D325">IFERROR(INDEX(user_table!$C$2:$C3686,MATCH(C325,user_table!$B$2:$B3686,0)),"")
</f>
        <v>Lina Putri</v>
      </c>
      <c r="E325" s="6" t="str">
        <f t="array" ref="E325">IFERROR(INDEX(user_table!$E$2:$E3686,MATCH(C325,user_table!$B$2:$B3686,0)),"")
</f>
        <v>1, 6</v>
      </c>
      <c r="F325" s="6" t="str">
        <f t="shared" si="2"/>
        <v>31702143</v>
      </c>
      <c r="G325" s="8">
        <v>2.0</v>
      </c>
      <c r="H325" s="9">
        <v>45206.0</v>
      </c>
      <c r="I325" s="10" t="s">
        <v>332</v>
      </c>
    </row>
    <row r="326">
      <c r="A326" s="5" t="str">
        <f t="array" ref="A326">INDEX(event_table!$A$2:$A$69, RANDBETWEEN(1, COUNTA(event_table!$A$2:$A$69)))</f>
        <v>122</v>
      </c>
      <c r="B326" s="6">
        <f t="array" ref="B326">IFERROR(INDEX(event_table!$E$1:$E3686,MATCH(A326,event_table!$A$1:$A3686,0)),"")
</f>
        <v>2</v>
      </c>
      <c r="C326" s="7">
        <f t="shared" si="1"/>
        <v>142</v>
      </c>
      <c r="D326" s="6" t="str">
        <f t="array" ref="D326">IFERROR(INDEX(user_table!$C$2:$C3686,MATCH(C326,user_table!$B$2:$B3686,0)),"")
</f>
        <v>Siti Rahayu</v>
      </c>
      <c r="E326" s="6" t="str">
        <f t="array" ref="E326">IFERROR(INDEX(user_table!$E$2:$E3686,MATCH(C326,user_table!$B$2:$B3686,0)),"")
</f>
        <v>6, 3</v>
      </c>
      <c r="F326" s="6" t="str">
        <f t="shared" si="2"/>
        <v>12222142</v>
      </c>
      <c r="G326" s="8">
        <v>2.0</v>
      </c>
      <c r="H326" s="9">
        <v>45073.0</v>
      </c>
      <c r="I326" s="10" t="s">
        <v>333</v>
      </c>
    </row>
    <row r="327">
      <c r="A327" s="5" t="str">
        <f t="array" ref="A327">INDEX(event_table!$A$2:$A$69, RANDBETWEEN(1, COUNTA(event_table!$A$2:$A$69)))</f>
        <v>1652</v>
      </c>
      <c r="B327" s="6">
        <f t="array" ref="B327">IFERROR(INDEX(event_table!$E$1:$E3686,MATCH(A327,event_table!$A$1:$A3686,0)),"")
</f>
        <v>6</v>
      </c>
      <c r="C327" s="7">
        <f t="shared" si="1"/>
        <v>44</v>
      </c>
      <c r="D327" s="6" t="str">
        <f t="array" ref="D327">IFERROR(INDEX(user_table!$C$2:$C3686,MATCH(C327,user_table!$B$2:$B3686,0)),"")
</f>
        <v>Arif Sari</v>
      </c>
      <c r="E327" s="6" t="str">
        <f t="array" ref="E327">IFERROR(INDEX(user_table!$E$2:$E3686,MATCH(C327,user_table!$B$2:$B3686,0)),"")
</f>
        <v>2, 4</v>
      </c>
      <c r="F327" s="6" t="str">
        <f t="shared" si="2"/>
        <v>16521644</v>
      </c>
      <c r="G327" s="8">
        <v>1.0</v>
      </c>
      <c r="H327" s="9">
        <v>45239.0</v>
      </c>
      <c r="I327" s="10" t="s">
        <v>334</v>
      </c>
    </row>
    <row r="328">
      <c r="A328" s="5" t="str">
        <f t="array" ref="A328">INDEX(event_table!$A$2:$A$69, RANDBETWEEN(1, COUNTA(event_table!$A$2:$A$69)))</f>
        <v>3162</v>
      </c>
      <c r="B328" s="6">
        <f t="array" ref="B328">IFERROR(INDEX(event_table!$E$1:$E3686,MATCH(A328,event_table!$A$1:$A3686,0)),"")
</f>
        <v>1</v>
      </c>
      <c r="C328" s="7">
        <f t="shared" si="1"/>
        <v>38</v>
      </c>
      <c r="D328" s="6" t="str">
        <f t="array" ref="D328">IFERROR(INDEX(user_table!$C$2:$C3686,MATCH(C328,user_table!$B$2:$B3686,0)),"")
</f>
        <v>Maya Utami</v>
      </c>
      <c r="E328" s="6" t="str">
        <f t="array" ref="E328">IFERROR(INDEX(user_table!$E$2:$E3686,MATCH(C328,user_table!$B$2:$B3686,0)),"")
</f>
        <v>2, 1</v>
      </c>
      <c r="F328" s="6" t="str">
        <f t="shared" si="2"/>
        <v>31621138</v>
      </c>
      <c r="G328" s="8">
        <v>1.0</v>
      </c>
      <c r="H328" s="9">
        <v>45193.0</v>
      </c>
      <c r="I328" s="10" t="s">
        <v>335</v>
      </c>
    </row>
    <row r="329">
      <c r="A329" s="5" t="str">
        <f t="array" ref="A329">INDEX(event_table!$A$2:$A$69, RANDBETWEEN(1, COUNTA(event_table!$A$2:$A$69)))</f>
        <v>1645</v>
      </c>
      <c r="B329" s="6">
        <f t="array" ref="B329">IFERROR(INDEX(event_table!$E$1:$E3686,MATCH(A329,event_table!$A$1:$A3686,0)),"")
</f>
        <v>6</v>
      </c>
      <c r="C329" s="7">
        <f t="shared" si="1"/>
        <v>87</v>
      </c>
      <c r="D329" s="6" t="str">
        <f t="array" ref="D329">IFERROR(INDEX(user_table!$C$2:$C3686,MATCH(C329,user_table!$B$2:$B3686,0)),"")
</f>
        <v>Budi Setiawan</v>
      </c>
      <c r="E329" s="6" t="str">
        <f t="array" ref="E329">IFERROR(INDEX(user_table!$E$2:$E3686,MATCH(C329,user_table!$B$2:$B3686,0)),"")
</f>
        <v>3, 5</v>
      </c>
      <c r="F329" s="6" t="str">
        <f t="shared" si="2"/>
        <v>16451687</v>
      </c>
      <c r="G329" s="8">
        <v>1.0</v>
      </c>
      <c r="H329" s="9">
        <v>45225.0</v>
      </c>
      <c r="I329" s="10" t="s">
        <v>336</v>
      </c>
    </row>
    <row r="330">
      <c r="A330" s="5" t="str">
        <f t="array" ref="A330">INDEX(event_table!$A$2:$A$69, RANDBETWEEN(1, COUNTA(event_table!$A$2:$A$69)))</f>
        <v>1641</v>
      </c>
      <c r="B330" s="6">
        <f t="array" ref="B330">IFERROR(INDEX(event_table!$E$1:$E3686,MATCH(A330,event_table!$A$1:$A3686,0)),"")
</f>
        <v>6</v>
      </c>
      <c r="C330" s="7">
        <f t="shared" si="1"/>
        <v>55</v>
      </c>
      <c r="D330" s="6" t="str">
        <f t="array" ref="D330">IFERROR(INDEX(user_table!$C$2:$C3686,MATCH(C330,user_table!$B$2:$B3686,0)),"")
</f>
        <v>Joko Sari</v>
      </c>
      <c r="E330" s="6" t="str">
        <f t="array" ref="E330">IFERROR(INDEX(user_table!$E$2:$E3686,MATCH(C330,user_table!$B$2:$B3686,0)),"")
</f>
        <v>6, 6</v>
      </c>
      <c r="F330" s="6" t="str">
        <f t="shared" si="2"/>
        <v>16411655</v>
      </c>
      <c r="G330" s="8">
        <v>1.0</v>
      </c>
      <c r="H330" s="9">
        <v>45117.0</v>
      </c>
      <c r="I330" s="10" t="s">
        <v>337</v>
      </c>
    </row>
    <row r="331">
      <c r="A331" s="5" t="str">
        <f t="array" ref="A331">INDEX(event_table!$A$2:$A$69, RANDBETWEEN(1, COUNTA(event_table!$A$2:$A$69)))</f>
        <v>3356</v>
      </c>
      <c r="B331" s="6">
        <f t="array" ref="B331">IFERROR(INDEX(event_table!$E$1:$E3686,MATCH(A331,event_table!$A$1:$A3686,0)),"")
</f>
        <v>3</v>
      </c>
      <c r="C331" s="7">
        <f t="shared" si="1"/>
        <v>11</v>
      </c>
      <c r="D331" s="6" t="str">
        <f t="array" ref="D331">IFERROR(INDEX(user_table!$C$2:$C3686,MATCH(C331,user_table!$B$2:$B3686,0)),"")
</f>
        <v>Arif Sari</v>
      </c>
      <c r="E331" s="6" t="str">
        <f t="array" ref="E331">IFERROR(INDEX(user_table!$E$2:$E3686,MATCH(C331,user_table!$B$2:$B3686,0)),"")
</f>
        <v>5, 2</v>
      </c>
      <c r="F331" s="6" t="str">
        <f t="shared" si="2"/>
        <v>33561311</v>
      </c>
      <c r="G331" s="8">
        <v>1.0</v>
      </c>
      <c r="H331" s="9">
        <v>45190.0</v>
      </c>
      <c r="I331" s="10" t="s">
        <v>338</v>
      </c>
    </row>
    <row r="332">
      <c r="A332" s="5" t="str">
        <f t="array" ref="A332">INDEX(event_table!$A$2:$A$69, RANDBETWEEN(1, COUNTA(event_table!$A$2:$A$69)))</f>
        <v>1333</v>
      </c>
      <c r="B332" s="6">
        <f t="array" ref="B332">IFERROR(INDEX(event_table!$E$1:$E3686,MATCH(A332,event_table!$A$1:$A3686,0)),"")
</f>
        <v>3</v>
      </c>
      <c r="C332" s="7">
        <f t="shared" si="1"/>
        <v>179</v>
      </c>
      <c r="D332" s="6" t="str">
        <f t="array" ref="D332">IFERROR(INDEX(user_table!$C$2:$C3686,MATCH(C332,user_table!$B$2:$B3686,0)),"")
</f>
        <v>Andi Susanto</v>
      </c>
      <c r="E332" s="6" t="str">
        <f t="array" ref="E332">IFERROR(INDEX(user_table!$E$2:$E3686,MATCH(C332,user_table!$B$2:$B3686,0)),"")
</f>
        <v>1, 6</v>
      </c>
      <c r="F332" s="6" t="str">
        <f t="shared" si="2"/>
        <v>133313179</v>
      </c>
      <c r="G332" s="8">
        <v>1.0</v>
      </c>
      <c r="H332" s="9">
        <v>45143.0</v>
      </c>
      <c r="I332" s="10" t="s">
        <v>339</v>
      </c>
    </row>
    <row r="333">
      <c r="A333" s="5" t="str">
        <f t="array" ref="A333">INDEX(event_table!$A$2:$A$69, RANDBETWEEN(1, COUNTA(event_table!$A$2:$A$69)))</f>
        <v>1422</v>
      </c>
      <c r="B333" s="6">
        <f t="array" ref="B333">IFERROR(INDEX(event_table!$E$1:$E3686,MATCH(A333,event_table!$A$1:$A3686,0)),"")
</f>
        <v>4</v>
      </c>
      <c r="C333" s="7">
        <f t="shared" si="1"/>
        <v>96</v>
      </c>
      <c r="D333" s="6" t="str">
        <f t="array" ref="D333">IFERROR(INDEX(user_table!$C$2:$C3686,MATCH(C333,user_table!$B$2:$B3686,0)),"")
</f>
        <v>Budi Sari</v>
      </c>
      <c r="E333" s="6" t="str">
        <f t="array" ref="E333">IFERROR(INDEX(user_table!$E$2:$E3686,MATCH(C333,user_table!$B$2:$B3686,0)),"")
</f>
        <v>3, 2</v>
      </c>
      <c r="F333" s="6" t="str">
        <f t="shared" si="2"/>
        <v>14221496</v>
      </c>
      <c r="G333" s="8">
        <v>1.0</v>
      </c>
      <c r="H333" s="9">
        <v>45143.0</v>
      </c>
      <c r="I333" s="10" t="s">
        <v>340</v>
      </c>
    </row>
    <row r="334">
      <c r="A334" s="5" t="str">
        <f t="array" ref="A334">INDEX(event_table!$A$2:$A$69, RANDBETWEEN(1, COUNTA(event_table!$A$2:$A$69)))</f>
        <v>1424</v>
      </c>
      <c r="B334" s="6">
        <f t="array" ref="B334">IFERROR(INDEX(event_table!$E$1:$E3686,MATCH(A334,event_table!$A$1:$A3686,0)),"")
</f>
        <v>4</v>
      </c>
      <c r="C334" s="7">
        <f t="shared" si="1"/>
        <v>136</v>
      </c>
      <c r="D334" s="6" t="str">
        <f t="array" ref="D334">IFERROR(INDEX(user_table!$C$2:$C3686,MATCH(C334,user_table!$B$2:$B3686,0)),"")
</f>
        <v>Fandi Purnama</v>
      </c>
      <c r="E334" s="6" t="str">
        <f t="array" ref="E334">IFERROR(INDEX(user_table!$E$2:$E3686,MATCH(C334,user_table!$B$2:$B3686,0)),"")
</f>
        <v>5, 6</v>
      </c>
      <c r="F334" s="6" t="str">
        <f t="shared" si="2"/>
        <v>142414136</v>
      </c>
      <c r="G334" s="8">
        <v>1.0</v>
      </c>
      <c r="H334" s="9">
        <v>45143.0</v>
      </c>
      <c r="I334" s="10" t="s">
        <v>341</v>
      </c>
    </row>
    <row r="335">
      <c r="A335" s="5" t="str">
        <f t="array" ref="A335">INDEX(event_table!$A$2:$A$69, RANDBETWEEN(1, COUNTA(event_table!$A$2:$A$69)))</f>
        <v>118</v>
      </c>
      <c r="B335" s="6">
        <f t="array" ref="B335">IFERROR(INDEX(event_table!$E$1:$E3686,MATCH(A335,event_table!$A$1:$A3686,0)),"")
</f>
        <v>1</v>
      </c>
      <c r="C335" s="7">
        <f t="shared" si="1"/>
        <v>15</v>
      </c>
      <c r="D335" s="6" t="str">
        <f t="array" ref="D335">IFERROR(INDEX(user_table!$C$2:$C3686,MATCH(C335,user_table!$B$2:$B3686,0)),"")
</f>
        <v>Arif Kurniawan</v>
      </c>
      <c r="E335" s="6" t="str">
        <f t="array" ref="E335">IFERROR(INDEX(user_table!$E$2:$E3686,MATCH(C335,user_table!$B$2:$B3686,0)),"")
</f>
        <v>3, 1</v>
      </c>
      <c r="F335" s="6" t="str">
        <f t="shared" si="2"/>
        <v>1181115</v>
      </c>
      <c r="G335" s="8">
        <v>1.0</v>
      </c>
      <c r="H335" s="9">
        <v>45121.0</v>
      </c>
      <c r="I335" s="10" t="s">
        <v>342</v>
      </c>
    </row>
    <row r="336">
      <c r="A336" s="5" t="str">
        <f t="array" ref="A336">INDEX(event_table!$A$2:$A$69, RANDBETWEEN(1, COUNTA(event_table!$A$2:$A$69)))</f>
        <v>1638</v>
      </c>
      <c r="B336" s="6">
        <f t="array" ref="B336">IFERROR(INDEX(event_table!$E$1:$E3686,MATCH(A336,event_table!$A$1:$A3686,0)),"")
</f>
        <v>6</v>
      </c>
      <c r="C336" s="7">
        <f t="shared" si="1"/>
        <v>88</v>
      </c>
      <c r="D336" s="6" t="str">
        <f t="array" ref="D336">IFERROR(INDEX(user_table!$C$2:$C3686,MATCH(C336,user_table!$B$2:$B3686,0)),"")
</f>
        <v>Fajar Hadiwijaya</v>
      </c>
      <c r="E336" s="6" t="str">
        <f t="array" ref="E336">IFERROR(INDEX(user_table!$E$2:$E3686,MATCH(C336,user_table!$B$2:$B3686,0)),"")
</f>
        <v>2, 6</v>
      </c>
      <c r="F336" s="6" t="str">
        <f t="shared" si="2"/>
        <v>16381688</v>
      </c>
      <c r="G336" s="8">
        <v>1.0</v>
      </c>
      <c r="H336" s="9">
        <v>45095.0</v>
      </c>
      <c r="I336" s="10" t="s">
        <v>343</v>
      </c>
    </row>
    <row r="337">
      <c r="A337" s="5" t="str">
        <f t="array" ref="A337">INDEX(event_table!$A$2:$A$69, RANDBETWEEN(1, COUNTA(event_table!$A$2:$A$69)))</f>
        <v>1645</v>
      </c>
      <c r="B337" s="6">
        <f t="array" ref="B337">IFERROR(INDEX(event_table!$E$1:$E3686,MATCH(A337,event_table!$A$1:$A3686,0)),"")
</f>
        <v>6</v>
      </c>
      <c r="C337" s="7">
        <f t="shared" si="1"/>
        <v>56</v>
      </c>
      <c r="D337" s="6" t="str">
        <f t="array" ref="D337">IFERROR(INDEX(user_table!$C$2:$C3686,MATCH(C337,user_table!$B$2:$B3686,0)),"")
</f>
        <v>Desi Putri</v>
      </c>
      <c r="E337" s="6" t="str">
        <f t="array" ref="E337">IFERROR(INDEX(user_table!$E$2:$E3686,MATCH(C337,user_table!$B$2:$B3686,0)),"")
</f>
        <v>1, 3</v>
      </c>
      <c r="F337" s="6" t="str">
        <f t="shared" si="2"/>
        <v>16451656</v>
      </c>
      <c r="G337" s="8">
        <v>1.0</v>
      </c>
      <c r="H337" s="9">
        <v>45082.0</v>
      </c>
      <c r="I337" s="10" t="s">
        <v>344</v>
      </c>
    </row>
    <row r="338">
      <c r="A338" s="5" t="str">
        <f t="array" ref="A338">INDEX(event_table!$A$2:$A$69, RANDBETWEEN(1, COUNTA(event_table!$A$2:$A$69)))</f>
        <v>1639</v>
      </c>
      <c r="B338" s="6">
        <f t="array" ref="B338">IFERROR(INDEX(event_table!$E$1:$E3686,MATCH(A338,event_table!$A$1:$A3686,0)),"")
</f>
        <v>6</v>
      </c>
      <c r="C338" s="7">
        <f t="shared" si="1"/>
        <v>190</v>
      </c>
      <c r="D338" s="6" t="str">
        <f t="array" ref="D338">IFERROR(INDEX(user_table!$C$2:$C3686,MATCH(C338,user_table!$B$2:$B3686,0)),"")
</f>
        <v>Fajar Santoso</v>
      </c>
      <c r="E338" s="6" t="str">
        <f t="array" ref="E338">IFERROR(INDEX(user_table!$E$2:$E3686,MATCH(C338,user_table!$B$2:$B3686,0)),"")
</f>
        <v>1, 3</v>
      </c>
      <c r="F338" s="6" t="str">
        <f t="shared" si="2"/>
        <v>163916190</v>
      </c>
      <c r="G338" s="8">
        <v>1.0</v>
      </c>
      <c r="H338" s="9">
        <v>45061.0</v>
      </c>
      <c r="I338" s="10" t="s">
        <v>345</v>
      </c>
    </row>
    <row r="339">
      <c r="A339" s="5" t="str">
        <f t="array" ref="A339">INDEX(event_table!$A$2:$A$69, RANDBETWEEN(1, COUNTA(event_table!$A$2:$A$69)))</f>
        <v>3168</v>
      </c>
      <c r="B339" s="6">
        <f t="array" ref="B339">IFERROR(INDEX(event_table!$E$1:$E3686,MATCH(A339,event_table!$A$1:$A3686,0)),"")
</f>
        <v>1</v>
      </c>
      <c r="C339" s="7">
        <f t="shared" si="1"/>
        <v>53</v>
      </c>
      <c r="D339" s="6" t="str">
        <f t="array" ref="D339">IFERROR(INDEX(user_table!$C$2:$C3686,MATCH(C339,user_table!$B$2:$B3686,0)),"")
</f>
        <v>Wahyu Santoso</v>
      </c>
      <c r="E339" s="6" t="str">
        <f t="array" ref="E339">IFERROR(INDEX(user_table!$E$2:$E3686,MATCH(C339,user_table!$B$2:$B3686,0)),"")
</f>
        <v>4, 5</v>
      </c>
      <c r="F339" s="6" t="str">
        <f t="shared" si="2"/>
        <v>31681153</v>
      </c>
      <c r="G339" s="8">
        <v>1.0</v>
      </c>
      <c r="H339" s="9">
        <v>45036.0</v>
      </c>
      <c r="I339" s="10" t="s">
        <v>346</v>
      </c>
    </row>
    <row r="340">
      <c r="A340" s="5" t="str">
        <f t="array" ref="A340">INDEX(event_table!$A$2:$A$69, RANDBETWEEN(1, COUNTA(event_table!$A$2:$A$69)))</f>
        <v>3454</v>
      </c>
      <c r="B340" s="6">
        <f t="array" ref="B340">IFERROR(INDEX(event_table!$E$1:$E3686,MATCH(A340,event_table!$A$1:$A3686,0)),"")
</f>
        <v>4</v>
      </c>
      <c r="C340" s="7">
        <f t="shared" si="1"/>
        <v>93</v>
      </c>
      <c r="D340" s="6" t="str">
        <f t="array" ref="D340">IFERROR(INDEX(user_table!$C$2:$C3686,MATCH(C340,user_table!$B$2:$B3686,0)),"")
</f>
        <v>Hadi Putri</v>
      </c>
      <c r="E340" s="6" t="str">
        <f t="array" ref="E340">IFERROR(INDEX(user_table!$E$2:$E3686,MATCH(C340,user_table!$B$2:$B3686,0)),"")
</f>
        <v>5, 6</v>
      </c>
      <c r="F340" s="6" t="str">
        <f t="shared" si="2"/>
        <v>34545493</v>
      </c>
      <c r="G340" s="8">
        <v>5.0</v>
      </c>
      <c r="H340" s="9">
        <v>44750.0</v>
      </c>
      <c r="I340" s="10" t="s">
        <v>347</v>
      </c>
    </row>
    <row r="341">
      <c r="A341" s="5" t="str">
        <f t="array" ref="A341">INDEX(event_table!$A$2:$A$69, RANDBETWEEN(1, COUNTA(event_table!$A$2:$A$69)))</f>
        <v>3164</v>
      </c>
      <c r="B341" s="6">
        <f t="array" ref="B341">IFERROR(INDEX(event_table!$E$1:$E3686,MATCH(A341,event_table!$A$1:$A3686,0)),"")
</f>
        <v>1</v>
      </c>
      <c r="C341" s="7">
        <f t="shared" si="1"/>
        <v>34</v>
      </c>
      <c r="D341" s="6" t="str">
        <f t="array" ref="D341">IFERROR(INDEX(user_table!$C$2:$C3686,MATCH(C341,user_table!$B$2:$B3686,0)),"")
</f>
        <v>Bambang Putri</v>
      </c>
      <c r="E341" s="6" t="str">
        <f t="array" ref="E341">IFERROR(INDEX(user_table!$E$2:$E3686,MATCH(C341,user_table!$B$2:$B3686,0)),"")
</f>
        <v>3, 5</v>
      </c>
      <c r="F341" s="6" t="str">
        <f t="shared" si="2"/>
        <v>31645134</v>
      </c>
      <c r="G341" s="8">
        <v>5.0</v>
      </c>
      <c r="H341" s="9">
        <v>44738.0</v>
      </c>
      <c r="I341" s="10" t="s">
        <v>348</v>
      </c>
    </row>
    <row r="342">
      <c r="A342" s="5" t="str">
        <f t="array" ref="A342">INDEX(event_table!$A$2:$A$69, RANDBETWEEN(1, COUNTA(event_table!$A$2:$A$69)))</f>
        <v>1519</v>
      </c>
      <c r="B342" s="6">
        <f t="array" ref="B342">IFERROR(INDEX(event_table!$E$1:$E3686,MATCH(A342,event_table!$A$1:$A3686,0)),"")
</f>
        <v>5</v>
      </c>
      <c r="C342" s="7">
        <f t="shared" si="1"/>
        <v>24</v>
      </c>
      <c r="D342" s="6" t="str">
        <f t="array" ref="D342">IFERROR(INDEX(user_table!$C$2:$C3686,MATCH(C342,user_table!$B$2:$B3686,0)),"")
</f>
        <v>Andi Septiani</v>
      </c>
      <c r="E342" s="6" t="str">
        <f t="array" ref="E342">IFERROR(INDEX(user_table!$E$2:$E3686,MATCH(C342,user_table!$B$2:$B3686,0)),"")
</f>
        <v>2, 2</v>
      </c>
      <c r="F342" s="6" t="str">
        <f t="shared" si="2"/>
        <v>15195524</v>
      </c>
      <c r="G342" s="8">
        <v>5.0</v>
      </c>
      <c r="H342" s="9">
        <v>44730.0</v>
      </c>
      <c r="I342" s="10" t="s">
        <v>349</v>
      </c>
    </row>
    <row r="343">
      <c r="A343" s="5" t="str">
        <f t="array" ref="A343">INDEX(event_table!$A$2:$A$69, RANDBETWEEN(1, COUNTA(event_table!$A$2:$A$69)))</f>
        <v>1647</v>
      </c>
      <c r="B343" s="6">
        <f t="array" ref="B343">IFERROR(INDEX(event_table!$E$1:$E3686,MATCH(A343,event_table!$A$1:$A3686,0)),"")
</f>
        <v>6</v>
      </c>
      <c r="C343" s="7">
        <f t="shared" si="1"/>
        <v>13</v>
      </c>
      <c r="D343" s="6" t="str">
        <f t="array" ref="D343">IFERROR(INDEX(user_table!$C$2:$C3686,MATCH(C343,user_table!$B$2:$B3686,0)),"")
</f>
        <v>Hadi Kurniawan</v>
      </c>
      <c r="E343" s="6" t="str">
        <f t="array" ref="E343">IFERROR(INDEX(user_table!$E$2:$E3686,MATCH(C343,user_table!$B$2:$B3686,0)),"")
</f>
        <v>4, 3</v>
      </c>
      <c r="F343" s="6" t="str">
        <f t="shared" si="2"/>
        <v>16475613</v>
      </c>
      <c r="G343" s="8">
        <v>5.0</v>
      </c>
      <c r="H343" s="9">
        <v>44729.0</v>
      </c>
      <c r="I343" s="10" t="s">
        <v>350</v>
      </c>
    </row>
    <row r="344">
      <c r="A344" s="5" t="str">
        <f t="array" ref="A344">INDEX(event_table!$A$2:$A$69, RANDBETWEEN(1, COUNTA(event_table!$A$2:$A$69)))</f>
        <v>116</v>
      </c>
      <c r="B344" s="6">
        <f t="array" ref="B344">IFERROR(INDEX(event_table!$E$1:$E3686,MATCH(A344,event_table!$A$1:$A3686,0)),"")
</f>
        <v>1</v>
      </c>
      <c r="C344" s="7">
        <f t="shared" si="1"/>
        <v>173</v>
      </c>
      <c r="D344" s="6" t="str">
        <f t="array" ref="D344">IFERROR(INDEX(user_table!$C$2:$C3686,MATCH(C344,user_table!$B$2:$B3686,0)),"")
</f>
        <v>Fajar Putri</v>
      </c>
      <c r="E344" s="6" t="str">
        <f t="array" ref="E344">IFERROR(INDEX(user_table!$E$2:$E3686,MATCH(C344,user_table!$B$2:$B3686,0)),"")
</f>
        <v>2, 6</v>
      </c>
      <c r="F344" s="6" t="str">
        <f t="shared" si="2"/>
        <v>11651173</v>
      </c>
      <c r="G344" s="8">
        <v>5.0</v>
      </c>
      <c r="H344" s="9">
        <v>44727.0</v>
      </c>
      <c r="I344" s="10" t="s">
        <v>351</v>
      </c>
    </row>
    <row r="345">
      <c r="A345" s="5" t="str">
        <f t="array" ref="A345">INDEX(event_table!$A$2:$A$69, RANDBETWEEN(1, COUNTA(event_table!$A$2:$A$69)))</f>
        <v>3162</v>
      </c>
      <c r="B345" s="6">
        <f t="array" ref="B345">IFERROR(INDEX(event_table!$E$1:$E3686,MATCH(A345,event_table!$A$1:$A3686,0)),"")
</f>
        <v>1</v>
      </c>
      <c r="C345" s="7">
        <f t="shared" si="1"/>
        <v>40</v>
      </c>
      <c r="D345" s="6" t="str">
        <f t="array" ref="D345">IFERROR(INDEX(user_table!$C$2:$C3686,MATCH(C345,user_table!$B$2:$B3686,0)),"")
</f>
        <v>Joko Sari</v>
      </c>
      <c r="E345" s="6" t="str">
        <f t="array" ref="E345">IFERROR(INDEX(user_table!$E$2:$E3686,MATCH(C345,user_table!$B$2:$B3686,0)),"")
</f>
        <v>5, 6</v>
      </c>
      <c r="F345" s="6" t="str">
        <f t="shared" si="2"/>
        <v>31625140</v>
      </c>
      <c r="G345" s="8">
        <v>5.0</v>
      </c>
      <c r="H345" s="9">
        <v>44721.0</v>
      </c>
      <c r="I345" s="10" t="s">
        <v>352</v>
      </c>
    </row>
    <row r="346">
      <c r="A346" s="5" t="str">
        <f t="array" ref="A346">INDEX(event_table!$A$2:$A$69, RANDBETWEEN(1, COUNTA(event_table!$A$2:$A$69)))</f>
        <v>1111</v>
      </c>
      <c r="B346" s="6">
        <f t="array" ref="B346">IFERROR(INDEX(event_table!$E$1:$E3686,MATCH(A346,event_table!$A$1:$A3686,0)),"")
</f>
        <v>1</v>
      </c>
      <c r="C346" s="7">
        <f t="shared" si="1"/>
        <v>91</v>
      </c>
      <c r="D346" s="6" t="str">
        <f t="array" ref="D346">IFERROR(INDEX(user_table!$C$2:$C3686,MATCH(C346,user_table!$B$2:$B3686,0)),"")
</f>
        <v>Bambang Wijaya</v>
      </c>
      <c r="E346" s="6" t="str">
        <f t="array" ref="E346">IFERROR(INDEX(user_table!$E$2:$E3686,MATCH(C346,user_table!$B$2:$B3686,0)),"")
</f>
        <v>1, 2</v>
      </c>
      <c r="F346" s="6" t="str">
        <f t="shared" si="2"/>
        <v>11115191</v>
      </c>
      <c r="G346" s="8">
        <v>5.0</v>
      </c>
      <c r="H346" s="9">
        <v>44709.0</v>
      </c>
      <c r="I346" s="10" t="s">
        <v>353</v>
      </c>
    </row>
    <row r="347">
      <c r="A347" s="5" t="str">
        <f t="array" ref="A347">INDEX(event_table!$A$2:$A$69, RANDBETWEEN(1, COUNTA(event_table!$A$2:$A$69)))</f>
        <v>119</v>
      </c>
      <c r="B347" s="6">
        <f t="array" ref="B347">IFERROR(INDEX(event_table!$E$1:$E3686,MATCH(A347,event_table!$A$1:$A3686,0)),"")
</f>
        <v>1</v>
      </c>
      <c r="C347" s="7">
        <f t="shared" si="1"/>
        <v>107</v>
      </c>
      <c r="D347" s="6" t="str">
        <f t="array" ref="D347">IFERROR(INDEX(user_table!$C$2:$C3686,MATCH(C347,user_table!$B$2:$B3686,0)),"")
</f>
        <v>Citra Rahayu</v>
      </c>
      <c r="E347" s="6" t="str">
        <f t="array" ref="E347">IFERROR(INDEX(user_table!$E$2:$E3686,MATCH(C347,user_table!$B$2:$B3686,0)),"")
</f>
        <v>1, 5</v>
      </c>
      <c r="F347" s="6" t="str">
        <f t="shared" si="2"/>
        <v>11951107</v>
      </c>
      <c r="G347" s="8">
        <v>5.0</v>
      </c>
      <c r="H347" s="9">
        <v>44704.0</v>
      </c>
      <c r="I347" s="10" t="s">
        <v>354</v>
      </c>
    </row>
    <row r="348">
      <c r="A348" s="5" t="str">
        <f t="array" ref="A348">INDEX(event_table!$A$2:$A$69, RANDBETWEEN(1, COUNTA(event_table!$A$2:$A$69)))</f>
        <v>1531</v>
      </c>
      <c r="B348" s="6">
        <f t="array" ref="B348">IFERROR(INDEX(event_table!$E$1:$E3686,MATCH(A348,event_table!$A$1:$A3686,0)),"")
</f>
        <v>5</v>
      </c>
      <c r="C348" s="7">
        <f t="shared" si="1"/>
        <v>123</v>
      </c>
      <c r="D348" s="6" t="str">
        <f t="array" ref="D348">IFERROR(INDEX(user_table!$C$2:$C3686,MATCH(C348,user_table!$B$2:$B3686,0)),"")
</f>
        <v>Lina Hartono</v>
      </c>
      <c r="E348" s="6" t="str">
        <f t="array" ref="E348">IFERROR(INDEX(user_table!$E$2:$E3686,MATCH(C348,user_table!$B$2:$B3686,0)),"")
</f>
        <v>6, 5</v>
      </c>
      <c r="F348" s="6" t="str">
        <f t="shared" si="2"/>
        <v>153155123</v>
      </c>
      <c r="G348" s="8">
        <v>5.0</v>
      </c>
      <c r="H348" s="9">
        <v>44704.0</v>
      </c>
      <c r="I348" s="10" t="s">
        <v>355</v>
      </c>
    </row>
    <row r="349">
      <c r="A349" s="5" t="str">
        <f t="array" ref="A349">INDEX(event_table!$A$2:$A$69, RANDBETWEEN(1, COUNTA(event_table!$A$2:$A$69)))</f>
        <v>118</v>
      </c>
      <c r="B349" s="6">
        <f t="array" ref="B349">IFERROR(INDEX(event_table!$E$1:$E3686,MATCH(A349,event_table!$A$1:$A3686,0)),"")
</f>
        <v>1</v>
      </c>
      <c r="C349" s="7">
        <f t="shared" si="1"/>
        <v>95</v>
      </c>
      <c r="D349" s="6" t="str">
        <f t="array" ref="D349">IFERROR(INDEX(user_table!$C$2:$C3686,MATCH(C349,user_table!$B$2:$B3686,0)),"")
</f>
        <v>Ani Pratama</v>
      </c>
      <c r="E349" s="6" t="str">
        <f t="array" ref="E349">IFERROR(INDEX(user_table!$E$2:$E3686,MATCH(C349,user_table!$B$2:$B3686,0)),"")
</f>
        <v>3, 5</v>
      </c>
      <c r="F349" s="6" t="str">
        <f t="shared" si="2"/>
        <v>1185195</v>
      </c>
      <c r="G349" s="8">
        <v>5.0</v>
      </c>
      <c r="H349" s="9">
        <v>44685.0</v>
      </c>
      <c r="I349" s="10" t="s">
        <v>356</v>
      </c>
    </row>
    <row r="350">
      <c r="A350" s="5" t="str">
        <f t="array" ref="A350">INDEX(event_table!$A$2:$A$69, RANDBETWEEN(1, COUNTA(event_table!$A$2:$A$69)))</f>
        <v>3170</v>
      </c>
      <c r="B350" s="6">
        <f t="array" ref="B350">IFERROR(INDEX(event_table!$E$1:$E3686,MATCH(A350,event_table!$A$1:$A3686,0)),"")
</f>
        <v>1</v>
      </c>
      <c r="C350" s="7">
        <f t="shared" si="1"/>
        <v>32</v>
      </c>
      <c r="D350" s="6" t="str">
        <f t="array" ref="D350">IFERROR(INDEX(user_table!$C$2:$C3686,MATCH(C350,user_table!$B$2:$B3686,0)),"")
</f>
        <v>Ani Setiawan</v>
      </c>
      <c r="E350" s="6" t="str">
        <f t="array" ref="E350">IFERROR(INDEX(user_table!$E$2:$E3686,MATCH(C350,user_table!$B$2:$B3686,0)),"")
</f>
        <v>6, 3</v>
      </c>
      <c r="F350" s="6" t="str">
        <f t="shared" si="2"/>
        <v>31705132</v>
      </c>
      <c r="G350" s="8">
        <v>5.0</v>
      </c>
      <c r="H350" s="9">
        <v>45161.0</v>
      </c>
      <c r="I350" s="10" t="s">
        <v>357</v>
      </c>
    </row>
    <row r="351">
      <c r="A351" s="5" t="str">
        <f t="array" ref="A351">INDEX(event_table!$A$2:$A$69, RANDBETWEEN(1, COUNTA(event_table!$A$2:$A$69)))</f>
        <v>1650</v>
      </c>
      <c r="B351" s="6">
        <f t="array" ref="B351">IFERROR(INDEX(event_table!$E$1:$E3686,MATCH(A351,event_table!$A$1:$A3686,0)),"")
</f>
        <v>6</v>
      </c>
      <c r="C351" s="7">
        <f t="shared" si="1"/>
        <v>87</v>
      </c>
      <c r="D351" s="6" t="str">
        <f t="array" ref="D351">IFERROR(INDEX(user_table!$C$2:$C3686,MATCH(C351,user_table!$B$2:$B3686,0)),"")
</f>
        <v>Budi Setiawan</v>
      </c>
      <c r="E351" s="6" t="str">
        <f t="array" ref="E351">IFERROR(INDEX(user_table!$E$2:$E3686,MATCH(C351,user_table!$B$2:$B3686,0)),"")
</f>
        <v>3, 5</v>
      </c>
      <c r="F351" s="6" t="str">
        <f t="shared" si="2"/>
        <v>16505687</v>
      </c>
      <c r="G351" s="8">
        <v>5.0</v>
      </c>
      <c r="H351" s="9">
        <v>45152.0</v>
      </c>
      <c r="I351" s="10" t="s">
        <v>358</v>
      </c>
    </row>
    <row r="352">
      <c r="A352" s="5" t="str">
        <f t="array" ref="A352">INDEX(event_table!$A$2:$A$69, RANDBETWEEN(1, COUNTA(event_table!$A$2:$A$69)))</f>
        <v>113</v>
      </c>
      <c r="B352" s="6">
        <f t="array" ref="B352">IFERROR(INDEX(event_table!$E$1:$E3686,MATCH(A352,event_table!$A$1:$A3686,0)),"")
</f>
        <v>1</v>
      </c>
      <c r="C352" s="7">
        <f t="shared" si="1"/>
        <v>79</v>
      </c>
      <c r="D352" s="6" t="str">
        <f t="array" ref="D352">IFERROR(INDEX(user_table!$C$2:$C3686,MATCH(C352,user_table!$B$2:$B3686,0)),"")
</f>
        <v>Arif Nugroho</v>
      </c>
      <c r="E352" s="6" t="str">
        <f t="array" ref="E352">IFERROR(INDEX(user_table!$E$2:$E3686,MATCH(C352,user_table!$B$2:$B3686,0)),"")
</f>
        <v>2, 3</v>
      </c>
      <c r="F352" s="6" t="str">
        <f t="shared" si="2"/>
        <v>1135179</v>
      </c>
      <c r="G352" s="8">
        <v>5.0</v>
      </c>
      <c r="H352" s="9">
        <v>45061.0</v>
      </c>
      <c r="I352" s="10" t="s">
        <v>359</v>
      </c>
    </row>
    <row r="353">
      <c r="A353" s="5" t="str">
        <f t="array" ref="A353">INDEX(event_table!$A$2:$A$69, RANDBETWEEN(1, COUNTA(event_table!$A$2:$A$69)))</f>
        <v>3657</v>
      </c>
      <c r="B353" s="6">
        <f t="array" ref="B353">IFERROR(INDEX(event_table!$E$1:$E3686,MATCH(A353,event_table!$A$1:$A3686,0)),"")
</f>
        <v>6</v>
      </c>
      <c r="C353" s="7">
        <f t="shared" si="1"/>
        <v>126</v>
      </c>
      <c r="D353" s="6" t="str">
        <f t="array" ref="D353">IFERROR(INDEX(user_table!$C$2:$C3686,MATCH(C353,user_table!$B$2:$B3686,0)),"")
</f>
        <v>Agus Santoso</v>
      </c>
      <c r="E353" s="6" t="str">
        <f t="array" ref="E353">IFERROR(INDEX(user_table!$E$2:$E3686,MATCH(C353,user_table!$B$2:$B3686,0)),"")
</f>
        <v>3, 6</v>
      </c>
      <c r="F353" s="6" t="str">
        <f t="shared" si="2"/>
        <v>365756126</v>
      </c>
      <c r="G353" s="8">
        <v>5.0</v>
      </c>
      <c r="H353" s="9">
        <v>45040.0</v>
      </c>
      <c r="I353" s="10" t="s">
        <v>360</v>
      </c>
    </row>
    <row r="354">
      <c r="A354" s="5" t="str">
        <f t="array" ref="A354">INDEX(event_table!$A$2:$A$69, RANDBETWEEN(1, COUNTA(event_table!$A$2:$A$69)))</f>
        <v>3659</v>
      </c>
      <c r="B354" s="6">
        <f t="array" ref="B354">IFERROR(INDEX(event_table!$E$1:$E3686,MATCH(A354,event_table!$A$1:$A3686,0)),"")
</f>
        <v>6</v>
      </c>
      <c r="C354" s="7">
        <f t="shared" si="1"/>
        <v>11</v>
      </c>
      <c r="D354" s="6" t="str">
        <f t="array" ref="D354">IFERROR(INDEX(user_table!$C$2:$C3686,MATCH(C354,user_table!$B$2:$B3686,0)),"")
</f>
        <v>Arif Sari</v>
      </c>
      <c r="E354" s="6" t="str">
        <f t="array" ref="E354">IFERROR(INDEX(user_table!$E$2:$E3686,MATCH(C354,user_table!$B$2:$B3686,0)),"")
</f>
        <v>5, 2</v>
      </c>
      <c r="F354" s="6" t="str">
        <f t="shared" si="2"/>
        <v>36595611</v>
      </c>
      <c r="G354" s="8">
        <v>5.0</v>
      </c>
      <c r="H354" s="9">
        <v>44864.0</v>
      </c>
      <c r="I354" s="10" t="s">
        <v>361</v>
      </c>
    </row>
    <row r="355">
      <c r="A355" s="5" t="str">
        <f t="array" ref="A355">INDEX(event_table!$A$2:$A$69, RANDBETWEEN(1, COUNTA(event_table!$A$2:$A$69)))</f>
        <v>1646</v>
      </c>
      <c r="B355" s="6">
        <f t="array" ref="B355">IFERROR(INDEX(event_table!$E$1:$E3686,MATCH(A355,event_table!$A$1:$A3686,0)),"")
</f>
        <v>6</v>
      </c>
      <c r="C355" s="7">
        <f t="shared" si="1"/>
        <v>107</v>
      </c>
      <c r="D355" s="6" t="str">
        <f t="array" ref="D355">IFERROR(INDEX(user_table!$C$2:$C3686,MATCH(C355,user_table!$B$2:$B3686,0)),"")
</f>
        <v>Citra Rahayu</v>
      </c>
      <c r="E355" s="6" t="str">
        <f t="array" ref="E355">IFERROR(INDEX(user_table!$E$2:$E3686,MATCH(C355,user_table!$B$2:$B3686,0)),"")
</f>
        <v>1, 5</v>
      </c>
      <c r="F355" s="6" t="str">
        <f t="shared" si="2"/>
        <v>164656107</v>
      </c>
      <c r="G355" s="8">
        <v>5.0</v>
      </c>
      <c r="H355" s="9">
        <v>44851.0</v>
      </c>
      <c r="I355" s="10" t="s">
        <v>362</v>
      </c>
    </row>
    <row r="356">
      <c r="A356" s="5" t="str">
        <f t="array" ref="A356">INDEX(event_table!$A$2:$A$69, RANDBETWEEN(1, COUNTA(event_table!$A$2:$A$69)))</f>
        <v>1643</v>
      </c>
      <c r="B356" s="6">
        <f t="array" ref="B356">IFERROR(INDEX(event_table!$E$1:$E3686,MATCH(A356,event_table!$A$1:$A3686,0)),"")
</f>
        <v>6</v>
      </c>
      <c r="C356" s="7">
        <f t="shared" si="1"/>
        <v>156</v>
      </c>
      <c r="D356" s="6" t="str">
        <f t="array" ref="D356">IFERROR(INDEX(user_table!$C$2:$C3686,MATCH(C356,user_table!$B$2:$B3686,0)),"")
</f>
        <v>Lina Kusuma</v>
      </c>
      <c r="E356" s="6" t="str">
        <f t="array" ref="E356">IFERROR(INDEX(user_table!$E$2:$E3686,MATCH(C356,user_table!$B$2:$B3686,0)),"")
</f>
        <v>4, 3</v>
      </c>
      <c r="F356" s="6" t="str">
        <f t="shared" si="2"/>
        <v>164356156</v>
      </c>
      <c r="G356" s="8">
        <v>5.0</v>
      </c>
      <c r="H356" s="9">
        <v>44773.0</v>
      </c>
      <c r="I356" s="10" t="s">
        <v>363</v>
      </c>
    </row>
    <row r="357">
      <c r="A357" s="5" t="str">
        <f t="array" ref="A357">INDEX(event_table!$A$2:$A$69, RANDBETWEEN(1, COUNTA(event_table!$A$2:$A$69)))</f>
        <v>3168</v>
      </c>
      <c r="B357" s="6">
        <f t="array" ref="B357">IFERROR(INDEX(event_table!$E$1:$E3686,MATCH(A357,event_table!$A$1:$A3686,0)),"")
</f>
        <v>1</v>
      </c>
      <c r="C357" s="7">
        <f t="shared" si="1"/>
        <v>72</v>
      </c>
      <c r="D357" s="6" t="str">
        <f t="array" ref="D357">IFERROR(INDEX(user_table!$C$2:$C3686,MATCH(C357,user_table!$B$2:$B3686,0)),"")
</f>
        <v>Wahyu Kurniawan</v>
      </c>
      <c r="E357" s="6" t="str">
        <f t="array" ref="E357">IFERROR(INDEX(user_table!$E$2:$E3686,MATCH(C357,user_table!$B$2:$B3686,0)),"")
</f>
        <v>5, 3</v>
      </c>
      <c r="F357" s="6" t="str">
        <f t="shared" si="2"/>
        <v>31685172</v>
      </c>
      <c r="G357" s="8">
        <v>5.0</v>
      </c>
      <c r="H357" s="9">
        <v>44719.0</v>
      </c>
      <c r="I357" s="10" t="s">
        <v>364</v>
      </c>
    </row>
    <row r="358">
      <c r="A358" s="5" t="str">
        <f t="array" ref="A358">INDEX(event_table!$A$2:$A$69, RANDBETWEEN(1, COUNTA(event_table!$A$2:$A$69)))</f>
        <v>1423</v>
      </c>
      <c r="B358" s="6">
        <f t="array" ref="B358">IFERROR(INDEX(event_table!$E$1:$E3686,MATCH(A358,event_table!$A$1:$A3686,0)),"")
</f>
        <v>4</v>
      </c>
      <c r="C358" s="7">
        <f t="shared" si="1"/>
        <v>183</v>
      </c>
      <c r="D358" s="6" t="str">
        <f t="array" ref="D358">IFERROR(INDEX(user_table!$C$2:$C3686,MATCH(C358,user_table!$B$2:$B3686,0)),"")
</f>
        <v>Siti Nugroho</v>
      </c>
      <c r="E358" s="6" t="str">
        <f t="array" ref="E358">IFERROR(INDEX(user_table!$E$2:$E3686,MATCH(C358,user_table!$B$2:$B3686,0)),"")
</f>
        <v>4, 6</v>
      </c>
      <c r="F358" s="6" t="str">
        <f t="shared" si="2"/>
        <v>142344183</v>
      </c>
      <c r="G358" s="8">
        <v>4.0</v>
      </c>
      <c r="H358" s="9">
        <v>44718.0</v>
      </c>
      <c r="I358" s="10" t="s">
        <v>365</v>
      </c>
    </row>
    <row r="359">
      <c r="A359" s="5" t="str">
        <f t="array" ref="A359">INDEX(event_table!$A$2:$A$69, RANDBETWEEN(1, COUNTA(event_table!$A$2:$A$69)))</f>
        <v>3165</v>
      </c>
      <c r="B359" s="6">
        <f t="array" ref="B359">IFERROR(INDEX(event_table!$E$1:$E3686,MATCH(A359,event_table!$A$1:$A3686,0)),"")
</f>
        <v>1</v>
      </c>
      <c r="C359" s="7">
        <f t="shared" si="1"/>
        <v>98</v>
      </c>
      <c r="D359" s="6" t="str">
        <f t="array" ref="D359">IFERROR(INDEX(user_table!$C$2:$C3686,MATCH(C359,user_table!$B$2:$B3686,0)),"")
</f>
        <v>Agus Hidayat</v>
      </c>
      <c r="E359" s="6" t="str">
        <f t="array" ref="E359">IFERROR(INDEX(user_table!$E$2:$E3686,MATCH(C359,user_table!$B$2:$B3686,0)),"")
</f>
        <v>3, 6</v>
      </c>
      <c r="F359" s="6" t="str">
        <f t="shared" si="2"/>
        <v>31654198</v>
      </c>
      <c r="G359" s="8">
        <v>4.0</v>
      </c>
      <c r="H359" s="9">
        <v>44735.0</v>
      </c>
      <c r="I359" s="10" t="s">
        <v>366</v>
      </c>
    </row>
    <row r="360">
      <c r="A360" s="5" t="str">
        <f t="array" ref="A360">INDEX(event_table!$A$2:$A$69, RANDBETWEEN(1, COUNTA(event_table!$A$2:$A$69)))</f>
        <v>1642</v>
      </c>
      <c r="B360" s="6">
        <f t="array" ref="B360">IFERROR(INDEX(event_table!$E$1:$E3686,MATCH(A360,event_table!$A$1:$A3686,0)),"")
</f>
        <v>6</v>
      </c>
      <c r="C360" s="7">
        <f t="shared" si="1"/>
        <v>105</v>
      </c>
      <c r="D360" s="6" t="str">
        <f t="array" ref="D360">IFERROR(INDEX(user_table!$C$2:$C3686,MATCH(C360,user_table!$B$2:$B3686,0)),"")
</f>
        <v>Siti Susanto</v>
      </c>
      <c r="E360" s="6" t="str">
        <f t="array" ref="E360">IFERROR(INDEX(user_table!$E$2:$E3686,MATCH(C360,user_table!$B$2:$B3686,0)),"")
</f>
        <v>2, 6</v>
      </c>
      <c r="F360" s="6" t="str">
        <f t="shared" si="2"/>
        <v>164246105</v>
      </c>
      <c r="G360" s="8">
        <v>4.0</v>
      </c>
      <c r="H360" s="9">
        <v>45128.0</v>
      </c>
      <c r="I360" s="10" t="s">
        <v>367</v>
      </c>
    </row>
    <row r="361">
      <c r="A361" s="5" t="str">
        <f t="array" ref="A361">INDEX(event_table!$A$2:$A$69, RANDBETWEEN(1, COUNTA(event_table!$A$2:$A$69)))</f>
        <v>1530</v>
      </c>
      <c r="B361" s="6">
        <f t="array" ref="B361">IFERROR(INDEX(event_table!$E$1:$E3686,MATCH(A361,event_table!$A$1:$A3686,0)),"")
</f>
        <v>5</v>
      </c>
      <c r="C361" s="7">
        <f t="shared" si="1"/>
        <v>88</v>
      </c>
      <c r="D361" s="6" t="str">
        <f t="array" ref="D361">IFERROR(INDEX(user_table!$C$2:$C3686,MATCH(C361,user_table!$B$2:$B3686,0)),"")
</f>
        <v>Fajar Hadiwijaya</v>
      </c>
      <c r="E361" s="6" t="str">
        <f t="array" ref="E361">IFERROR(INDEX(user_table!$E$2:$E3686,MATCH(C361,user_table!$B$2:$B3686,0)),"")
</f>
        <v>2, 6</v>
      </c>
      <c r="F361" s="6" t="str">
        <f t="shared" si="2"/>
        <v>15304588</v>
      </c>
      <c r="G361" s="8">
        <v>4.0</v>
      </c>
      <c r="H361" s="9">
        <v>45093.0</v>
      </c>
      <c r="I361" s="10" t="s">
        <v>368</v>
      </c>
    </row>
    <row r="362">
      <c r="A362" s="5" t="str">
        <f t="array" ref="A362">INDEX(event_table!$A$2:$A$69, RANDBETWEEN(1, COUNTA(event_table!$A$2:$A$69)))</f>
        <v>1648</v>
      </c>
      <c r="B362" s="6">
        <f t="array" ref="B362">IFERROR(INDEX(event_table!$E$1:$E3686,MATCH(A362,event_table!$A$1:$A3686,0)),"")
</f>
        <v>6</v>
      </c>
      <c r="C362" s="7">
        <f t="shared" si="1"/>
        <v>200</v>
      </c>
      <c r="D362" s="6" t="str">
        <f t="array" ref="D362">IFERROR(INDEX(user_table!$C$2:$C3686,MATCH(C362,user_table!$B$2:$B3686,0)),"")
</f>
        <v>Dina Susanto</v>
      </c>
      <c r="E362" s="6" t="str">
        <f t="array" ref="E362">IFERROR(INDEX(user_table!$E$2:$E3686,MATCH(C362,user_table!$B$2:$B3686,0)),"")
</f>
        <v>5, 4</v>
      </c>
      <c r="F362" s="6" t="str">
        <f t="shared" si="2"/>
        <v>164846200</v>
      </c>
      <c r="G362" s="8">
        <v>4.0</v>
      </c>
      <c r="H362" s="9">
        <v>44945.0</v>
      </c>
      <c r="I362" s="10" t="s">
        <v>369</v>
      </c>
    </row>
    <row r="363">
      <c r="A363" s="5" t="str">
        <f t="array" ref="A363">INDEX(event_table!$A$2:$A$69, RANDBETWEEN(1, COUNTA(event_table!$A$2:$A$69)))</f>
        <v>1639</v>
      </c>
      <c r="B363" s="6">
        <f t="array" ref="B363">IFERROR(INDEX(event_table!$E$1:$E3686,MATCH(A363,event_table!$A$1:$A3686,0)),"")
</f>
        <v>6</v>
      </c>
      <c r="C363" s="7">
        <f t="shared" si="1"/>
        <v>80</v>
      </c>
      <c r="D363" s="6" t="str">
        <f t="array" ref="D363">IFERROR(INDEX(user_table!$C$2:$C3686,MATCH(C363,user_table!$B$2:$B3686,0)),"")
</f>
        <v>Sinta Susanto</v>
      </c>
      <c r="E363" s="6" t="str">
        <f t="array" ref="E363">IFERROR(INDEX(user_table!$E$2:$E3686,MATCH(C363,user_table!$B$2:$B3686,0)),"")
</f>
        <v>5, 2</v>
      </c>
      <c r="F363" s="6" t="str">
        <f t="shared" si="2"/>
        <v>16394680</v>
      </c>
      <c r="G363" s="8">
        <v>4.0</v>
      </c>
      <c r="H363" s="9">
        <v>44924.0</v>
      </c>
      <c r="I363" s="10" t="s">
        <v>370</v>
      </c>
    </row>
    <row r="364">
      <c r="A364" s="5" t="str">
        <f t="array" ref="A364">INDEX(event_table!$A$2:$A$69, RANDBETWEEN(1, COUNTA(event_table!$A$2:$A$69)))</f>
        <v>1313</v>
      </c>
      <c r="B364" s="6">
        <f t="array" ref="B364">IFERROR(INDEX(event_table!$E$1:$E3686,MATCH(A364,event_table!$A$1:$A3686,0)),"")
</f>
        <v>3</v>
      </c>
      <c r="C364" s="7">
        <f t="shared" si="1"/>
        <v>102</v>
      </c>
      <c r="D364" s="6" t="str">
        <f t="array" ref="D364">IFERROR(INDEX(user_table!$C$2:$C3686,MATCH(C364,user_table!$B$2:$B3686,0)),"")
</f>
        <v>Lina Nurhayati</v>
      </c>
      <c r="E364" s="6" t="str">
        <f t="array" ref="E364">IFERROR(INDEX(user_table!$E$2:$E3686,MATCH(C364,user_table!$B$2:$B3686,0)),"")
</f>
        <v>1, 2</v>
      </c>
      <c r="F364" s="6" t="str">
        <f t="shared" si="2"/>
        <v>131343102</v>
      </c>
      <c r="G364" s="8">
        <v>4.0</v>
      </c>
      <c r="H364" s="9">
        <v>44779.0</v>
      </c>
      <c r="I364" s="10" t="s">
        <v>371</v>
      </c>
    </row>
    <row r="365">
      <c r="A365" s="5" t="str">
        <f t="array" ref="A365">INDEX(event_table!$A$2:$A$69, RANDBETWEEN(1, COUNTA(event_table!$A$2:$A$69)))</f>
        <v>111</v>
      </c>
      <c r="B365" s="6">
        <f t="array" ref="B365">IFERROR(INDEX(event_table!$E$1:$E3686,MATCH(A365,event_table!$A$1:$A3686,0)),"")
</f>
        <v>1</v>
      </c>
      <c r="C365" s="7">
        <f t="shared" si="1"/>
        <v>16</v>
      </c>
      <c r="D365" s="6" t="str">
        <f t="array" ref="D365">IFERROR(INDEX(user_table!$C$2:$C3686,MATCH(C365,user_table!$B$2:$B3686,0)),"")
</f>
        <v>Siti Utami</v>
      </c>
      <c r="E365" s="6" t="str">
        <f t="array" ref="E365">IFERROR(INDEX(user_table!$E$2:$E3686,MATCH(C365,user_table!$B$2:$B3686,0)),"")
</f>
        <v>1, 2</v>
      </c>
      <c r="F365" s="6" t="str">
        <f t="shared" si="2"/>
        <v>1114116</v>
      </c>
      <c r="G365" s="8">
        <v>4.0</v>
      </c>
      <c r="H365" s="9">
        <v>44775.0</v>
      </c>
      <c r="I365" s="10" t="s">
        <v>372</v>
      </c>
    </row>
    <row r="366">
      <c r="A366" s="5" t="str">
        <f t="array" ref="A366">INDEX(event_table!$A$2:$A$69, RANDBETWEEN(1, COUNTA(event_table!$A$2:$A$69)))</f>
        <v>1530</v>
      </c>
      <c r="B366" s="6">
        <f t="array" ref="B366">IFERROR(INDEX(event_table!$E$1:$E3686,MATCH(A366,event_table!$A$1:$A3686,0)),"")
</f>
        <v>5</v>
      </c>
      <c r="C366" s="7">
        <f t="shared" si="1"/>
        <v>102</v>
      </c>
      <c r="D366" s="6" t="str">
        <f t="array" ref="D366">IFERROR(INDEX(user_table!$C$2:$C3686,MATCH(C366,user_table!$B$2:$B3686,0)),"")
</f>
        <v>Lina Nurhayati</v>
      </c>
      <c r="E366" s="6" t="str">
        <f t="array" ref="E366">IFERROR(INDEX(user_table!$E$2:$E3686,MATCH(C366,user_table!$B$2:$B3686,0)),"")
</f>
        <v>1, 2</v>
      </c>
      <c r="F366" s="6" t="str">
        <f t="shared" si="2"/>
        <v>153045102</v>
      </c>
      <c r="G366" s="8">
        <v>4.0</v>
      </c>
      <c r="H366" s="9">
        <v>44697.0</v>
      </c>
      <c r="I366" s="10" t="s">
        <v>373</v>
      </c>
    </row>
    <row r="367">
      <c r="A367" s="5" t="str">
        <f t="array" ref="A367">INDEX(event_table!$A$2:$A$69, RANDBETWEEN(1, COUNTA(event_table!$A$2:$A$69)))</f>
        <v>1651</v>
      </c>
      <c r="B367" s="6">
        <f t="array" ref="B367">IFERROR(INDEX(event_table!$E$1:$E3686,MATCH(A367,event_table!$A$1:$A3686,0)),"")
</f>
        <v>6</v>
      </c>
      <c r="C367" s="7">
        <f t="shared" si="1"/>
        <v>169</v>
      </c>
      <c r="D367" s="6" t="str">
        <f t="array" ref="D367">IFERROR(INDEX(user_table!$C$2:$C3686,MATCH(C367,user_table!$B$2:$B3686,0)),"")
</f>
        <v>Dian Saputra</v>
      </c>
      <c r="E367" s="6" t="str">
        <f t="array" ref="E367">IFERROR(INDEX(user_table!$E$2:$E3686,MATCH(C367,user_table!$B$2:$B3686,0)),"")
</f>
        <v>6, 1</v>
      </c>
      <c r="F367" s="6" t="str">
        <f t="shared" si="2"/>
        <v>165146169</v>
      </c>
      <c r="G367" s="8">
        <v>4.0</v>
      </c>
      <c r="H367" s="9">
        <v>44687.0</v>
      </c>
      <c r="I367" s="10" t="s">
        <v>374</v>
      </c>
    </row>
    <row r="368">
      <c r="A368" s="5" t="str">
        <f t="array" ref="A368">INDEX(event_table!$A$2:$A$69, RANDBETWEEN(1, COUNTA(event_table!$A$2:$A$69)))</f>
        <v>1110</v>
      </c>
      <c r="B368" s="6">
        <f t="array" ref="B368">IFERROR(INDEX(event_table!$E$1:$E3686,MATCH(A368,event_table!$A$1:$A3686,0)),"")
</f>
        <v>1</v>
      </c>
      <c r="C368" s="7">
        <f t="shared" si="1"/>
        <v>151</v>
      </c>
      <c r="D368" s="6" t="str">
        <f t="array" ref="D368">IFERROR(INDEX(user_table!$C$2:$C3686,MATCH(C368,user_table!$B$2:$B3686,0)),"")
</f>
        <v>Maya Hidayat</v>
      </c>
      <c r="E368" s="6" t="str">
        <f t="array" ref="E368">IFERROR(INDEX(user_table!$E$2:$E3686,MATCH(C368,user_table!$B$2:$B3686,0)),"")
</f>
        <v>2, 3</v>
      </c>
      <c r="F368" s="6" t="str">
        <f t="shared" si="2"/>
        <v>111041151</v>
      </c>
      <c r="G368" s="8">
        <v>4.0</v>
      </c>
      <c r="H368" s="9">
        <v>45138.0</v>
      </c>
      <c r="I368" s="10" t="s">
        <v>375</v>
      </c>
    </row>
    <row r="369">
      <c r="A369" s="5" t="str">
        <f t="array" ref="A369">INDEX(event_table!$A$2:$A$69, RANDBETWEEN(1, COUNTA(event_table!$A$2:$A$69)))</f>
        <v>1639</v>
      </c>
      <c r="B369" s="6">
        <f t="array" ref="B369">IFERROR(INDEX(event_table!$E$1:$E3686,MATCH(A369,event_table!$A$1:$A3686,0)),"")
</f>
        <v>6</v>
      </c>
      <c r="C369" s="7">
        <f t="shared" si="1"/>
        <v>72</v>
      </c>
      <c r="D369" s="6" t="str">
        <f t="array" ref="D369">IFERROR(INDEX(user_table!$C$2:$C3686,MATCH(C369,user_table!$B$2:$B3686,0)),"")
</f>
        <v>Wahyu Kurniawan</v>
      </c>
      <c r="E369" s="6" t="str">
        <f t="array" ref="E369">IFERROR(INDEX(user_table!$E$2:$E3686,MATCH(C369,user_table!$B$2:$B3686,0)),"")
</f>
        <v>5, 3</v>
      </c>
      <c r="F369" s="6" t="str">
        <f t="shared" si="2"/>
        <v>16394672</v>
      </c>
      <c r="G369" s="8">
        <v>4.0</v>
      </c>
      <c r="H369" s="9">
        <v>45127.0</v>
      </c>
      <c r="I369" s="10" t="s">
        <v>376</v>
      </c>
    </row>
    <row r="370">
      <c r="A370" s="5" t="str">
        <f t="array" ref="A370">INDEX(event_table!$A$2:$A$69, RANDBETWEEN(1, COUNTA(event_table!$A$2:$A$69)))</f>
        <v>3163</v>
      </c>
      <c r="B370" s="6">
        <f t="array" ref="B370">IFERROR(INDEX(event_table!$E$1:$E3686,MATCH(A370,event_table!$A$1:$A3686,0)),"")
</f>
        <v>1</v>
      </c>
      <c r="C370" s="7">
        <f t="shared" si="1"/>
        <v>129</v>
      </c>
      <c r="D370" s="6" t="str">
        <f t="array" ref="D370">IFERROR(INDEX(user_table!$C$2:$C3686,MATCH(C370,user_table!$B$2:$B3686,0)),"")
</f>
        <v>Maya Kusuma</v>
      </c>
      <c r="E370" s="6" t="str">
        <f t="array" ref="E370">IFERROR(INDEX(user_table!$E$2:$E3686,MATCH(C370,user_table!$B$2:$B3686,0)),"")
</f>
        <v>4, 6</v>
      </c>
      <c r="F370" s="6" t="str">
        <f t="shared" si="2"/>
        <v>316341129</v>
      </c>
      <c r="G370" s="8">
        <v>4.0</v>
      </c>
      <c r="H370" s="9">
        <v>44942.0</v>
      </c>
      <c r="I370" s="10" t="s">
        <v>377</v>
      </c>
    </row>
    <row r="371">
      <c r="A371" s="5" t="str">
        <f t="array" ref="A371">INDEX(event_table!$A$2:$A$69, RANDBETWEEN(1, COUNTA(event_table!$A$2:$A$69)))</f>
        <v>3163</v>
      </c>
      <c r="B371" s="6">
        <f t="array" ref="B371">IFERROR(INDEX(event_table!$E$1:$E3686,MATCH(A371,event_table!$A$1:$A3686,0)),"")
</f>
        <v>1</v>
      </c>
      <c r="C371" s="7">
        <f t="shared" si="1"/>
        <v>90</v>
      </c>
      <c r="D371" s="6" t="str">
        <f t="array" ref="D371">IFERROR(INDEX(user_table!$C$2:$C3686,MATCH(C371,user_table!$B$2:$B3686,0)),"")
</f>
        <v>Dina Saputra</v>
      </c>
      <c r="E371" s="6" t="str">
        <f t="array" ref="E371">IFERROR(INDEX(user_table!$E$2:$E3686,MATCH(C371,user_table!$B$2:$B3686,0)),"")
</f>
        <v>1, 2</v>
      </c>
      <c r="F371" s="6" t="str">
        <f t="shared" si="2"/>
        <v>31634190</v>
      </c>
      <c r="G371" s="8">
        <v>4.0</v>
      </c>
      <c r="H371" s="9">
        <v>44852.0</v>
      </c>
      <c r="I371" s="10" t="s">
        <v>378</v>
      </c>
    </row>
    <row r="372">
      <c r="A372" s="5" t="str">
        <f t="array" ref="A372">INDEX(event_table!$A$2:$A$69, RANDBETWEEN(1, COUNTA(event_table!$A$2:$A$69)))</f>
        <v>1418</v>
      </c>
      <c r="B372" s="6">
        <f t="array" ref="B372">IFERROR(INDEX(event_table!$E$1:$E3686,MATCH(A372,event_table!$A$1:$A3686,0)),"")
</f>
        <v>4</v>
      </c>
      <c r="C372" s="7">
        <f t="shared" si="1"/>
        <v>199</v>
      </c>
      <c r="D372" s="6" t="str">
        <f t="array" ref="D372">IFERROR(INDEX(user_table!$C$2:$C3686,MATCH(C372,user_table!$B$2:$B3686,0)),"")
</f>
        <v>Rudi Putri</v>
      </c>
      <c r="E372" s="6" t="str">
        <f t="array" ref="E372">IFERROR(INDEX(user_table!$E$2:$E3686,MATCH(C372,user_table!$B$2:$B3686,0)),"")
</f>
        <v>2, 1</v>
      </c>
      <c r="F372" s="6" t="str">
        <f t="shared" si="2"/>
        <v>141844199</v>
      </c>
      <c r="G372" s="8">
        <v>4.0</v>
      </c>
      <c r="H372" s="9">
        <v>44763.0</v>
      </c>
      <c r="I372" s="10" t="s">
        <v>379</v>
      </c>
    </row>
    <row r="373">
      <c r="A373" s="5" t="str">
        <f t="array" ref="A373">INDEX(event_table!$A$2:$A$69, RANDBETWEEN(1, COUNTA(event_table!$A$2:$A$69)))</f>
        <v>3162</v>
      </c>
      <c r="B373" s="6">
        <f t="array" ref="B373">IFERROR(INDEX(event_table!$E$1:$E3686,MATCH(A373,event_table!$A$1:$A3686,0)),"")
</f>
        <v>1</v>
      </c>
      <c r="C373" s="7">
        <f t="shared" si="1"/>
        <v>153</v>
      </c>
      <c r="D373" s="6" t="str">
        <f t="array" ref="D373">IFERROR(INDEX(user_table!$C$2:$C3686,MATCH(C373,user_table!$B$2:$B3686,0)),"")
</f>
        <v>Budi Hartono</v>
      </c>
      <c r="E373" s="6" t="str">
        <f t="array" ref="E373">IFERROR(INDEX(user_table!$E$2:$E3686,MATCH(C373,user_table!$B$2:$B3686,0)),"")
</f>
        <v>5, 2</v>
      </c>
      <c r="F373" s="6" t="str">
        <f t="shared" si="2"/>
        <v>316231153</v>
      </c>
      <c r="G373" s="8">
        <v>3.0</v>
      </c>
      <c r="H373" s="9">
        <v>44745.0</v>
      </c>
      <c r="I373" s="10" t="s">
        <v>380</v>
      </c>
    </row>
    <row r="374">
      <c r="A374" s="5" t="str">
        <f t="array" ref="A374">INDEX(event_table!$A$2:$A$69, RANDBETWEEN(1, COUNTA(event_table!$A$2:$A$69)))</f>
        <v>117</v>
      </c>
      <c r="B374" s="6">
        <f t="array" ref="B374">IFERROR(INDEX(event_table!$E$1:$E3686,MATCH(A374,event_table!$A$1:$A3686,0)),"")
</f>
        <v>1</v>
      </c>
      <c r="C374" s="7">
        <f t="shared" si="1"/>
        <v>50</v>
      </c>
      <c r="D374" s="6" t="str">
        <f t="array" ref="D374">IFERROR(INDEX(user_table!$C$2:$C3686,MATCH(C374,user_table!$B$2:$B3686,0)),"")
</f>
        <v>Hadi Santoso</v>
      </c>
      <c r="E374" s="6" t="str">
        <f t="array" ref="E374">IFERROR(INDEX(user_table!$E$2:$E3686,MATCH(C374,user_table!$B$2:$B3686,0)),"")
</f>
        <v>5, 4</v>
      </c>
      <c r="F374" s="6" t="str">
        <f t="shared" si="2"/>
        <v>1173150</v>
      </c>
      <c r="G374" s="8">
        <v>3.0</v>
      </c>
      <c r="H374" s="9">
        <v>44686.0</v>
      </c>
      <c r="I374" s="10" t="s">
        <v>381</v>
      </c>
    </row>
    <row r="375">
      <c r="A375" s="5" t="str">
        <f t="array" ref="A375">INDEX(event_table!$A$2:$A$69, RANDBETWEEN(1, COUNTA(event_table!$A$2:$A$69)))</f>
        <v>1643</v>
      </c>
      <c r="B375" s="6">
        <f t="array" ref="B375">IFERROR(INDEX(event_table!$E$1:$E3686,MATCH(A375,event_table!$A$1:$A3686,0)),"")
</f>
        <v>6</v>
      </c>
      <c r="C375" s="7">
        <f t="shared" si="1"/>
        <v>60</v>
      </c>
      <c r="D375" s="6" t="str">
        <f t="array" ref="D375">IFERROR(INDEX(user_table!$C$2:$C3686,MATCH(C375,user_table!$B$2:$B3686,0)),"")
</f>
        <v>Rudi Septiani</v>
      </c>
      <c r="E375" s="6" t="str">
        <f t="array" ref="E375">IFERROR(INDEX(user_table!$E$2:$E3686,MATCH(C375,user_table!$B$2:$B3686,0)),"")
</f>
        <v>6, 2</v>
      </c>
      <c r="F375" s="6" t="str">
        <f t="shared" si="2"/>
        <v>16433660</v>
      </c>
      <c r="G375" s="8">
        <v>3.0</v>
      </c>
      <c r="H375" s="9">
        <v>45129.0</v>
      </c>
      <c r="I375" s="10" t="s">
        <v>382</v>
      </c>
    </row>
    <row r="376">
      <c r="A376" s="5" t="str">
        <f t="array" ref="A376">INDEX(event_table!$A$2:$A$69, RANDBETWEEN(1, COUNTA(event_table!$A$2:$A$69)))</f>
        <v>1528</v>
      </c>
      <c r="B376" s="6">
        <f t="array" ref="B376">IFERROR(INDEX(event_table!$E$1:$E3686,MATCH(A376,event_table!$A$1:$A3686,0)),"")
</f>
        <v>5</v>
      </c>
      <c r="C376" s="7">
        <f t="shared" si="1"/>
        <v>37</v>
      </c>
      <c r="D376" s="6" t="str">
        <f t="array" ref="D376">IFERROR(INDEX(user_table!$C$2:$C3686,MATCH(C376,user_table!$B$2:$B3686,0)),"")
</f>
        <v>Lina Susanto</v>
      </c>
      <c r="E376" s="6" t="str">
        <f t="array" ref="E376">IFERROR(INDEX(user_table!$E$2:$E3686,MATCH(C376,user_table!$B$2:$B3686,0)),"")
</f>
        <v>2, 2</v>
      </c>
      <c r="F376" s="6" t="str">
        <f t="shared" si="2"/>
        <v>15282537</v>
      </c>
      <c r="G376" s="8">
        <v>2.0</v>
      </c>
      <c r="H376" s="9">
        <v>44936.0</v>
      </c>
      <c r="I376" s="10" t="s">
        <v>383</v>
      </c>
    </row>
    <row r="377">
      <c r="A377" s="5" t="str">
        <f t="array" ref="A377">INDEX(event_table!$A$2:$A$69, RANDBETWEEN(1, COUNTA(event_table!$A$2:$A$69)))</f>
        <v>3167</v>
      </c>
      <c r="B377" s="6">
        <f t="array" ref="B377">IFERROR(INDEX(event_table!$E$1:$E3686,MATCH(A377,event_table!$A$1:$A3686,0)),"")
</f>
        <v>1</v>
      </c>
      <c r="C377" s="7">
        <f t="shared" si="1"/>
        <v>3</v>
      </c>
      <c r="D377" s="6" t="str">
        <f t="array" ref="D377">IFERROR(INDEX(user_table!$C$2:$C3686,MATCH(C377,user_table!$B$2:$B3686,0)),"")
</f>
        <v>Fandi Wijaya</v>
      </c>
      <c r="E377" s="6" t="str">
        <f t="array" ref="E377">IFERROR(INDEX(user_table!$E$2:$E3686,MATCH(C377,user_table!$B$2:$B3686,0)),"")
</f>
        <v>6, 1</v>
      </c>
      <c r="F377" s="6" t="str">
        <f t="shared" si="2"/>
        <v>3167213</v>
      </c>
      <c r="G377" s="8">
        <v>2.0</v>
      </c>
      <c r="H377" s="9">
        <v>44478.0</v>
      </c>
      <c r="I377" s="10" t="s">
        <v>384</v>
      </c>
    </row>
    <row r="378">
      <c r="A378" s="5" t="str">
        <f t="array" ref="A378">INDEX(event_table!$A$2:$A$69, RANDBETWEEN(1, COUNTA(event_table!$A$2:$A$69)))</f>
        <v>118</v>
      </c>
      <c r="B378" s="6">
        <f t="array" ref="B378">IFERROR(INDEX(event_table!$E$1:$E3686,MATCH(A378,event_table!$A$1:$A3686,0)),"")
</f>
        <v>1</v>
      </c>
      <c r="C378" s="7">
        <f t="shared" si="1"/>
        <v>182</v>
      </c>
      <c r="D378" s="6" t="str">
        <f t="array" ref="D378">IFERROR(INDEX(user_table!$C$2:$C3686,MATCH(C378,user_table!$B$2:$B3686,0)),"")
</f>
        <v>Siti Utami</v>
      </c>
      <c r="E378" s="6" t="str">
        <f t="array" ref="E378">IFERROR(INDEX(user_table!$E$2:$E3686,MATCH(C378,user_table!$B$2:$B3686,0)),"")
</f>
        <v>5, 4</v>
      </c>
      <c r="F378" s="6" t="str">
        <f t="shared" si="2"/>
        <v>11821182</v>
      </c>
      <c r="G378" s="8">
        <v>2.0</v>
      </c>
      <c r="H378" s="9">
        <v>45253.0</v>
      </c>
      <c r="I378" s="10" t="s">
        <v>385</v>
      </c>
    </row>
    <row r="379">
      <c r="A379" s="5" t="str">
        <f t="array" ref="A379">INDEX(event_table!$A$2:$A$69, RANDBETWEEN(1, COUNTA(event_table!$A$2:$A$69)))</f>
        <v>1646</v>
      </c>
      <c r="B379" s="6">
        <f t="array" ref="B379">IFERROR(INDEX(event_table!$E$1:$E3686,MATCH(A379,event_table!$A$1:$A3686,0)),"")
</f>
        <v>6</v>
      </c>
      <c r="C379" s="7">
        <f t="shared" si="1"/>
        <v>83</v>
      </c>
      <c r="D379" s="6" t="str">
        <f t="array" ref="D379">IFERROR(INDEX(user_table!$C$2:$C3686,MATCH(C379,user_table!$B$2:$B3686,0)),"")
</f>
        <v>Sinta Nurhayati</v>
      </c>
      <c r="E379" s="6" t="str">
        <f t="array" ref="E379">IFERROR(INDEX(user_table!$E$2:$E3686,MATCH(C379,user_table!$B$2:$B3686,0)),"")
</f>
        <v>5, 5</v>
      </c>
      <c r="F379" s="6" t="str">
        <f t="shared" si="2"/>
        <v>16462683</v>
      </c>
      <c r="G379" s="8">
        <v>2.0</v>
      </c>
      <c r="H379" s="9">
        <v>45250.0</v>
      </c>
      <c r="I379" s="10" t="s">
        <v>386</v>
      </c>
    </row>
    <row r="380">
      <c r="A380" s="5" t="str">
        <f t="array" ref="A380">INDEX(event_table!$A$2:$A$69, RANDBETWEEN(1, COUNTA(event_table!$A$2:$A$69)))</f>
        <v>3455</v>
      </c>
      <c r="B380" s="6">
        <f t="array" ref="B380">IFERROR(INDEX(event_table!$E$1:$E3686,MATCH(A380,event_table!$A$1:$A3686,0)),"")
</f>
        <v>4</v>
      </c>
      <c r="C380" s="7">
        <f t="shared" si="1"/>
        <v>101</v>
      </c>
      <c r="D380" s="6" t="str">
        <f t="array" ref="D380">IFERROR(INDEX(user_table!$C$2:$C3686,MATCH(C380,user_table!$B$2:$B3686,0)),"")
</f>
        <v>Maya Hadiwijaya</v>
      </c>
      <c r="E380" s="6" t="str">
        <f t="array" ref="E380">IFERROR(INDEX(user_table!$E$2:$E3686,MATCH(C380,user_table!$B$2:$B3686,0)),"")
</f>
        <v>5, 4</v>
      </c>
      <c r="F380" s="6" t="str">
        <f t="shared" si="2"/>
        <v>345524101</v>
      </c>
      <c r="G380" s="8">
        <v>2.0</v>
      </c>
      <c r="H380" s="9">
        <v>45200.0</v>
      </c>
      <c r="I380" s="10" t="s">
        <v>387</v>
      </c>
    </row>
    <row r="381">
      <c r="A381" s="5" t="str">
        <f t="array" ref="A381">INDEX(event_table!$A$2:$A$69, RANDBETWEEN(1, COUNTA(event_table!$A$2:$A$69)))</f>
        <v>3163</v>
      </c>
      <c r="B381" s="6">
        <f t="array" ref="B381">IFERROR(INDEX(event_table!$E$1:$E3686,MATCH(A381,event_table!$A$1:$A3686,0)),"")
</f>
        <v>1</v>
      </c>
      <c r="C381" s="7">
        <f t="shared" si="1"/>
        <v>68</v>
      </c>
      <c r="D381" s="6" t="str">
        <f t="array" ref="D381">IFERROR(INDEX(user_table!$C$2:$C3686,MATCH(C381,user_table!$B$2:$B3686,0)),"")
</f>
        <v>Wahyu Wijaya</v>
      </c>
      <c r="E381" s="6" t="str">
        <f t="array" ref="E381">IFERROR(INDEX(user_table!$E$2:$E3686,MATCH(C381,user_table!$B$2:$B3686,0)),"")
</f>
        <v>4, 6</v>
      </c>
      <c r="F381" s="6" t="str">
        <f t="shared" si="2"/>
        <v>31632168</v>
      </c>
      <c r="G381" s="8">
        <v>2.0</v>
      </c>
      <c r="H381" s="9">
        <v>45155.0</v>
      </c>
      <c r="I381" s="10" t="s">
        <v>388</v>
      </c>
    </row>
    <row r="382">
      <c r="A382" s="5" t="str">
        <f t="array" ref="A382">INDEX(event_table!$A$2:$A$69, RANDBETWEEN(1, COUNTA(event_table!$A$2:$A$69)))</f>
        <v>1332</v>
      </c>
      <c r="B382" s="6">
        <f t="array" ref="B382">IFERROR(INDEX(event_table!$E$1:$E3686,MATCH(A382,event_table!$A$1:$A3686,0)),"")
</f>
        <v>3</v>
      </c>
      <c r="C382" s="7">
        <f t="shared" si="1"/>
        <v>177</v>
      </c>
      <c r="D382" s="6" t="str">
        <f t="array" ref="D382">IFERROR(INDEX(user_table!$C$2:$C3686,MATCH(C382,user_table!$B$2:$B3686,0)),"")
</f>
        <v>Andi Susanto</v>
      </c>
      <c r="E382" s="6" t="str">
        <f t="array" ref="E382">IFERROR(INDEX(user_table!$E$2:$E3686,MATCH(C382,user_table!$B$2:$B3686,0)),"")
</f>
        <v>2, 6</v>
      </c>
      <c r="F382" s="6" t="str">
        <f t="shared" si="2"/>
        <v>133223177</v>
      </c>
      <c r="G382" s="8">
        <v>2.0</v>
      </c>
      <c r="H382" s="9">
        <v>45138.0</v>
      </c>
      <c r="I382" s="10" t="s">
        <v>389</v>
      </c>
    </row>
    <row r="383">
      <c r="A383" s="5" t="str">
        <f t="array" ref="A383">INDEX(event_table!$A$2:$A$69, RANDBETWEEN(1, COUNTA(event_table!$A$2:$A$69)))</f>
        <v>3454</v>
      </c>
      <c r="B383" s="6">
        <f t="array" ref="B383">IFERROR(INDEX(event_table!$E$1:$E3686,MATCH(A383,event_table!$A$1:$A3686,0)),"")
</f>
        <v>4</v>
      </c>
      <c r="C383" s="7">
        <f t="shared" si="1"/>
        <v>33</v>
      </c>
      <c r="D383" s="6" t="str">
        <f t="array" ref="D383">IFERROR(INDEX(user_table!$C$2:$C3686,MATCH(C383,user_table!$B$2:$B3686,0)),"")
</f>
        <v>Dewi Wijaya</v>
      </c>
      <c r="E383" s="6" t="str">
        <f t="array" ref="E383">IFERROR(INDEX(user_table!$E$2:$E3686,MATCH(C383,user_table!$B$2:$B3686,0)),"")
</f>
        <v>4, 2</v>
      </c>
      <c r="F383" s="6" t="str">
        <f t="shared" si="2"/>
        <v>34542433</v>
      </c>
      <c r="G383" s="8">
        <v>2.0</v>
      </c>
      <c r="H383" s="9">
        <v>45136.0</v>
      </c>
      <c r="I383" s="10" t="s">
        <v>390</v>
      </c>
    </row>
    <row r="384">
      <c r="A384" s="5" t="str">
        <f t="array" ref="A384">INDEX(event_table!$A$2:$A$69, RANDBETWEEN(1, COUNTA(event_table!$A$2:$A$69)))</f>
        <v>1313</v>
      </c>
      <c r="B384" s="6">
        <f t="array" ref="B384">IFERROR(INDEX(event_table!$E$1:$E3686,MATCH(A384,event_table!$A$1:$A3686,0)),"")
</f>
        <v>3</v>
      </c>
      <c r="C384" s="7">
        <f t="shared" si="1"/>
        <v>61</v>
      </c>
      <c r="D384" s="6" t="str">
        <f t="array" ref="D384">IFERROR(INDEX(user_table!$C$2:$C3686,MATCH(C384,user_table!$B$2:$B3686,0)),"")
</f>
        <v>Agus Setiawan</v>
      </c>
      <c r="E384" s="6" t="str">
        <f t="array" ref="E384">IFERROR(INDEX(user_table!$E$2:$E3686,MATCH(C384,user_table!$B$2:$B3686,0)),"")
</f>
        <v>4, 5</v>
      </c>
      <c r="F384" s="6" t="str">
        <f t="shared" si="2"/>
        <v>13132361</v>
      </c>
      <c r="G384" s="8">
        <v>2.0</v>
      </c>
      <c r="H384" s="9">
        <v>45073.0</v>
      </c>
      <c r="I384" s="10" t="s">
        <v>391</v>
      </c>
    </row>
    <row r="385">
      <c r="A385" s="5" t="str">
        <f t="array" ref="A385">INDEX(event_table!$A$2:$A$69, RANDBETWEEN(1, COUNTA(event_table!$A$2:$A$69)))</f>
        <v>1530</v>
      </c>
      <c r="B385" s="6">
        <f t="array" ref="B385">IFERROR(INDEX(event_table!$E$1:$E3686,MATCH(A385,event_table!$A$1:$A3686,0)),"")
</f>
        <v>5</v>
      </c>
      <c r="C385" s="7">
        <f t="shared" si="1"/>
        <v>27</v>
      </c>
      <c r="D385" s="6" t="str">
        <f t="array" ref="D385">IFERROR(INDEX(user_table!$C$2:$C3686,MATCH(C385,user_table!$B$2:$B3686,0)),"")
</f>
        <v>Fandi Purnama</v>
      </c>
      <c r="E385" s="6" t="str">
        <f t="array" ref="E385">IFERROR(INDEX(user_table!$E$2:$E3686,MATCH(C385,user_table!$B$2:$B3686,0)),"")
</f>
        <v>4, 6</v>
      </c>
      <c r="F385" s="6" t="str">
        <f t="shared" si="2"/>
        <v>15302527</v>
      </c>
      <c r="G385" s="8">
        <v>2.0</v>
      </c>
      <c r="H385" s="9">
        <v>45056.0</v>
      </c>
      <c r="I385" s="10" t="s">
        <v>392</v>
      </c>
    </row>
    <row r="386">
      <c r="A386" s="5" t="str">
        <f t="array" ref="A386">INDEX(event_table!$A$2:$A$69, RANDBETWEEN(1, COUNTA(event_table!$A$2:$A$69)))</f>
        <v>1644</v>
      </c>
      <c r="B386" s="6">
        <f t="array" ref="B386">IFERROR(INDEX(event_table!$E$1:$E3686,MATCH(A386,event_table!$A$1:$A3686,0)),"")
</f>
        <v>6</v>
      </c>
      <c r="C386" s="7">
        <f t="shared" si="1"/>
        <v>24</v>
      </c>
      <c r="D386" s="6" t="str">
        <f t="array" ref="D386">IFERROR(INDEX(user_table!$C$2:$C3686,MATCH(C386,user_table!$B$2:$B3686,0)),"")
</f>
        <v>Andi Septiani</v>
      </c>
      <c r="E386" s="6" t="str">
        <f t="array" ref="E386">IFERROR(INDEX(user_table!$E$2:$E3686,MATCH(C386,user_table!$B$2:$B3686,0)),"")
</f>
        <v>2, 2</v>
      </c>
      <c r="F386" s="6" t="str">
        <f t="shared" si="2"/>
        <v>16442624</v>
      </c>
      <c r="G386" s="8">
        <v>2.0</v>
      </c>
      <c r="H386" s="9">
        <v>45053.0</v>
      </c>
      <c r="I386" s="10" t="s">
        <v>393</v>
      </c>
    </row>
    <row r="387">
      <c r="A387" s="5" t="str">
        <f t="array" ref="A387">INDEX(event_table!$A$2:$A$69, RANDBETWEEN(1, COUNTA(event_table!$A$2:$A$69)))</f>
        <v>3167</v>
      </c>
      <c r="B387" s="6">
        <f t="array" ref="B387">IFERROR(INDEX(event_table!$E$1:$E3686,MATCH(A387,event_table!$A$1:$A3686,0)),"")
</f>
        <v>1</v>
      </c>
      <c r="C387" s="7">
        <f t="shared" si="1"/>
        <v>30</v>
      </c>
      <c r="D387" s="6" t="str">
        <f t="array" ref="D387">IFERROR(INDEX(user_table!$C$2:$C3686,MATCH(C387,user_table!$B$2:$B3686,0)),"")
</f>
        <v>Fajar Kurniawan</v>
      </c>
      <c r="E387" s="6" t="str">
        <f t="array" ref="E387">IFERROR(INDEX(user_table!$E$2:$E3686,MATCH(C387,user_table!$B$2:$B3686,0)),"")
</f>
        <v>5, 3</v>
      </c>
      <c r="F387" s="6" t="str">
        <f t="shared" si="2"/>
        <v>31672130</v>
      </c>
      <c r="G387" s="8">
        <v>2.0</v>
      </c>
      <c r="H387" s="9">
        <v>45049.0</v>
      </c>
      <c r="I387" s="10" t="s">
        <v>394</v>
      </c>
    </row>
    <row r="388">
      <c r="A388" s="5" t="str">
        <f t="array" ref="A388">INDEX(event_table!$A$2:$A$69, RANDBETWEEN(1, COUNTA(event_table!$A$2:$A$69)))</f>
        <v>3169</v>
      </c>
      <c r="B388" s="6">
        <f t="array" ref="B388">IFERROR(INDEX(event_table!$E$1:$E3686,MATCH(A388,event_table!$A$1:$A3686,0)),"")
</f>
        <v>1</v>
      </c>
      <c r="C388" s="7">
        <f t="shared" si="1"/>
        <v>161</v>
      </c>
      <c r="D388" s="6" t="str">
        <f t="array" ref="D388">IFERROR(INDEX(user_table!$C$2:$C3686,MATCH(C388,user_table!$B$2:$B3686,0)),"")
</f>
        <v>Lina Nugroho</v>
      </c>
      <c r="E388" s="6" t="str">
        <f t="array" ref="E388">IFERROR(INDEX(user_table!$E$2:$E3686,MATCH(C388,user_table!$B$2:$B3686,0)),"")
</f>
        <v>6, 5</v>
      </c>
      <c r="F388" s="6" t="str">
        <f t="shared" si="2"/>
        <v>316911161</v>
      </c>
      <c r="G388" s="8">
        <v>1.0</v>
      </c>
      <c r="H388" s="9">
        <v>45233.0</v>
      </c>
      <c r="I388" s="10" t="s">
        <v>395</v>
      </c>
    </row>
    <row r="389">
      <c r="A389" s="5" t="str">
        <f t="array" ref="A389">INDEX(event_table!$A$2:$A$69, RANDBETWEEN(1, COUNTA(event_table!$A$2:$A$69)))</f>
        <v>1420</v>
      </c>
      <c r="B389" s="6">
        <f t="array" ref="B389">IFERROR(INDEX(event_table!$E$1:$E3686,MATCH(A389,event_table!$A$1:$A3686,0)),"")
</f>
        <v>4</v>
      </c>
      <c r="C389" s="7">
        <f t="shared" si="1"/>
        <v>72</v>
      </c>
      <c r="D389" s="6" t="str">
        <f t="array" ref="D389">IFERROR(INDEX(user_table!$C$2:$C3686,MATCH(C389,user_table!$B$2:$B3686,0)),"")
</f>
        <v>Wahyu Kurniawan</v>
      </c>
      <c r="E389" s="6" t="str">
        <f t="array" ref="E389">IFERROR(INDEX(user_table!$E$2:$E3686,MATCH(C389,user_table!$B$2:$B3686,0)),"")
</f>
        <v>5, 3</v>
      </c>
      <c r="F389" s="6" t="str">
        <f t="shared" si="2"/>
        <v>14201472</v>
      </c>
      <c r="G389" s="8">
        <v>1.0</v>
      </c>
      <c r="H389" s="9">
        <v>45161.0</v>
      </c>
      <c r="I389" s="10" t="s">
        <v>396</v>
      </c>
    </row>
    <row r="390">
      <c r="A390" s="5" t="str">
        <f t="array" ref="A390">INDEX(event_table!$A$2:$A$69, RANDBETWEEN(1, COUNTA(event_table!$A$2:$A$69)))</f>
        <v>1215</v>
      </c>
      <c r="B390" s="6">
        <f t="array" ref="B390">IFERROR(INDEX(event_table!$E$1:$E3686,MATCH(A390,event_table!$A$1:$A3686,0)),"")
</f>
        <v>2</v>
      </c>
      <c r="C390" s="7">
        <f t="shared" si="1"/>
        <v>23</v>
      </c>
      <c r="D390" s="6" t="str">
        <f t="array" ref="D390">IFERROR(INDEX(user_table!$C$2:$C3686,MATCH(C390,user_table!$B$2:$B3686,0)),"")
</f>
        <v>Fajar Kusuma</v>
      </c>
      <c r="E390" s="6" t="str">
        <f t="array" ref="E390">IFERROR(INDEX(user_table!$E$2:$E3686,MATCH(C390,user_table!$B$2:$B3686,0)),"")
</f>
        <v>4, 1</v>
      </c>
      <c r="F390" s="6" t="str">
        <f t="shared" si="2"/>
        <v>12151223</v>
      </c>
      <c r="G390" s="8">
        <v>1.0</v>
      </c>
      <c r="H390" s="9">
        <v>45241.0</v>
      </c>
      <c r="I390" s="10" t="s">
        <v>397</v>
      </c>
    </row>
    <row r="391">
      <c r="A391" s="5" t="str">
        <f t="array" ref="A391">INDEX(event_table!$A$2:$A$69, RANDBETWEEN(1, COUNTA(event_table!$A$2:$A$69)))</f>
        <v>3166</v>
      </c>
      <c r="B391" s="6">
        <f t="array" ref="B391">IFERROR(INDEX(event_table!$E$1:$E3686,MATCH(A391,event_table!$A$1:$A3686,0)),"")
</f>
        <v>1</v>
      </c>
      <c r="C391" s="7">
        <f t="shared" si="1"/>
        <v>32</v>
      </c>
      <c r="D391" s="6" t="str">
        <f t="array" ref="D391">IFERROR(INDEX(user_table!$C$2:$C3686,MATCH(C391,user_table!$B$2:$B3686,0)),"")
</f>
        <v>Ani Setiawan</v>
      </c>
      <c r="E391" s="6" t="str">
        <f t="array" ref="E391">IFERROR(INDEX(user_table!$E$2:$E3686,MATCH(C391,user_table!$B$2:$B3686,0)),"")
</f>
        <v>6, 3</v>
      </c>
      <c r="F391" s="6" t="str">
        <f t="shared" si="2"/>
        <v>31661132</v>
      </c>
      <c r="G391" s="8">
        <v>1.0</v>
      </c>
      <c r="H391" s="9">
        <v>45226.0</v>
      </c>
      <c r="I391" s="10" t="s">
        <v>398</v>
      </c>
    </row>
    <row r="392">
      <c r="A392" s="5" t="str">
        <f t="array" ref="A392">INDEX(event_table!$A$2:$A$69, RANDBETWEEN(1, COUNTA(event_table!$A$2:$A$69)))</f>
        <v>1416</v>
      </c>
      <c r="B392" s="6">
        <f t="array" ref="B392">IFERROR(INDEX(event_table!$E$1:$E3686,MATCH(A392,event_table!$A$1:$A3686,0)),"")
</f>
        <v>4</v>
      </c>
      <c r="C392" s="7">
        <f t="shared" si="1"/>
        <v>30</v>
      </c>
      <c r="D392" s="6" t="str">
        <f t="array" ref="D392">IFERROR(INDEX(user_table!$C$2:$C3686,MATCH(C392,user_table!$B$2:$B3686,0)),"")
</f>
        <v>Fajar Kurniawan</v>
      </c>
      <c r="E392" s="6" t="str">
        <f t="array" ref="E392">IFERROR(INDEX(user_table!$E$2:$E3686,MATCH(C392,user_table!$B$2:$B3686,0)),"")
</f>
        <v>5, 3</v>
      </c>
      <c r="F392" s="6" t="str">
        <f t="shared" si="2"/>
        <v>14161430</v>
      </c>
      <c r="G392" s="8">
        <v>1.0</v>
      </c>
      <c r="H392" s="9">
        <v>45181.0</v>
      </c>
      <c r="I392" s="10" t="s">
        <v>399</v>
      </c>
    </row>
    <row r="393">
      <c r="A393" s="5" t="str">
        <f t="array" ref="A393">INDEX(event_table!$A$2:$A$69, RANDBETWEEN(1, COUNTA(event_table!$A$2:$A$69)))</f>
        <v>1640</v>
      </c>
      <c r="B393" s="6">
        <f t="array" ref="B393">IFERROR(INDEX(event_table!$E$1:$E3686,MATCH(A393,event_table!$A$1:$A3686,0)),"")
</f>
        <v>6</v>
      </c>
      <c r="C393" s="7">
        <f t="shared" si="1"/>
        <v>89</v>
      </c>
      <c r="D393" s="6" t="str">
        <f t="array" ref="D393">IFERROR(INDEX(user_table!$C$2:$C3686,MATCH(C393,user_table!$B$2:$B3686,0)),"")
</f>
        <v>Hadi Wijaya</v>
      </c>
      <c r="E393" s="6" t="str">
        <f t="array" ref="E393">IFERROR(INDEX(user_table!$E$2:$E3686,MATCH(C393,user_table!$B$2:$B3686,0)),"")
</f>
        <v>6, 4</v>
      </c>
      <c r="F393" s="6" t="str">
        <f t="shared" si="2"/>
        <v>16401689</v>
      </c>
      <c r="G393" s="8">
        <v>1.0</v>
      </c>
      <c r="H393" s="9">
        <v>45176.0</v>
      </c>
      <c r="I393" s="10" t="s">
        <v>400</v>
      </c>
    </row>
    <row r="394">
      <c r="A394" s="5" t="str">
        <f t="array" ref="A394">INDEX(event_table!$A$2:$A$69, RANDBETWEEN(1, COUNTA(event_table!$A$2:$A$69)))</f>
        <v>3659</v>
      </c>
      <c r="B394" s="6">
        <f t="array" ref="B394">IFERROR(INDEX(event_table!$E$1:$E3686,MATCH(A394,event_table!$A$1:$A3686,0)),"")
</f>
        <v>6</v>
      </c>
      <c r="C394" s="7">
        <f t="shared" si="1"/>
        <v>109</v>
      </c>
      <c r="D394" s="6" t="str">
        <f t="array" ref="D394">IFERROR(INDEX(user_table!$C$2:$C3686,MATCH(C394,user_table!$B$2:$B3686,0)),"")
</f>
        <v>Ani Sari</v>
      </c>
      <c r="E394" s="6" t="str">
        <f t="array" ref="E394">IFERROR(INDEX(user_table!$E$2:$E3686,MATCH(C394,user_table!$B$2:$B3686,0)),"")
</f>
        <v>4, 5</v>
      </c>
      <c r="F394" s="6" t="str">
        <f t="shared" si="2"/>
        <v>365916109</v>
      </c>
      <c r="G394" s="8">
        <v>1.0</v>
      </c>
      <c r="H394" s="9">
        <v>45135.0</v>
      </c>
      <c r="I394" s="10" t="s">
        <v>401</v>
      </c>
    </row>
    <row r="395">
      <c r="A395" s="5" t="str">
        <f t="array" ref="A395">INDEX(event_table!$A$2:$A$69, RANDBETWEEN(1, COUNTA(event_table!$A$2:$A$69)))</f>
        <v>1425</v>
      </c>
      <c r="B395" s="6">
        <f t="array" ref="B395">IFERROR(INDEX(event_table!$E$1:$E3686,MATCH(A395,event_table!$A$1:$A3686,0)),"")
</f>
        <v>4</v>
      </c>
      <c r="C395" s="7">
        <f t="shared" si="1"/>
        <v>13</v>
      </c>
      <c r="D395" s="6" t="str">
        <f t="array" ref="D395">IFERROR(INDEX(user_table!$C$2:$C3686,MATCH(C395,user_table!$B$2:$B3686,0)),"")
</f>
        <v>Hadi Kurniawan</v>
      </c>
      <c r="E395" s="6" t="str">
        <f t="array" ref="E395">IFERROR(INDEX(user_table!$E$2:$E3686,MATCH(C395,user_table!$B$2:$B3686,0)),"")
</f>
        <v>4, 3</v>
      </c>
      <c r="F395" s="6" t="str">
        <f t="shared" si="2"/>
        <v>14251413</v>
      </c>
      <c r="G395" s="8">
        <v>1.0</v>
      </c>
      <c r="H395" s="9">
        <v>45090.0</v>
      </c>
      <c r="I395" s="10" t="s">
        <v>402</v>
      </c>
    </row>
    <row r="396">
      <c r="A396" s="5" t="str">
        <f t="array" ref="A396">INDEX(event_table!$A$2:$A$69, RANDBETWEEN(1, COUNTA(event_table!$A$2:$A$69)))</f>
        <v>1641</v>
      </c>
      <c r="B396" s="6">
        <f t="array" ref="B396">IFERROR(INDEX(event_table!$E$1:$E3686,MATCH(A396,event_table!$A$1:$A3686,0)),"")
</f>
        <v>6</v>
      </c>
      <c r="C396" s="7">
        <f t="shared" si="1"/>
        <v>194</v>
      </c>
      <c r="D396" s="6" t="str">
        <f t="array" ref="D396">IFERROR(INDEX(user_table!$C$2:$C3686,MATCH(C396,user_table!$B$2:$B3686,0)),"")
</f>
        <v>Andi Putri</v>
      </c>
      <c r="E396" s="6" t="str">
        <f t="array" ref="E396">IFERROR(INDEX(user_table!$E$2:$E3686,MATCH(C396,user_table!$B$2:$B3686,0)),"")
</f>
        <v>4, 4</v>
      </c>
      <c r="F396" s="6" t="str">
        <f t="shared" si="2"/>
        <v>164116194</v>
      </c>
      <c r="G396" s="8">
        <v>1.0</v>
      </c>
      <c r="H396" s="9">
        <v>45057.0</v>
      </c>
      <c r="I396" s="10" t="s">
        <v>403</v>
      </c>
    </row>
    <row r="397">
      <c r="A397" s="5" t="str">
        <f t="array" ref="A397">INDEX(event_table!$A$2:$A$69, RANDBETWEEN(1, COUNTA(event_table!$A$2:$A$69)))</f>
        <v>3659</v>
      </c>
      <c r="B397" s="6">
        <f t="array" ref="B397">IFERROR(INDEX(event_table!$E$1:$E3686,MATCH(A397,event_table!$A$1:$A3686,0)),"")
</f>
        <v>6</v>
      </c>
      <c r="C397" s="7">
        <f t="shared" si="1"/>
        <v>93</v>
      </c>
      <c r="D397" s="6" t="str">
        <f t="array" ref="D397">IFERROR(INDEX(user_table!$C$2:$C3686,MATCH(C397,user_table!$B$2:$B3686,0)),"")
</f>
        <v>Hadi Putri</v>
      </c>
      <c r="E397" s="6" t="str">
        <f t="array" ref="E397">IFERROR(INDEX(user_table!$E$2:$E3686,MATCH(C397,user_table!$B$2:$B3686,0)),"")
</f>
        <v>5, 6</v>
      </c>
      <c r="F397" s="6" t="str">
        <f t="shared" si="2"/>
        <v>36591693</v>
      </c>
      <c r="G397" s="8">
        <v>1.0</v>
      </c>
      <c r="H397" s="9">
        <v>45054.0</v>
      </c>
      <c r="I397" s="10" t="s">
        <v>404</v>
      </c>
    </row>
    <row r="398">
      <c r="A398" s="5" t="str">
        <f t="array" ref="A398">INDEX(event_table!$A$2:$A$69, RANDBETWEEN(1, COUNTA(event_table!$A$2:$A$69)))</f>
        <v>1212</v>
      </c>
      <c r="B398" s="6">
        <f t="array" ref="B398">IFERROR(INDEX(event_table!$E$1:$E3686,MATCH(A398,event_table!$A$1:$A3686,0)),"")
</f>
        <v>2</v>
      </c>
      <c r="C398" s="7">
        <f t="shared" si="1"/>
        <v>165</v>
      </c>
      <c r="D398" s="6" t="str">
        <f t="array" ref="D398">IFERROR(INDEX(user_table!$C$2:$C3686,MATCH(C398,user_table!$B$2:$B3686,0)),"")
</f>
        <v>Agus Pratama</v>
      </c>
      <c r="E398" s="6" t="str">
        <f t="array" ref="E398">IFERROR(INDEX(user_table!$E$2:$E3686,MATCH(C398,user_table!$B$2:$B3686,0)),"")
</f>
        <v>6, 2</v>
      </c>
      <c r="F398" s="6" t="str">
        <f t="shared" si="2"/>
        <v>121252165</v>
      </c>
      <c r="G398" s="8">
        <v>5.0</v>
      </c>
      <c r="H398" s="9">
        <v>44733.0</v>
      </c>
      <c r="I398" s="10" t="s">
        <v>405</v>
      </c>
    </row>
    <row r="399">
      <c r="A399" s="5" t="str">
        <f t="array" ref="A399">INDEX(event_table!$A$2:$A$69, RANDBETWEEN(1, COUNTA(event_table!$A$2:$A$69)))</f>
        <v>1418</v>
      </c>
      <c r="B399" s="6">
        <f t="array" ref="B399">IFERROR(INDEX(event_table!$E$1:$E3686,MATCH(A399,event_table!$A$1:$A3686,0)),"")
</f>
        <v>4</v>
      </c>
      <c r="C399" s="7">
        <f t="shared" si="1"/>
        <v>44</v>
      </c>
      <c r="D399" s="6" t="str">
        <f t="array" ref="D399">IFERROR(INDEX(user_table!$C$2:$C3686,MATCH(C399,user_table!$B$2:$B3686,0)),"")
</f>
        <v>Arif Sari</v>
      </c>
      <c r="E399" s="6" t="str">
        <f t="array" ref="E399">IFERROR(INDEX(user_table!$E$2:$E3686,MATCH(C399,user_table!$B$2:$B3686,0)),"")
</f>
        <v>2, 4</v>
      </c>
      <c r="F399" s="6" t="str">
        <f t="shared" si="2"/>
        <v>14185444</v>
      </c>
      <c r="G399" s="8">
        <v>5.0</v>
      </c>
      <c r="H399" s="9">
        <v>44732.0</v>
      </c>
      <c r="I399" s="10" t="s">
        <v>406</v>
      </c>
    </row>
    <row r="400">
      <c r="A400" s="5" t="str">
        <f t="array" ref="A400">INDEX(event_table!$A$2:$A$69, RANDBETWEEN(1, COUNTA(event_table!$A$2:$A$69)))</f>
        <v>3167</v>
      </c>
      <c r="B400" s="6">
        <f t="array" ref="B400">IFERROR(INDEX(event_table!$E$1:$E3686,MATCH(A400,event_table!$A$1:$A3686,0)),"")
</f>
        <v>1</v>
      </c>
      <c r="C400" s="7">
        <f t="shared" si="1"/>
        <v>85</v>
      </c>
      <c r="D400" s="6" t="str">
        <f t="array" ref="D400">IFERROR(INDEX(user_table!$C$2:$C3686,MATCH(C400,user_table!$B$2:$B3686,0)),"")
</f>
        <v>Maya Susanto</v>
      </c>
      <c r="E400" s="6" t="str">
        <f t="array" ref="E400">IFERROR(INDEX(user_table!$E$2:$E3686,MATCH(C400,user_table!$B$2:$B3686,0)),"")
</f>
        <v>6, 5</v>
      </c>
      <c r="F400" s="6" t="str">
        <f t="shared" si="2"/>
        <v>31675185</v>
      </c>
      <c r="G400" s="8">
        <v>5.0</v>
      </c>
      <c r="H400" s="9">
        <v>44732.0</v>
      </c>
      <c r="I400" s="10" t="s">
        <v>407</v>
      </c>
    </row>
    <row r="401">
      <c r="A401" s="5" t="str">
        <f t="array" ref="A401">INDEX(event_table!$A$2:$A$69, RANDBETWEEN(1, COUNTA(event_table!$A$2:$A$69)))</f>
        <v>1422</v>
      </c>
      <c r="B401" s="6">
        <f t="array" ref="B401">IFERROR(INDEX(event_table!$E$1:$E3686,MATCH(A401,event_table!$A$1:$A3686,0)),"")
</f>
        <v>4</v>
      </c>
      <c r="C401" s="7">
        <f t="shared" si="1"/>
        <v>47</v>
      </c>
      <c r="D401" s="6" t="str">
        <f t="array" ref="D401">IFERROR(INDEX(user_table!$C$2:$C3686,MATCH(C401,user_table!$B$2:$B3686,0)),"")
</f>
        <v>Fandi Kurniawan</v>
      </c>
      <c r="E401" s="6" t="str">
        <f t="array" ref="E401">IFERROR(INDEX(user_table!$E$2:$E3686,MATCH(C401,user_table!$B$2:$B3686,0)),"")
</f>
        <v>5, 6</v>
      </c>
      <c r="F401" s="6" t="str">
        <f t="shared" si="2"/>
        <v>14225447</v>
      </c>
      <c r="G401" s="8">
        <v>5.0</v>
      </c>
      <c r="H401" s="9">
        <v>44732.0</v>
      </c>
      <c r="I401" s="10" t="s">
        <v>408</v>
      </c>
    </row>
    <row r="402">
      <c r="A402" s="5" t="str">
        <f t="array" ref="A402">INDEX(event_table!$A$2:$A$69, RANDBETWEEN(1, COUNTA(event_table!$A$2:$A$69)))</f>
        <v>1110</v>
      </c>
      <c r="B402" s="6">
        <f t="array" ref="B402">IFERROR(INDEX(event_table!$E$1:$E3686,MATCH(A402,event_table!$A$1:$A3686,0)),"")
</f>
        <v>1</v>
      </c>
      <c r="C402" s="7">
        <f t="shared" si="1"/>
        <v>51</v>
      </c>
      <c r="D402" s="6" t="str">
        <f t="array" ref="D402">IFERROR(INDEX(user_table!$C$2:$C3686,MATCH(C402,user_table!$B$2:$B3686,0)),"")
</f>
        <v>Fandi Pratama</v>
      </c>
      <c r="E402" s="6" t="str">
        <f t="array" ref="E402">IFERROR(INDEX(user_table!$E$2:$E3686,MATCH(C402,user_table!$B$2:$B3686,0)),"")
</f>
        <v>2, 1</v>
      </c>
      <c r="F402" s="6" t="str">
        <f t="shared" si="2"/>
        <v>11105151</v>
      </c>
      <c r="G402" s="8">
        <v>5.0</v>
      </c>
      <c r="H402" s="9">
        <v>44732.0</v>
      </c>
      <c r="I402" s="10" t="s">
        <v>409</v>
      </c>
    </row>
    <row r="403">
      <c r="A403" s="5" t="str">
        <f t="array" ref="A403">INDEX(event_table!$A$2:$A$69, RANDBETWEEN(1, COUNTA(event_table!$A$2:$A$69)))</f>
        <v>1645</v>
      </c>
      <c r="B403" s="6">
        <f t="array" ref="B403">IFERROR(INDEX(event_table!$E$1:$E3686,MATCH(A403,event_table!$A$1:$A3686,0)),"")
</f>
        <v>6</v>
      </c>
      <c r="C403" s="7">
        <f t="shared" si="1"/>
        <v>136</v>
      </c>
      <c r="D403" s="6" t="str">
        <f t="array" ref="D403">IFERROR(INDEX(user_table!$C$2:$C3686,MATCH(C403,user_table!$B$2:$B3686,0)),"")
</f>
        <v>Fandi Purnama</v>
      </c>
      <c r="E403" s="6" t="str">
        <f t="array" ref="E403">IFERROR(INDEX(user_table!$E$2:$E3686,MATCH(C403,user_table!$B$2:$B3686,0)),"")
</f>
        <v>5, 6</v>
      </c>
      <c r="F403" s="6" t="str">
        <f t="shared" si="2"/>
        <v>164556136</v>
      </c>
      <c r="G403" s="8">
        <v>5.0</v>
      </c>
      <c r="H403" s="9">
        <v>44724.0</v>
      </c>
      <c r="I403" s="10" t="s">
        <v>410</v>
      </c>
    </row>
    <row r="404">
      <c r="A404" s="5" t="str">
        <f t="array" ref="A404">INDEX(event_table!$A$2:$A$69, RANDBETWEEN(1, COUNTA(event_table!$A$2:$A$69)))</f>
        <v>3165</v>
      </c>
      <c r="B404" s="6">
        <f t="array" ref="B404">IFERROR(INDEX(event_table!$E$1:$E3686,MATCH(A404,event_table!$A$1:$A3686,0)),"")
</f>
        <v>1</v>
      </c>
      <c r="C404" s="7">
        <f t="shared" si="1"/>
        <v>47</v>
      </c>
      <c r="D404" s="6" t="str">
        <f t="array" ref="D404">IFERROR(INDEX(user_table!$C$2:$C3686,MATCH(C404,user_table!$B$2:$B3686,0)),"")
</f>
        <v>Fandi Kurniawan</v>
      </c>
      <c r="E404" s="6" t="str">
        <f t="array" ref="E404">IFERROR(INDEX(user_table!$E$2:$E3686,MATCH(C404,user_table!$B$2:$B3686,0)),"")
</f>
        <v>5, 6</v>
      </c>
      <c r="F404" s="6" t="str">
        <f t="shared" si="2"/>
        <v>31655147</v>
      </c>
      <c r="G404" s="8">
        <v>5.0</v>
      </c>
      <c r="H404" s="9">
        <v>44712.0</v>
      </c>
      <c r="I404" s="10" t="s">
        <v>411</v>
      </c>
    </row>
    <row r="405">
      <c r="A405" s="5" t="str">
        <f t="array" ref="A405">INDEX(event_table!$A$2:$A$69, RANDBETWEEN(1, COUNTA(event_table!$A$2:$A$69)))</f>
        <v>122</v>
      </c>
      <c r="B405" s="6">
        <f t="array" ref="B405">IFERROR(INDEX(event_table!$E$1:$E3686,MATCH(A405,event_table!$A$1:$A3686,0)),"")
</f>
        <v>2</v>
      </c>
      <c r="C405" s="7">
        <f t="shared" si="1"/>
        <v>122</v>
      </c>
      <c r="D405" s="6" t="str">
        <f t="array" ref="D405">IFERROR(INDEX(user_table!$C$2:$C3686,MATCH(C405,user_table!$B$2:$B3686,0)),"")
</f>
        <v>Maya Setiawan</v>
      </c>
      <c r="E405" s="6" t="str">
        <f t="array" ref="E405">IFERROR(INDEX(user_table!$E$2:$E3686,MATCH(C405,user_table!$B$2:$B3686,0)),"")
</f>
        <v>2, 3</v>
      </c>
      <c r="F405" s="6" t="str">
        <f t="shared" si="2"/>
        <v>12252122</v>
      </c>
      <c r="G405" s="8">
        <v>5.0</v>
      </c>
      <c r="H405" s="9">
        <v>44710.0</v>
      </c>
      <c r="I405" s="10" t="s">
        <v>412</v>
      </c>
    </row>
    <row r="406">
      <c r="A406" s="5" t="str">
        <f t="array" ref="A406">INDEX(event_table!$A$2:$A$69, RANDBETWEEN(1, COUNTA(event_table!$A$2:$A$69)))</f>
        <v>1418</v>
      </c>
      <c r="B406" s="6">
        <f t="array" ref="B406">IFERROR(INDEX(event_table!$E$1:$E3686,MATCH(A406,event_table!$A$1:$A3686,0)),"")
</f>
        <v>4</v>
      </c>
      <c r="C406" s="7">
        <f t="shared" si="1"/>
        <v>140</v>
      </c>
      <c r="D406" s="6" t="str">
        <f t="array" ref="D406">IFERROR(INDEX(user_table!$C$2:$C3686,MATCH(C406,user_table!$B$2:$B3686,0)),"")
</f>
        <v>Maya Wijaya</v>
      </c>
      <c r="E406" s="6" t="str">
        <f t="array" ref="E406">IFERROR(INDEX(user_table!$E$2:$E3686,MATCH(C406,user_table!$B$2:$B3686,0)),"")
</f>
        <v>3, 2</v>
      </c>
      <c r="F406" s="6" t="str">
        <f t="shared" si="2"/>
        <v>141854140</v>
      </c>
      <c r="G406" s="8">
        <v>5.0</v>
      </c>
      <c r="H406" s="9">
        <v>44706.0</v>
      </c>
      <c r="I406" s="10" t="s">
        <v>413</v>
      </c>
    </row>
    <row r="407">
      <c r="A407" s="5" t="str">
        <f t="array" ref="A407">INDEX(event_table!$A$2:$A$69, RANDBETWEEN(1, COUNTA(event_table!$A$2:$A$69)))</f>
        <v>119</v>
      </c>
      <c r="B407" s="6">
        <f t="array" ref="B407">IFERROR(INDEX(event_table!$E$1:$E3686,MATCH(A407,event_table!$A$1:$A3686,0)),"")
</f>
        <v>1</v>
      </c>
      <c r="C407" s="7">
        <f t="shared" si="1"/>
        <v>158</v>
      </c>
      <c r="D407" s="6" t="str">
        <f t="array" ref="D407">IFERROR(INDEX(user_table!$C$2:$C3686,MATCH(C407,user_table!$B$2:$B3686,0)),"")
</f>
        <v>Maya Wijaya</v>
      </c>
      <c r="E407" s="6" t="str">
        <f t="array" ref="E407">IFERROR(INDEX(user_table!$E$2:$E3686,MATCH(C407,user_table!$B$2:$B3686,0)),"")
</f>
        <v>3, 4</v>
      </c>
      <c r="F407" s="6" t="str">
        <f t="shared" si="2"/>
        <v>11951158</v>
      </c>
      <c r="G407" s="8">
        <v>5.0</v>
      </c>
      <c r="H407" s="9">
        <v>44704.0</v>
      </c>
      <c r="I407" s="10" t="s">
        <v>414</v>
      </c>
    </row>
    <row r="408">
      <c r="A408" s="5" t="str">
        <f t="array" ref="A408">INDEX(event_table!$A$2:$A$69, RANDBETWEEN(1, COUNTA(event_table!$A$2:$A$69)))</f>
        <v>1528</v>
      </c>
      <c r="B408" s="6">
        <f t="array" ref="B408">IFERROR(INDEX(event_table!$E$1:$E3686,MATCH(A408,event_table!$A$1:$A3686,0)),"")
</f>
        <v>5</v>
      </c>
      <c r="C408" s="7">
        <f t="shared" si="1"/>
        <v>55</v>
      </c>
      <c r="D408" s="6" t="str">
        <f t="array" ref="D408">IFERROR(INDEX(user_table!$C$2:$C3686,MATCH(C408,user_table!$B$2:$B3686,0)),"")
</f>
        <v>Joko Sari</v>
      </c>
      <c r="E408" s="6" t="str">
        <f t="array" ref="E408">IFERROR(INDEX(user_table!$E$2:$E3686,MATCH(C408,user_table!$B$2:$B3686,0)),"")
</f>
        <v>6, 6</v>
      </c>
      <c r="F408" s="6" t="str">
        <f t="shared" si="2"/>
        <v>15285555</v>
      </c>
      <c r="G408" s="8">
        <v>5.0</v>
      </c>
      <c r="H408" s="9">
        <v>44704.0</v>
      </c>
      <c r="I408" s="10" t="s">
        <v>415</v>
      </c>
    </row>
    <row r="409">
      <c r="A409" s="5" t="str">
        <f t="array" ref="A409">INDEX(event_table!$A$2:$A$69, RANDBETWEEN(1, COUNTA(event_table!$A$2:$A$69)))</f>
        <v>119</v>
      </c>
      <c r="B409" s="6">
        <f t="array" ref="B409">IFERROR(INDEX(event_table!$E$1:$E3686,MATCH(A409,event_table!$A$1:$A3686,0)),"")
</f>
        <v>1</v>
      </c>
      <c r="C409" s="7">
        <f t="shared" si="1"/>
        <v>153</v>
      </c>
      <c r="D409" s="6" t="str">
        <f t="array" ref="D409">IFERROR(INDEX(user_table!$C$2:$C3686,MATCH(C409,user_table!$B$2:$B3686,0)),"")
</f>
        <v>Budi Hartono</v>
      </c>
      <c r="E409" s="6" t="str">
        <f t="array" ref="E409">IFERROR(INDEX(user_table!$E$2:$E3686,MATCH(C409,user_table!$B$2:$B3686,0)),"")
</f>
        <v>5, 2</v>
      </c>
      <c r="F409" s="6" t="str">
        <f t="shared" si="2"/>
        <v>11951153</v>
      </c>
      <c r="G409" s="8">
        <v>5.0</v>
      </c>
      <c r="H409" s="9">
        <v>44691.0</v>
      </c>
      <c r="I409" s="10" t="s">
        <v>416</v>
      </c>
    </row>
    <row r="410">
      <c r="A410" s="5" t="str">
        <f t="array" ref="A410">INDEX(event_table!$A$2:$A$69, RANDBETWEEN(1, COUNTA(event_table!$A$2:$A$69)))</f>
        <v>1110</v>
      </c>
      <c r="B410" s="6">
        <f t="array" ref="B410">IFERROR(INDEX(event_table!$E$1:$E3686,MATCH(A410,event_table!$A$1:$A3686,0)),"")
</f>
        <v>1</v>
      </c>
      <c r="C410" s="7">
        <f t="shared" si="1"/>
        <v>4</v>
      </c>
      <c r="D410" s="6" t="str">
        <f t="array" ref="D410">IFERROR(INDEX(user_table!$C$2:$C3686,MATCH(C410,user_table!$B$2:$B3686,0)),"")
</f>
        <v>Dina Utami</v>
      </c>
      <c r="E410" s="6" t="str">
        <f t="array" ref="E410">IFERROR(INDEX(user_table!$E$2:$E3686,MATCH(C410,user_table!$B$2:$B3686,0)),"")
</f>
        <v>6, 2</v>
      </c>
      <c r="F410" s="6" t="str">
        <f t="shared" si="2"/>
        <v>1110514</v>
      </c>
      <c r="G410" s="8">
        <v>5.0</v>
      </c>
      <c r="H410" s="9">
        <v>44688.0</v>
      </c>
      <c r="I410" s="10" t="s">
        <v>417</v>
      </c>
    </row>
    <row r="411">
      <c r="A411" s="5" t="str">
        <f t="array" ref="A411">INDEX(event_table!$A$2:$A$69, RANDBETWEEN(1, COUNTA(event_table!$A$2:$A$69)))</f>
        <v>1111</v>
      </c>
      <c r="B411" s="6">
        <f t="array" ref="B411">IFERROR(INDEX(event_table!$E$1:$E3686,MATCH(A411,event_table!$A$1:$A3686,0)),"")
</f>
        <v>1</v>
      </c>
      <c r="C411" s="7">
        <f t="shared" si="1"/>
        <v>26</v>
      </c>
      <c r="D411" s="6" t="str">
        <f t="array" ref="D411">IFERROR(INDEX(user_table!$C$2:$C3686,MATCH(C411,user_table!$B$2:$B3686,0)),"")
</f>
        <v>Citra Sari</v>
      </c>
      <c r="E411" s="6" t="str">
        <f t="array" ref="E411">IFERROR(INDEX(user_table!$E$2:$E3686,MATCH(C411,user_table!$B$2:$B3686,0)),"")
</f>
        <v>5, 1</v>
      </c>
      <c r="F411" s="6" t="str">
        <f t="shared" si="2"/>
        <v>11115126</v>
      </c>
      <c r="G411" s="8">
        <v>5.0</v>
      </c>
      <c r="H411" s="9">
        <v>44688.0</v>
      </c>
      <c r="I411" s="10" t="s">
        <v>418</v>
      </c>
    </row>
    <row r="412">
      <c r="A412" s="5" t="str">
        <f t="array" ref="A412">INDEX(event_table!$A$2:$A$69, RANDBETWEEN(1, COUNTA(event_table!$A$2:$A$69)))</f>
        <v>1640</v>
      </c>
      <c r="B412" s="6">
        <f t="array" ref="B412">IFERROR(INDEX(event_table!$E$1:$E3686,MATCH(A412,event_table!$A$1:$A3686,0)),"")
</f>
        <v>6</v>
      </c>
      <c r="C412" s="7">
        <f t="shared" si="1"/>
        <v>137</v>
      </c>
      <c r="D412" s="6" t="str">
        <f t="array" ref="D412">IFERROR(INDEX(user_table!$C$2:$C3686,MATCH(C412,user_table!$B$2:$B3686,0)),"")
</f>
        <v>Dina Pratama</v>
      </c>
      <c r="E412" s="6" t="str">
        <f t="array" ref="E412">IFERROR(INDEX(user_table!$E$2:$E3686,MATCH(C412,user_table!$B$2:$B3686,0)),"")
</f>
        <v>4, 4</v>
      </c>
      <c r="F412" s="6" t="str">
        <f t="shared" si="2"/>
        <v>164056137</v>
      </c>
      <c r="G412" s="8">
        <v>5.0</v>
      </c>
      <c r="H412" s="9">
        <v>44687.0</v>
      </c>
      <c r="I412" s="10" t="s">
        <v>419</v>
      </c>
    </row>
    <row r="413">
      <c r="A413" s="5" t="str">
        <f t="array" ref="A413">INDEX(event_table!$A$2:$A$69, RANDBETWEEN(1, COUNTA(event_table!$A$2:$A$69)))</f>
        <v>1553</v>
      </c>
      <c r="B413" s="6">
        <f t="array" ref="B413">IFERROR(INDEX(event_table!$E$1:$E3686,MATCH(A413,event_table!$A$1:$A3686,0)),"")
</f>
        <v>5</v>
      </c>
      <c r="C413" s="7">
        <f t="shared" si="1"/>
        <v>48</v>
      </c>
      <c r="D413" s="6" t="str">
        <f t="array" ref="D413">IFERROR(INDEX(user_table!$C$2:$C3686,MATCH(C413,user_table!$B$2:$B3686,0)),"")
</f>
        <v>Maya Kusuma</v>
      </c>
      <c r="E413" s="6" t="str">
        <f t="array" ref="E413">IFERROR(INDEX(user_table!$E$2:$E3686,MATCH(C413,user_table!$B$2:$B3686,0)),"")
</f>
        <v>2, 3</v>
      </c>
      <c r="F413" s="6" t="str">
        <f t="shared" si="2"/>
        <v>15535548</v>
      </c>
      <c r="G413" s="8">
        <v>5.0</v>
      </c>
      <c r="H413" s="9">
        <v>44684.0</v>
      </c>
      <c r="I413" s="10" t="s">
        <v>420</v>
      </c>
    </row>
    <row r="414">
      <c r="A414" s="5" t="str">
        <f t="array" ref="A414">INDEX(event_table!$A$2:$A$69, RANDBETWEEN(1, COUNTA(event_table!$A$2:$A$69)))</f>
        <v>3162</v>
      </c>
      <c r="B414" s="6">
        <f t="array" ref="B414">IFERROR(INDEX(event_table!$E$1:$E3686,MATCH(A414,event_table!$A$1:$A3686,0)),"")
</f>
        <v>1</v>
      </c>
      <c r="C414" s="7">
        <f t="shared" si="1"/>
        <v>44</v>
      </c>
      <c r="D414" s="6" t="str">
        <f t="array" ref="D414">IFERROR(INDEX(user_table!$C$2:$C3686,MATCH(C414,user_table!$B$2:$B3686,0)),"")
</f>
        <v>Arif Sari</v>
      </c>
      <c r="E414" s="6" t="str">
        <f t="array" ref="E414">IFERROR(INDEX(user_table!$E$2:$E3686,MATCH(C414,user_table!$B$2:$B3686,0)),"")
</f>
        <v>2, 4</v>
      </c>
      <c r="F414" s="6" t="str">
        <f t="shared" si="2"/>
        <v>31625144</v>
      </c>
      <c r="G414" s="8">
        <v>5.0</v>
      </c>
      <c r="H414" s="9">
        <v>45251.0</v>
      </c>
      <c r="I414" s="10" t="s">
        <v>421</v>
      </c>
    </row>
    <row r="415">
      <c r="A415" s="5" t="str">
        <f t="array" ref="A415">INDEX(event_table!$A$2:$A$69, RANDBETWEEN(1, COUNTA(event_table!$A$2:$A$69)))</f>
        <v>1646</v>
      </c>
      <c r="B415" s="6">
        <f t="array" ref="B415">IFERROR(INDEX(event_table!$E$1:$E3686,MATCH(A415,event_table!$A$1:$A3686,0)),"")
</f>
        <v>6</v>
      </c>
      <c r="C415" s="7">
        <f t="shared" si="1"/>
        <v>98</v>
      </c>
      <c r="D415" s="6" t="str">
        <f t="array" ref="D415">IFERROR(INDEX(user_table!$C$2:$C3686,MATCH(C415,user_table!$B$2:$B3686,0)),"")
</f>
        <v>Agus Hidayat</v>
      </c>
      <c r="E415" s="6" t="str">
        <f t="array" ref="E415">IFERROR(INDEX(user_table!$E$2:$E3686,MATCH(C415,user_table!$B$2:$B3686,0)),"")
</f>
        <v>3, 6</v>
      </c>
      <c r="F415" s="6" t="str">
        <f t="shared" si="2"/>
        <v>16465698</v>
      </c>
      <c r="G415" s="8">
        <v>5.0</v>
      </c>
      <c r="H415" s="9">
        <v>45230.0</v>
      </c>
      <c r="I415" s="10" t="s">
        <v>422</v>
      </c>
    </row>
    <row r="416">
      <c r="A416" s="5" t="str">
        <f t="array" ref="A416">INDEX(event_table!$A$2:$A$69, RANDBETWEEN(1, COUNTA(event_table!$A$2:$A$69)))</f>
        <v>1110</v>
      </c>
      <c r="B416" s="6">
        <f t="array" ref="B416">IFERROR(INDEX(event_table!$E$1:$E3686,MATCH(A416,event_table!$A$1:$A3686,0)),"")
</f>
        <v>1</v>
      </c>
      <c r="C416" s="7">
        <f t="shared" si="1"/>
        <v>148</v>
      </c>
      <c r="D416" s="6" t="str">
        <f t="array" ref="D416">IFERROR(INDEX(user_table!$C$2:$C3686,MATCH(C416,user_table!$B$2:$B3686,0)),"")
</f>
        <v>Fajar Setiawan</v>
      </c>
      <c r="E416" s="6" t="str">
        <f t="array" ref="E416">IFERROR(INDEX(user_table!$E$2:$E3686,MATCH(C416,user_table!$B$2:$B3686,0)),"")
</f>
        <v>6, 4</v>
      </c>
      <c r="F416" s="6" t="str">
        <f t="shared" si="2"/>
        <v>111051148</v>
      </c>
      <c r="G416" s="8">
        <v>5.0</v>
      </c>
      <c r="H416" s="9">
        <v>44950.0</v>
      </c>
      <c r="I416" s="10" t="s">
        <v>423</v>
      </c>
    </row>
    <row r="417">
      <c r="A417" s="5" t="str">
        <f t="array" ref="A417">INDEX(event_table!$A$2:$A$69, RANDBETWEEN(1, COUNTA(event_table!$A$2:$A$69)))</f>
        <v>3658</v>
      </c>
      <c r="B417" s="6">
        <f t="array" ref="B417">IFERROR(INDEX(event_table!$E$1:$E3686,MATCH(A417,event_table!$A$1:$A3686,0)),"")
</f>
        <v>6</v>
      </c>
      <c r="C417" s="7">
        <f t="shared" si="1"/>
        <v>173</v>
      </c>
      <c r="D417" s="6" t="str">
        <f t="array" ref="D417">IFERROR(INDEX(user_table!$C$2:$C3686,MATCH(C417,user_table!$B$2:$B3686,0)),"")
</f>
        <v>Fajar Putri</v>
      </c>
      <c r="E417" s="6" t="str">
        <f t="array" ref="E417">IFERROR(INDEX(user_table!$E$2:$E3686,MATCH(C417,user_table!$B$2:$B3686,0)),"")
</f>
        <v>2, 6</v>
      </c>
      <c r="F417" s="6" t="str">
        <f t="shared" si="2"/>
        <v>365856173</v>
      </c>
      <c r="G417" s="8">
        <v>5.0</v>
      </c>
      <c r="H417" s="9">
        <v>44861.0</v>
      </c>
      <c r="I417" s="10" t="s">
        <v>424</v>
      </c>
    </row>
    <row r="418">
      <c r="A418" s="5" t="str">
        <f t="array" ref="A418">INDEX(event_table!$A$2:$A$69, RANDBETWEEN(1, COUNTA(event_table!$A$2:$A$69)))</f>
        <v>3455</v>
      </c>
      <c r="B418" s="6">
        <f t="array" ref="B418">IFERROR(INDEX(event_table!$E$1:$E3686,MATCH(A418,event_table!$A$1:$A3686,0)),"")
</f>
        <v>4</v>
      </c>
      <c r="C418" s="7">
        <f t="shared" si="1"/>
        <v>74</v>
      </c>
      <c r="D418" s="6" t="str">
        <f t="array" ref="D418">IFERROR(INDEX(user_table!$C$2:$C3686,MATCH(C418,user_table!$B$2:$B3686,0)),"")
</f>
        <v>Arif Purnama</v>
      </c>
      <c r="E418" s="6" t="str">
        <f t="array" ref="E418">IFERROR(INDEX(user_table!$E$2:$E3686,MATCH(C418,user_table!$B$2:$B3686,0)),"")
</f>
        <v>3, 2</v>
      </c>
      <c r="F418" s="6" t="str">
        <f t="shared" si="2"/>
        <v>34555474</v>
      </c>
      <c r="G418" s="8">
        <v>5.0</v>
      </c>
      <c r="H418" s="9">
        <v>44851.0</v>
      </c>
      <c r="I418" s="10" t="s">
        <v>211</v>
      </c>
    </row>
    <row r="419">
      <c r="A419" s="5" t="str">
        <f t="array" ref="A419">INDEX(event_table!$A$2:$A$69, RANDBETWEEN(1, COUNTA(event_table!$A$2:$A$69)))</f>
        <v>1648</v>
      </c>
      <c r="B419" s="6">
        <f t="array" ref="B419">IFERROR(INDEX(event_table!$E$1:$E3686,MATCH(A419,event_table!$A$1:$A3686,0)),"")
</f>
        <v>6</v>
      </c>
      <c r="C419" s="7">
        <f t="shared" si="1"/>
        <v>107</v>
      </c>
      <c r="D419" s="6" t="str">
        <f t="array" ref="D419">IFERROR(INDEX(user_table!$C$2:$C3686,MATCH(C419,user_table!$B$2:$B3686,0)),"")
</f>
        <v>Citra Rahayu</v>
      </c>
      <c r="E419" s="6" t="str">
        <f t="array" ref="E419">IFERROR(INDEX(user_table!$E$2:$E3686,MATCH(C419,user_table!$B$2:$B3686,0)),"")
</f>
        <v>1, 5</v>
      </c>
      <c r="F419" s="6" t="str">
        <f t="shared" si="2"/>
        <v>164856107</v>
      </c>
      <c r="G419" s="8">
        <v>5.0</v>
      </c>
      <c r="H419" s="9">
        <v>44815.0</v>
      </c>
      <c r="I419" s="10" t="s">
        <v>425</v>
      </c>
    </row>
    <row r="420">
      <c r="A420" s="5" t="str">
        <f t="array" ref="A420">INDEX(event_table!$A$2:$A$69, RANDBETWEEN(1, COUNTA(event_table!$A$2:$A$69)))</f>
        <v>1644</v>
      </c>
      <c r="B420" s="6">
        <f t="array" ref="B420">IFERROR(INDEX(event_table!$E$1:$E3686,MATCH(A420,event_table!$A$1:$A3686,0)),"")
</f>
        <v>6</v>
      </c>
      <c r="C420" s="7">
        <f t="shared" si="1"/>
        <v>11</v>
      </c>
      <c r="D420" s="6" t="str">
        <f t="array" ref="D420">IFERROR(INDEX(user_table!$C$2:$C3686,MATCH(C420,user_table!$B$2:$B3686,0)),"")
</f>
        <v>Arif Sari</v>
      </c>
      <c r="E420" s="6" t="str">
        <f t="array" ref="E420">IFERROR(INDEX(user_table!$E$2:$E3686,MATCH(C420,user_table!$B$2:$B3686,0)),"")
</f>
        <v>5, 2</v>
      </c>
      <c r="F420" s="6" t="str">
        <f t="shared" si="2"/>
        <v>16445611</v>
      </c>
      <c r="G420" s="8">
        <v>5.0</v>
      </c>
      <c r="H420" s="9">
        <v>44785.0</v>
      </c>
      <c r="I420" s="10" t="s">
        <v>426</v>
      </c>
    </row>
    <row r="421">
      <c r="A421" s="5" t="str">
        <f t="array" ref="A421">INDEX(event_table!$A$2:$A$69, RANDBETWEEN(1, COUNTA(event_table!$A$2:$A$69)))</f>
        <v>111</v>
      </c>
      <c r="B421" s="6">
        <f t="array" ref="B421">IFERROR(INDEX(event_table!$E$1:$E3686,MATCH(A421,event_table!$A$1:$A3686,0)),"")
</f>
        <v>1</v>
      </c>
      <c r="C421" s="7">
        <f t="shared" si="1"/>
        <v>199</v>
      </c>
      <c r="D421" s="6" t="str">
        <f t="array" ref="D421">IFERROR(INDEX(user_table!$C$2:$C3686,MATCH(C421,user_table!$B$2:$B3686,0)),"")
</f>
        <v>Rudi Putri</v>
      </c>
      <c r="E421" s="6" t="str">
        <f t="array" ref="E421">IFERROR(INDEX(user_table!$E$2:$E3686,MATCH(C421,user_table!$B$2:$B3686,0)),"")
</f>
        <v>2, 1</v>
      </c>
      <c r="F421" s="6" t="str">
        <f t="shared" si="2"/>
        <v>11151199</v>
      </c>
      <c r="G421" s="8">
        <v>5.0</v>
      </c>
      <c r="H421" s="9">
        <v>44745.0</v>
      </c>
      <c r="I421" s="10" t="s">
        <v>427</v>
      </c>
    </row>
    <row r="422">
      <c r="A422" s="5" t="str">
        <f t="array" ref="A422">INDEX(event_table!$A$2:$A$69, RANDBETWEEN(1, COUNTA(event_table!$A$2:$A$69)))</f>
        <v>1333</v>
      </c>
      <c r="B422" s="6">
        <f t="array" ref="B422">IFERROR(INDEX(event_table!$E$1:$E3686,MATCH(A422,event_table!$A$1:$A3686,0)),"")
</f>
        <v>3</v>
      </c>
      <c r="C422" s="7">
        <f t="shared" si="1"/>
        <v>29</v>
      </c>
      <c r="D422" s="6" t="str">
        <f t="array" ref="D422">IFERROR(INDEX(user_table!$C$2:$C3686,MATCH(C422,user_table!$B$2:$B3686,0)),"")
</f>
        <v>Bambang Putri</v>
      </c>
      <c r="E422" s="6" t="str">
        <f t="array" ref="E422">IFERROR(INDEX(user_table!$E$2:$E3686,MATCH(C422,user_table!$B$2:$B3686,0)),"")
</f>
        <v>3, 4</v>
      </c>
      <c r="F422" s="6" t="str">
        <f t="shared" si="2"/>
        <v>13335329</v>
      </c>
      <c r="G422" s="8">
        <v>5.0</v>
      </c>
      <c r="H422" s="9">
        <v>44701.0</v>
      </c>
      <c r="I422" s="10" t="s">
        <v>428</v>
      </c>
    </row>
    <row r="423">
      <c r="A423" s="5" t="str">
        <f t="array" ref="A423">INDEX(event_table!$A$2:$A$69, RANDBETWEEN(1, COUNTA(event_table!$A$2:$A$69)))</f>
        <v>118</v>
      </c>
      <c r="B423" s="6">
        <f t="array" ref="B423">IFERROR(INDEX(event_table!$E$1:$E3686,MATCH(A423,event_table!$A$1:$A3686,0)),"")
</f>
        <v>1</v>
      </c>
      <c r="C423" s="7">
        <f t="shared" si="1"/>
        <v>45</v>
      </c>
      <c r="D423" s="6" t="str">
        <f t="array" ref="D423">IFERROR(INDEX(user_table!$C$2:$C3686,MATCH(C423,user_table!$B$2:$B3686,0)),"")
</f>
        <v>Siti Kurniawan</v>
      </c>
      <c r="E423" s="6" t="str">
        <f t="array" ref="E423">IFERROR(INDEX(user_table!$E$2:$E3686,MATCH(C423,user_table!$B$2:$B3686,0)),"")
</f>
        <v>1, 1</v>
      </c>
      <c r="F423" s="6" t="str">
        <f t="shared" si="2"/>
        <v>1185145</v>
      </c>
      <c r="G423" s="8">
        <v>5.0</v>
      </c>
      <c r="H423" s="9">
        <v>44688.0</v>
      </c>
      <c r="I423" s="10" t="s">
        <v>429</v>
      </c>
    </row>
    <row r="424">
      <c r="A424" s="5" t="str">
        <f t="array" ref="A424">INDEX(event_table!$A$2:$A$69, RANDBETWEEN(1, COUNTA(event_table!$A$2:$A$69)))</f>
        <v>1417</v>
      </c>
      <c r="B424" s="6">
        <f t="array" ref="B424">IFERROR(INDEX(event_table!$E$1:$E3686,MATCH(A424,event_table!$A$1:$A3686,0)),"")
</f>
        <v>4</v>
      </c>
      <c r="C424" s="7">
        <f t="shared" si="1"/>
        <v>34</v>
      </c>
      <c r="D424" s="6" t="str">
        <f t="array" ref="D424">IFERROR(INDEX(user_table!$C$2:$C3686,MATCH(C424,user_table!$B$2:$B3686,0)),"")
</f>
        <v>Bambang Putri</v>
      </c>
      <c r="E424" s="6" t="str">
        <f t="array" ref="E424">IFERROR(INDEX(user_table!$E$2:$E3686,MATCH(C424,user_table!$B$2:$B3686,0)),"")
</f>
        <v>3, 5</v>
      </c>
      <c r="F424" s="6" t="str">
        <f t="shared" si="2"/>
        <v>14174434</v>
      </c>
      <c r="G424" s="8">
        <v>4.0</v>
      </c>
      <c r="H424" s="9">
        <v>45202.0</v>
      </c>
      <c r="I424" s="10" t="s">
        <v>430</v>
      </c>
    </row>
    <row r="425">
      <c r="A425" s="5" t="str">
        <f t="array" ref="A425">INDEX(event_table!$A$2:$A$69, RANDBETWEEN(1, COUNTA(event_table!$A$2:$A$69)))</f>
        <v>118</v>
      </c>
      <c r="B425" s="6">
        <f t="array" ref="B425">IFERROR(INDEX(event_table!$E$1:$E3686,MATCH(A425,event_table!$A$1:$A3686,0)),"")
</f>
        <v>1</v>
      </c>
      <c r="C425" s="7">
        <f t="shared" si="1"/>
        <v>94</v>
      </c>
      <c r="D425" s="6" t="str">
        <f t="array" ref="D425">IFERROR(INDEX(user_table!$C$2:$C3686,MATCH(C425,user_table!$B$2:$B3686,0)),"")
</f>
        <v>Ani Susanto</v>
      </c>
      <c r="E425" s="6" t="str">
        <f t="array" ref="E425">IFERROR(INDEX(user_table!$E$2:$E3686,MATCH(C425,user_table!$B$2:$B3686,0)),"")
</f>
        <v>2, 4</v>
      </c>
      <c r="F425" s="6" t="str">
        <f t="shared" si="2"/>
        <v>1184194</v>
      </c>
      <c r="G425" s="8">
        <v>4.0</v>
      </c>
      <c r="H425" s="9">
        <v>44745.0</v>
      </c>
      <c r="I425" s="10" t="s">
        <v>431</v>
      </c>
    </row>
    <row r="426">
      <c r="A426" s="5" t="str">
        <f t="array" ref="A426">INDEX(event_table!$A$2:$A$69, RANDBETWEEN(1, COUNTA(event_table!$A$2:$A$69)))</f>
        <v>1648</v>
      </c>
      <c r="B426" s="6">
        <f t="array" ref="B426">IFERROR(INDEX(event_table!$E$1:$E3686,MATCH(A426,event_table!$A$1:$A3686,0)),"")
</f>
        <v>6</v>
      </c>
      <c r="C426" s="7">
        <f t="shared" si="1"/>
        <v>33</v>
      </c>
      <c r="D426" s="6" t="str">
        <f t="array" ref="D426">IFERROR(INDEX(user_table!$C$2:$C3686,MATCH(C426,user_table!$B$2:$B3686,0)),"")
</f>
        <v>Dewi Wijaya</v>
      </c>
      <c r="E426" s="6" t="str">
        <f t="array" ref="E426">IFERROR(INDEX(user_table!$E$2:$E3686,MATCH(C426,user_table!$B$2:$B3686,0)),"")
</f>
        <v>4, 2</v>
      </c>
      <c r="F426" s="6" t="str">
        <f t="shared" si="2"/>
        <v>16484633</v>
      </c>
      <c r="G426" s="8">
        <v>4.0</v>
      </c>
      <c r="H426" s="9">
        <v>44721.0</v>
      </c>
      <c r="I426" s="10" t="s">
        <v>432</v>
      </c>
    </row>
    <row r="427">
      <c r="A427" s="5" t="str">
        <f t="array" ref="A427">INDEX(event_table!$A$2:$A$69, RANDBETWEEN(1, COUNTA(event_table!$A$2:$A$69)))</f>
        <v>3164</v>
      </c>
      <c r="B427" s="6">
        <f t="array" ref="B427">IFERROR(INDEX(event_table!$E$1:$E3686,MATCH(A427,event_table!$A$1:$A3686,0)),"")
</f>
        <v>1</v>
      </c>
      <c r="C427" s="7">
        <f t="shared" si="1"/>
        <v>82</v>
      </c>
      <c r="D427" s="6" t="str">
        <f t="array" ref="D427">IFERROR(INDEX(user_table!$C$2:$C3686,MATCH(C427,user_table!$B$2:$B3686,0)),"")
</f>
        <v>Fandi Nurhayati</v>
      </c>
      <c r="E427" s="6" t="str">
        <f t="array" ref="E427">IFERROR(INDEX(user_table!$E$2:$E3686,MATCH(C427,user_table!$B$2:$B3686,0)),"")
</f>
        <v>3, 2</v>
      </c>
      <c r="F427" s="6" t="str">
        <f t="shared" si="2"/>
        <v>31644182</v>
      </c>
      <c r="G427" s="8">
        <v>4.0</v>
      </c>
      <c r="H427" s="9">
        <v>44692.0</v>
      </c>
      <c r="I427" s="10" t="s">
        <v>433</v>
      </c>
    </row>
    <row r="428">
      <c r="A428" s="5" t="str">
        <f t="array" ref="A428">INDEX(event_table!$A$2:$A$69, RANDBETWEEN(1, COUNTA(event_table!$A$2:$A$69)))</f>
        <v>1639</v>
      </c>
      <c r="B428" s="6">
        <f t="array" ref="B428">IFERROR(INDEX(event_table!$E$1:$E3686,MATCH(A428,event_table!$A$1:$A3686,0)),"")
</f>
        <v>6</v>
      </c>
      <c r="C428" s="7">
        <f t="shared" si="1"/>
        <v>171</v>
      </c>
      <c r="D428" s="6" t="str">
        <f t="array" ref="D428">IFERROR(INDEX(user_table!$C$2:$C3686,MATCH(C428,user_table!$B$2:$B3686,0)),"")
</f>
        <v>Andi Santoso</v>
      </c>
      <c r="E428" s="6" t="str">
        <f t="array" ref="E428">IFERROR(INDEX(user_table!$E$2:$E3686,MATCH(C428,user_table!$B$2:$B3686,0)),"")
</f>
        <v>4, 3</v>
      </c>
      <c r="F428" s="6" t="str">
        <f t="shared" si="2"/>
        <v>163946171</v>
      </c>
      <c r="G428" s="8">
        <v>4.0</v>
      </c>
      <c r="H428" s="9">
        <v>45152.0</v>
      </c>
      <c r="I428" s="10" t="s">
        <v>434</v>
      </c>
    </row>
    <row r="429">
      <c r="A429" s="5" t="str">
        <f t="array" ref="A429">INDEX(event_table!$A$2:$A$69, RANDBETWEEN(1, COUNTA(event_table!$A$2:$A$69)))</f>
        <v>3164</v>
      </c>
      <c r="B429" s="6">
        <f t="array" ref="B429">IFERROR(INDEX(event_table!$E$1:$E3686,MATCH(A429,event_table!$A$1:$A3686,0)),"")
</f>
        <v>1</v>
      </c>
      <c r="C429" s="7">
        <f t="shared" si="1"/>
        <v>150</v>
      </c>
      <c r="D429" s="6" t="str">
        <f t="array" ref="D429">IFERROR(INDEX(user_table!$C$2:$C3686,MATCH(C429,user_table!$B$2:$B3686,0)),"")
</f>
        <v>Dina Susanto</v>
      </c>
      <c r="E429" s="6" t="str">
        <f t="array" ref="E429">IFERROR(INDEX(user_table!$E$2:$E3686,MATCH(C429,user_table!$B$2:$B3686,0)),"")
</f>
        <v>2, 6</v>
      </c>
      <c r="F429" s="6" t="str">
        <f t="shared" si="2"/>
        <v>316441150</v>
      </c>
      <c r="G429" s="8">
        <v>4.0</v>
      </c>
      <c r="H429" s="9">
        <v>44943.0</v>
      </c>
      <c r="I429" s="10" t="s">
        <v>435</v>
      </c>
    </row>
    <row r="430">
      <c r="A430" s="5" t="str">
        <f t="array" ref="A430">INDEX(event_table!$A$2:$A$69, RANDBETWEEN(1, COUNTA(event_table!$A$2:$A$69)))</f>
        <v>1648</v>
      </c>
      <c r="B430" s="6">
        <f t="array" ref="B430">IFERROR(INDEX(event_table!$E$1:$E3686,MATCH(A430,event_table!$A$1:$A3686,0)),"")
</f>
        <v>6</v>
      </c>
      <c r="C430" s="7">
        <f t="shared" si="1"/>
        <v>200</v>
      </c>
      <c r="D430" s="6" t="str">
        <f t="array" ref="D430">IFERROR(INDEX(user_table!$C$2:$C3686,MATCH(C430,user_table!$B$2:$B3686,0)),"")
</f>
        <v>Dina Susanto</v>
      </c>
      <c r="E430" s="6" t="str">
        <f t="array" ref="E430">IFERROR(INDEX(user_table!$E$2:$E3686,MATCH(C430,user_table!$B$2:$B3686,0)),"")
</f>
        <v>5, 4</v>
      </c>
      <c r="F430" s="6" t="str">
        <f t="shared" si="2"/>
        <v>164846200</v>
      </c>
      <c r="G430" s="8">
        <v>4.0</v>
      </c>
      <c r="H430" s="9">
        <v>45103.0</v>
      </c>
      <c r="I430" s="10" t="s">
        <v>436</v>
      </c>
    </row>
    <row r="431">
      <c r="A431" s="5" t="str">
        <f t="array" ref="A431">INDEX(event_table!$A$2:$A$69, RANDBETWEEN(1, COUNTA(event_table!$A$2:$A$69)))</f>
        <v>1530</v>
      </c>
      <c r="B431" s="6">
        <f t="array" ref="B431">IFERROR(INDEX(event_table!$E$1:$E3686,MATCH(A431,event_table!$A$1:$A3686,0)),"")
</f>
        <v>5</v>
      </c>
      <c r="C431" s="7">
        <f t="shared" si="1"/>
        <v>18</v>
      </c>
      <c r="D431" s="6" t="str">
        <f t="array" ref="D431">IFERROR(INDEX(user_table!$C$2:$C3686,MATCH(C431,user_table!$B$2:$B3686,0)),"")
</f>
        <v>Rudi Santoso</v>
      </c>
      <c r="E431" s="6" t="str">
        <f t="array" ref="E431">IFERROR(INDEX(user_table!$E$2:$E3686,MATCH(C431,user_table!$B$2:$B3686,0)),"")
</f>
        <v>4, 2</v>
      </c>
      <c r="F431" s="6" t="str">
        <f t="shared" si="2"/>
        <v>15304518</v>
      </c>
      <c r="G431" s="8">
        <v>4.0</v>
      </c>
      <c r="H431" s="9">
        <v>44865.0</v>
      </c>
      <c r="I431" s="10" t="s">
        <v>437</v>
      </c>
    </row>
    <row r="432">
      <c r="A432" s="5" t="str">
        <f t="array" ref="A432">INDEX(event_table!$A$2:$A$69, RANDBETWEEN(1, COUNTA(event_table!$A$2:$A$69)))</f>
        <v>1643</v>
      </c>
      <c r="B432" s="6">
        <f t="array" ref="B432">IFERROR(INDEX(event_table!$E$1:$E3686,MATCH(A432,event_table!$A$1:$A3686,0)),"")
</f>
        <v>6</v>
      </c>
      <c r="C432" s="7">
        <f t="shared" si="1"/>
        <v>5</v>
      </c>
      <c r="D432" s="6" t="str">
        <f t="array" ref="D432">IFERROR(INDEX(user_table!$C$2:$C3686,MATCH(C432,user_table!$B$2:$B3686,0)),"")
</f>
        <v>Hadi Nurhayati</v>
      </c>
      <c r="E432" s="6" t="str">
        <f t="array" ref="E432">IFERROR(INDEX(user_table!$E$2:$E3686,MATCH(C432,user_table!$B$2:$B3686,0)),"")
</f>
        <v>1, 5</v>
      </c>
      <c r="F432" s="6" t="str">
        <f t="shared" si="2"/>
        <v>1643365</v>
      </c>
      <c r="G432" s="8">
        <v>3.0</v>
      </c>
      <c r="H432" s="9">
        <v>44884.0</v>
      </c>
      <c r="I432" s="10" t="s">
        <v>438</v>
      </c>
    </row>
    <row r="433">
      <c r="A433" s="5" t="str">
        <f t="array" ref="A433">INDEX(event_table!$A$2:$A$69, RANDBETWEEN(1, COUNTA(event_table!$A$2:$A$69)))</f>
        <v>119</v>
      </c>
      <c r="B433" s="6">
        <f t="array" ref="B433">IFERROR(INDEX(event_table!$E$1:$E3686,MATCH(A433,event_table!$A$1:$A3686,0)),"")
</f>
        <v>1</v>
      </c>
      <c r="C433" s="7">
        <f t="shared" si="1"/>
        <v>180</v>
      </c>
      <c r="D433" s="6" t="str">
        <f t="array" ref="D433">IFERROR(INDEX(user_table!$C$2:$C3686,MATCH(C433,user_table!$B$2:$B3686,0)),"")
</f>
        <v>Andi Susanto</v>
      </c>
      <c r="E433" s="6" t="str">
        <f t="array" ref="E433">IFERROR(INDEX(user_table!$E$2:$E3686,MATCH(C433,user_table!$B$2:$B3686,0)),"")
</f>
        <v>6, 5</v>
      </c>
      <c r="F433" s="6" t="str">
        <f t="shared" si="2"/>
        <v>11931180</v>
      </c>
      <c r="G433" s="8">
        <v>3.0</v>
      </c>
      <c r="H433" s="9">
        <v>44741.0</v>
      </c>
      <c r="I433" s="10" t="s">
        <v>439</v>
      </c>
    </row>
    <row r="434">
      <c r="A434" s="5" t="str">
        <f t="array" ref="A434">INDEX(event_table!$A$2:$A$69, RANDBETWEEN(1, COUNTA(event_table!$A$2:$A$69)))</f>
        <v>1645</v>
      </c>
      <c r="B434" s="6">
        <f t="array" ref="B434">IFERROR(INDEX(event_table!$E$1:$E3686,MATCH(A434,event_table!$A$1:$A3686,0)),"")
</f>
        <v>6</v>
      </c>
      <c r="C434" s="7">
        <f t="shared" si="1"/>
        <v>34</v>
      </c>
      <c r="D434" s="6" t="str">
        <f t="array" ref="D434">IFERROR(INDEX(user_table!$C$2:$C3686,MATCH(C434,user_table!$B$2:$B3686,0)),"")
</f>
        <v>Bambang Putri</v>
      </c>
      <c r="E434" s="6" t="str">
        <f t="array" ref="E434">IFERROR(INDEX(user_table!$E$2:$E3686,MATCH(C434,user_table!$B$2:$B3686,0)),"")
</f>
        <v>3, 5</v>
      </c>
      <c r="F434" s="6" t="str">
        <f t="shared" si="2"/>
        <v>16453634</v>
      </c>
      <c r="G434" s="8">
        <v>3.0</v>
      </c>
      <c r="H434" s="9">
        <v>44916.0</v>
      </c>
      <c r="I434" s="10" t="s">
        <v>440</v>
      </c>
    </row>
    <row r="435">
      <c r="A435" s="5" t="str">
        <f t="array" ref="A435">INDEX(event_table!$A$2:$A$69, RANDBETWEEN(1, COUNTA(event_table!$A$2:$A$69)))</f>
        <v>1648</v>
      </c>
      <c r="B435" s="6">
        <f t="array" ref="B435">IFERROR(INDEX(event_table!$E$1:$E3686,MATCH(A435,event_table!$A$1:$A3686,0)),"")
</f>
        <v>6</v>
      </c>
      <c r="C435" s="7">
        <f t="shared" si="1"/>
        <v>144</v>
      </c>
      <c r="D435" s="6" t="str">
        <f t="array" ref="D435">IFERROR(INDEX(user_table!$C$2:$C3686,MATCH(C435,user_table!$B$2:$B3686,0)),"")
</f>
        <v>Sinta Rahayu</v>
      </c>
      <c r="E435" s="6" t="str">
        <f t="array" ref="E435">IFERROR(INDEX(user_table!$E$2:$E3686,MATCH(C435,user_table!$B$2:$B3686,0)),"")
</f>
        <v>6, 3</v>
      </c>
      <c r="F435" s="6" t="str">
        <f t="shared" si="2"/>
        <v>164836144</v>
      </c>
      <c r="G435" s="8">
        <v>3.0</v>
      </c>
      <c r="H435" s="9">
        <v>44739.0</v>
      </c>
      <c r="I435" s="10" t="s">
        <v>441</v>
      </c>
    </row>
    <row r="436">
      <c r="A436" s="5" t="str">
        <f t="array" ref="A436">INDEX(event_table!$A$2:$A$69, RANDBETWEEN(1, COUNTA(event_table!$A$2:$A$69)))</f>
        <v>3167</v>
      </c>
      <c r="B436" s="6">
        <f t="array" ref="B436">IFERROR(INDEX(event_table!$E$1:$E3686,MATCH(A436,event_table!$A$1:$A3686,0)),"")
</f>
        <v>1</v>
      </c>
      <c r="C436" s="7">
        <f t="shared" si="1"/>
        <v>114</v>
      </c>
      <c r="D436" s="6" t="str">
        <f t="array" ref="D436">IFERROR(INDEX(user_table!$C$2:$C3686,MATCH(C436,user_table!$B$2:$B3686,0)),"")
</f>
        <v>Ani Sari</v>
      </c>
      <c r="E436" s="6" t="str">
        <f t="array" ref="E436">IFERROR(INDEX(user_table!$E$2:$E3686,MATCH(C436,user_table!$B$2:$B3686,0)),"")
</f>
        <v>4, 3</v>
      </c>
      <c r="F436" s="6" t="str">
        <f t="shared" si="2"/>
        <v>316731114</v>
      </c>
      <c r="G436" s="8">
        <v>3.0</v>
      </c>
      <c r="H436" s="9">
        <v>44716.0</v>
      </c>
      <c r="I436" s="10" t="s">
        <v>442</v>
      </c>
    </row>
    <row r="437">
      <c r="A437" s="5" t="str">
        <f t="array" ref="A437">INDEX(event_table!$A$2:$A$69, RANDBETWEEN(1, COUNTA(event_table!$A$2:$A$69)))</f>
        <v>1647</v>
      </c>
      <c r="B437" s="6">
        <f t="array" ref="B437">IFERROR(INDEX(event_table!$E$1:$E3686,MATCH(A437,event_table!$A$1:$A3686,0)),"")
</f>
        <v>6</v>
      </c>
      <c r="C437" s="7">
        <f t="shared" si="1"/>
        <v>199</v>
      </c>
      <c r="D437" s="6" t="str">
        <f t="array" ref="D437">IFERROR(INDEX(user_table!$C$2:$C3686,MATCH(C437,user_table!$B$2:$B3686,0)),"")
</f>
        <v>Rudi Putri</v>
      </c>
      <c r="E437" s="6" t="str">
        <f t="array" ref="E437">IFERROR(INDEX(user_table!$E$2:$E3686,MATCH(C437,user_table!$B$2:$B3686,0)),"")
</f>
        <v>2, 1</v>
      </c>
      <c r="F437" s="6" t="str">
        <f t="shared" si="2"/>
        <v>164736199</v>
      </c>
      <c r="G437" s="8">
        <v>3.0</v>
      </c>
      <c r="H437" s="9">
        <v>45137.0</v>
      </c>
      <c r="I437" s="10" t="s">
        <v>443</v>
      </c>
    </row>
    <row r="438">
      <c r="A438" s="5" t="str">
        <f t="array" ref="A438">INDEX(event_table!$A$2:$A$69, RANDBETWEEN(1, COUNTA(event_table!$A$2:$A$69)))</f>
        <v>1526</v>
      </c>
      <c r="B438" s="6">
        <f t="array" ref="B438">IFERROR(INDEX(event_table!$E$1:$E3686,MATCH(A438,event_table!$A$1:$A3686,0)),"")
</f>
        <v>5</v>
      </c>
      <c r="C438" s="7">
        <f t="shared" si="1"/>
        <v>45</v>
      </c>
      <c r="D438" s="6" t="str">
        <f t="array" ref="D438">IFERROR(INDEX(user_table!$C$2:$C3686,MATCH(C438,user_table!$B$2:$B3686,0)),"")
</f>
        <v>Siti Kurniawan</v>
      </c>
      <c r="E438" s="6" t="str">
        <f t="array" ref="E438">IFERROR(INDEX(user_table!$E$2:$E3686,MATCH(C438,user_table!$B$2:$B3686,0)),"")
</f>
        <v>1, 1</v>
      </c>
      <c r="F438" s="6" t="str">
        <f t="shared" si="2"/>
        <v>15262545</v>
      </c>
      <c r="G438" s="8">
        <v>2.0</v>
      </c>
      <c r="H438" s="9">
        <v>45264.0</v>
      </c>
      <c r="I438" s="10" t="s">
        <v>444</v>
      </c>
    </row>
    <row r="439">
      <c r="A439" s="5" t="str">
        <f t="array" ref="A439">INDEX(event_table!$A$2:$A$69, RANDBETWEEN(1, COUNTA(event_table!$A$2:$A$69)))</f>
        <v>3455</v>
      </c>
      <c r="B439" s="6">
        <f t="array" ref="B439">IFERROR(INDEX(event_table!$E$1:$E3686,MATCH(A439,event_table!$A$1:$A3686,0)),"")
</f>
        <v>4</v>
      </c>
      <c r="C439" s="7">
        <f t="shared" si="1"/>
        <v>133</v>
      </c>
      <c r="D439" s="6" t="str">
        <f t="array" ref="D439">IFERROR(INDEX(user_table!$C$2:$C3686,MATCH(C439,user_table!$B$2:$B3686,0)),"")
</f>
        <v>Dewi Sari</v>
      </c>
      <c r="E439" s="6" t="str">
        <f t="array" ref="E439">IFERROR(INDEX(user_table!$E$2:$E3686,MATCH(C439,user_table!$B$2:$B3686,0)),"")
</f>
        <v>6, 5</v>
      </c>
      <c r="F439" s="6" t="str">
        <f t="shared" si="2"/>
        <v>345524133</v>
      </c>
      <c r="G439" s="8">
        <v>2.0</v>
      </c>
      <c r="H439" s="9">
        <v>44745.0</v>
      </c>
      <c r="I439" s="10" t="s">
        <v>445</v>
      </c>
    </row>
    <row r="440">
      <c r="A440" s="5" t="str">
        <f t="array" ref="A440">INDEX(event_table!$A$2:$A$69, RANDBETWEEN(1, COUNTA(event_table!$A$2:$A$69)))</f>
        <v>1418</v>
      </c>
      <c r="B440" s="6">
        <f t="array" ref="B440">IFERROR(INDEX(event_table!$E$1:$E3686,MATCH(A440,event_table!$A$1:$A3686,0)),"")
</f>
        <v>4</v>
      </c>
      <c r="C440" s="7">
        <f t="shared" si="1"/>
        <v>185</v>
      </c>
      <c r="D440" s="6" t="str">
        <f t="array" ref="D440">IFERROR(INDEX(user_table!$C$2:$C3686,MATCH(C440,user_table!$B$2:$B3686,0)),"")
</f>
        <v>Budi Wijaya</v>
      </c>
      <c r="E440" s="6" t="str">
        <f t="array" ref="E440">IFERROR(INDEX(user_table!$E$2:$E3686,MATCH(C440,user_table!$B$2:$B3686,0)),"")
</f>
        <v>6, 3</v>
      </c>
      <c r="F440" s="6" t="str">
        <f t="shared" si="2"/>
        <v>141824185</v>
      </c>
      <c r="G440" s="8">
        <v>2.0</v>
      </c>
      <c r="H440" s="9">
        <v>45205.0</v>
      </c>
      <c r="I440" s="10" t="s">
        <v>446</v>
      </c>
    </row>
    <row r="441">
      <c r="A441" s="5" t="str">
        <f t="array" ref="A441">INDEX(event_table!$A$2:$A$69, RANDBETWEEN(1, COUNTA(event_table!$A$2:$A$69)))</f>
        <v>1110</v>
      </c>
      <c r="B441" s="6">
        <f t="array" ref="B441">IFERROR(INDEX(event_table!$E$1:$E3686,MATCH(A441,event_table!$A$1:$A3686,0)),"")
</f>
        <v>1</v>
      </c>
      <c r="C441" s="7">
        <f t="shared" si="1"/>
        <v>28</v>
      </c>
      <c r="D441" s="6" t="str">
        <f t="array" ref="D441">IFERROR(INDEX(user_table!$C$2:$C3686,MATCH(C441,user_table!$B$2:$B3686,0)),"")
</f>
        <v>Fandi Putri</v>
      </c>
      <c r="E441" s="6" t="str">
        <f t="array" ref="E441">IFERROR(INDEX(user_table!$E$2:$E3686,MATCH(C441,user_table!$B$2:$B3686,0)),"")
</f>
        <v>5, 1</v>
      </c>
      <c r="F441" s="6" t="str">
        <f t="shared" si="2"/>
        <v>11101128</v>
      </c>
      <c r="G441" s="8">
        <v>1.0</v>
      </c>
      <c r="H441" s="9">
        <v>45239.0</v>
      </c>
      <c r="I441" s="10" t="s">
        <v>447</v>
      </c>
    </row>
    <row r="442">
      <c r="A442" s="5" t="str">
        <f t="array" ref="A442">INDEX(event_table!$A$2:$A$69, RANDBETWEEN(1, COUNTA(event_table!$A$2:$A$69)))</f>
        <v>1638</v>
      </c>
      <c r="B442" s="6">
        <f t="array" ref="B442">IFERROR(INDEX(event_table!$E$1:$E3686,MATCH(A442,event_table!$A$1:$A3686,0)),"")
</f>
        <v>6</v>
      </c>
      <c r="C442" s="7">
        <f t="shared" si="1"/>
        <v>99</v>
      </c>
      <c r="D442" s="6" t="str">
        <f t="array" ref="D442">IFERROR(INDEX(user_table!$C$2:$C3686,MATCH(C442,user_table!$B$2:$B3686,0)),"")
</f>
        <v>Maya Nugroho</v>
      </c>
      <c r="E442" s="6" t="str">
        <f t="array" ref="E442">IFERROR(INDEX(user_table!$E$2:$E3686,MATCH(C442,user_table!$B$2:$B3686,0)),"")
</f>
        <v>6, 1</v>
      </c>
      <c r="F442" s="6" t="str">
        <f t="shared" si="2"/>
        <v>16381699</v>
      </c>
      <c r="G442" s="8">
        <v>1.0</v>
      </c>
      <c r="H442" s="9">
        <v>45227.0</v>
      </c>
      <c r="I442" s="10" t="s">
        <v>448</v>
      </c>
    </row>
    <row r="443">
      <c r="A443" s="5" t="str">
        <f t="array" ref="A443">INDEX(event_table!$A$2:$A$69, RANDBETWEEN(1, COUNTA(event_table!$A$2:$A$69)))</f>
        <v>1425</v>
      </c>
      <c r="B443" s="6">
        <f t="array" ref="B443">IFERROR(INDEX(event_table!$E$1:$E3686,MATCH(A443,event_table!$A$1:$A3686,0)),"")
</f>
        <v>4</v>
      </c>
      <c r="C443" s="7">
        <f t="shared" si="1"/>
        <v>30</v>
      </c>
      <c r="D443" s="6" t="str">
        <f t="array" ref="D443">IFERROR(INDEX(user_table!$C$2:$C3686,MATCH(C443,user_table!$B$2:$B3686,0)),"")
</f>
        <v>Fajar Kurniawan</v>
      </c>
      <c r="E443" s="6" t="str">
        <f t="array" ref="E443">IFERROR(INDEX(user_table!$E$2:$E3686,MATCH(C443,user_table!$B$2:$B3686,0)),"")
</f>
        <v>5, 3</v>
      </c>
      <c r="F443" s="6" t="str">
        <f t="shared" si="2"/>
        <v>14251430</v>
      </c>
      <c r="G443" s="8">
        <v>1.0</v>
      </c>
      <c r="H443" s="9">
        <v>45218.0</v>
      </c>
      <c r="I443" s="10" t="s">
        <v>449</v>
      </c>
    </row>
    <row r="444">
      <c r="A444" s="5" t="str">
        <f t="array" ref="A444">INDEX(event_table!$A$2:$A$69, RANDBETWEEN(1, COUNTA(event_table!$A$2:$A$69)))</f>
        <v>1529</v>
      </c>
      <c r="B444" s="6">
        <f t="array" ref="B444">IFERROR(INDEX(event_table!$E$1:$E3686,MATCH(A444,event_table!$A$1:$A3686,0)),"")
</f>
        <v>5</v>
      </c>
      <c r="C444" s="7">
        <f t="shared" si="1"/>
        <v>155</v>
      </c>
      <c r="D444" s="6" t="str">
        <f t="array" ref="D444">IFERROR(INDEX(user_table!$C$2:$C3686,MATCH(C444,user_table!$B$2:$B3686,0)),"")
</f>
        <v>Sinta Saputra</v>
      </c>
      <c r="E444" s="6" t="str">
        <f t="array" ref="E444">IFERROR(INDEX(user_table!$E$2:$E3686,MATCH(C444,user_table!$B$2:$B3686,0)),"")
</f>
        <v>5, 2</v>
      </c>
      <c r="F444" s="6" t="str">
        <f t="shared" si="2"/>
        <v>152915155</v>
      </c>
      <c r="G444" s="8">
        <v>1.0</v>
      </c>
      <c r="H444" s="9">
        <v>45124.0</v>
      </c>
      <c r="I444" s="10" t="s">
        <v>450</v>
      </c>
    </row>
    <row r="445">
      <c r="A445" s="5" t="str">
        <f t="array" ref="A445">INDEX(event_table!$A$2:$A$69, RANDBETWEEN(1, COUNTA(event_table!$A$2:$A$69)))</f>
        <v>3167</v>
      </c>
      <c r="B445" s="6">
        <f t="array" ref="B445">IFERROR(INDEX(event_table!$E$1:$E3686,MATCH(A445,event_table!$A$1:$A3686,0)),"")
</f>
        <v>1</v>
      </c>
      <c r="C445" s="7">
        <f t="shared" si="1"/>
        <v>165</v>
      </c>
      <c r="D445" s="6" t="str">
        <f t="array" ref="D445">IFERROR(INDEX(user_table!$C$2:$C3686,MATCH(C445,user_table!$B$2:$B3686,0)),"")
</f>
        <v>Agus Pratama</v>
      </c>
      <c r="E445" s="6" t="str">
        <f t="array" ref="E445">IFERROR(INDEX(user_table!$E$2:$E3686,MATCH(C445,user_table!$B$2:$B3686,0)),"")
</f>
        <v>6, 2</v>
      </c>
      <c r="F445" s="6" t="str">
        <f t="shared" si="2"/>
        <v>316711165</v>
      </c>
      <c r="G445" s="8">
        <v>1.0</v>
      </c>
      <c r="H445" s="9">
        <v>45270.0</v>
      </c>
      <c r="I445" s="10" t="s">
        <v>451</v>
      </c>
    </row>
    <row r="446">
      <c r="A446" s="5" t="str">
        <f t="array" ref="A446">INDEX(event_table!$A$2:$A$69, RANDBETWEEN(1, COUNTA(event_table!$A$2:$A$69)))</f>
        <v>1424</v>
      </c>
      <c r="B446" s="6">
        <f t="array" ref="B446">IFERROR(INDEX(event_table!$E$1:$E3686,MATCH(A446,event_table!$A$1:$A3686,0)),"")
</f>
        <v>4</v>
      </c>
      <c r="C446" s="7">
        <f t="shared" si="1"/>
        <v>185</v>
      </c>
      <c r="D446" s="6" t="str">
        <f t="array" ref="D446">IFERROR(INDEX(user_table!$C$2:$C3686,MATCH(C446,user_table!$B$2:$B3686,0)),"")
</f>
        <v>Budi Wijaya</v>
      </c>
      <c r="E446" s="6" t="str">
        <f t="array" ref="E446">IFERROR(INDEX(user_table!$E$2:$E3686,MATCH(C446,user_table!$B$2:$B3686,0)),"")
</f>
        <v>6, 3</v>
      </c>
      <c r="F446" s="6" t="str">
        <f t="shared" si="2"/>
        <v>142414185</v>
      </c>
      <c r="G446" s="8">
        <v>1.0</v>
      </c>
      <c r="H446" s="9">
        <v>45236.0</v>
      </c>
      <c r="I446" s="10" t="s">
        <v>452</v>
      </c>
    </row>
    <row r="447">
      <c r="A447" s="5" t="str">
        <f t="array" ref="A447">INDEX(event_table!$A$2:$A$69, RANDBETWEEN(1, COUNTA(event_table!$A$2:$A$69)))</f>
        <v>3162</v>
      </c>
      <c r="B447" s="6">
        <f t="array" ref="B447">IFERROR(INDEX(event_table!$E$1:$E3686,MATCH(A447,event_table!$A$1:$A3686,0)),"")
</f>
        <v>1</v>
      </c>
      <c r="C447" s="7">
        <f t="shared" si="1"/>
        <v>114</v>
      </c>
      <c r="D447" s="6" t="str">
        <f t="array" ref="D447">IFERROR(INDEX(user_table!$C$2:$C3686,MATCH(C447,user_table!$B$2:$B3686,0)),"")
</f>
        <v>Ani Sari</v>
      </c>
      <c r="E447" s="6" t="str">
        <f t="array" ref="E447">IFERROR(INDEX(user_table!$E$2:$E3686,MATCH(C447,user_table!$B$2:$B3686,0)),"")
</f>
        <v>4, 3</v>
      </c>
      <c r="F447" s="6" t="str">
        <f t="shared" si="2"/>
        <v>316211114</v>
      </c>
      <c r="G447" s="8">
        <v>1.0</v>
      </c>
      <c r="H447" s="9">
        <v>45223.0</v>
      </c>
      <c r="I447" s="10" t="s">
        <v>453</v>
      </c>
    </row>
    <row r="448">
      <c r="A448" s="5" t="str">
        <f t="array" ref="A448">INDEX(event_table!$A$2:$A$69, RANDBETWEEN(1, COUNTA(event_table!$A$2:$A$69)))</f>
        <v>3167</v>
      </c>
      <c r="B448" s="6">
        <f t="array" ref="B448">IFERROR(INDEX(event_table!$E$1:$E3686,MATCH(A448,event_table!$A$1:$A3686,0)),"")
</f>
        <v>1</v>
      </c>
      <c r="C448" s="7">
        <f t="shared" si="1"/>
        <v>168</v>
      </c>
      <c r="D448" s="6" t="str">
        <f t="array" ref="D448">IFERROR(INDEX(user_table!$C$2:$C3686,MATCH(C448,user_table!$B$2:$B3686,0)),"")
</f>
        <v>Lina Kurniawan</v>
      </c>
      <c r="E448" s="6" t="str">
        <f t="array" ref="E448">IFERROR(INDEX(user_table!$E$2:$E3686,MATCH(C448,user_table!$B$2:$B3686,0)),"")
</f>
        <v>2, 2</v>
      </c>
      <c r="F448" s="6" t="str">
        <f t="shared" si="2"/>
        <v>316711168</v>
      </c>
      <c r="G448" s="8">
        <v>1.0</v>
      </c>
      <c r="H448" s="9">
        <v>45210.0</v>
      </c>
      <c r="I448" s="10" t="s">
        <v>454</v>
      </c>
    </row>
    <row r="449">
      <c r="A449" s="5" t="str">
        <f t="array" ref="A449">INDEX(event_table!$A$2:$A$69, RANDBETWEEN(1, COUNTA(event_table!$A$2:$A$69)))</f>
        <v>3169</v>
      </c>
      <c r="B449" s="6">
        <f t="array" ref="B449">IFERROR(INDEX(event_table!$E$1:$E3686,MATCH(A449,event_table!$A$1:$A3686,0)),"")
</f>
        <v>1</v>
      </c>
      <c r="C449" s="7">
        <f t="shared" si="1"/>
        <v>95</v>
      </c>
      <c r="D449" s="6" t="str">
        <f t="array" ref="D449">IFERROR(INDEX(user_table!$C$2:$C3686,MATCH(C449,user_table!$B$2:$B3686,0)),"")
</f>
        <v>Ani Pratama</v>
      </c>
      <c r="E449" s="6" t="str">
        <f t="array" ref="E449">IFERROR(INDEX(user_table!$E$2:$E3686,MATCH(C449,user_table!$B$2:$B3686,0)),"")
</f>
        <v>3, 5</v>
      </c>
      <c r="F449" s="6" t="str">
        <f t="shared" si="2"/>
        <v>31691195</v>
      </c>
      <c r="G449" s="8">
        <v>1.0</v>
      </c>
      <c r="H449" s="9">
        <v>45151.0</v>
      </c>
      <c r="I449" s="10" t="s">
        <v>455</v>
      </c>
    </row>
    <row r="450">
      <c r="A450" s="5" t="str">
        <f t="array" ref="A450">INDEX(event_table!$A$2:$A$69, RANDBETWEEN(1, COUNTA(event_table!$A$2:$A$69)))</f>
        <v>3163</v>
      </c>
      <c r="B450" s="6">
        <f t="array" ref="B450">IFERROR(INDEX(event_table!$E$1:$E3686,MATCH(A450,event_table!$A$1:$A3686,0)),"")
</f>
        <v>1</v>
      </c>
      <c r="C450" s="7">
        <f t="shared" si="1"/>
        <v>194</v>
      </c>
      <c r="D450" s="6" t="str">
        <f t="array" ref="D450">IFERROR(INDEX(user_table!$C$2:$C3686,MATCH(C450,user_table!$B$2:$B3686,0)),"")
</f>
        <v>Andi Putri</v>
      </c>
      <c r="E450" s="6" t="str">
        <f t="array" ref="E450">IFERROR(INDEX(user_table!$E$2:$E3686,MATCH(C450,user_table!$B$2:$B3686,0)),"")
</f>
        <v>4, 4</v>
      </c>
      <c r="F450" s="6" t="str">
        <f t="shared" si="2"/>
        <v>316311194</v>
      </c>
      <c r="G450" s="8">
        <v>1.0</v>
      </c>
      <c r="H450" s="9">
        <v>45143.0</v>
      </c>
      <c r="I450" s="10" t="s">
        <v>456</v>
      </c>
    </row>
    <row r="451">
      <c r="A451" s="5" t="str">
        <f t="array" ref="A451">INDEX(event_table!$A$2:$A$69, RANDBETWEEN(1, COUNTA(event_table!$A$2:$A$69)))</f>
        <v>1640</v>
      </c>
      <c r="B451" s="6">
        <f t="array" ref="B451">IFERROR(INDEX(event_table!$E$1:$E3686,MATCH(A451,event_table!$A$1:$A3686,0)),"")
</f>
        <v>6</v>
      </c>
      <c r="C451" s="7">
        <f t="shared" si="1"/>
        <v>138</v>
      </c>
      <c r="D451" s="6" t="str">
        <f t="array" ref="D451">IFERROR(INDEX(user_table!$C$2:$C3686,MATCH(C451,user_table!$B$2:$B3686,0)),"")
</f>
        <v>Joko Hermawan</v>
      </c>
      <c r="E451" s="6" t="str">
        <f t="array" ref="E451">IFERROR(INDEX(user_table!$E$2:$E3686,MATCH(C451,user_table!$B$2:$B3686,0)),"")
</f>
        <v>4, 1</v>
      </c>
      <c r="F451" s="6" t="str">
        <f t="shared" si="2"/>
        <v>164016138</v>
      </c>
      <c r="G451" s="8">
        <v>1.0</v>
      </c>
      <c r="H451" s="9">
        <v>45098.0</v>
      </c>
      <c r="I451" s="10" t="s">
        <v>457</v>
      </c>
    </row>
    <row r="452">
      <c r="A452" s="5" t="str">
        <f t="array" ref="A452">INDEX(event_table!$A$2:$A$69, RANDBETWEEN(1, COUNTA(event_table!$A$2:$A$69)))</f>
        <v>1651</v>
      </c>
      <c r="B452" s="6">
        <f t="array" ref="B452">IFERROR(INDEX(event_table!$E$1:$E3686,MATCH(A452,event_table!$A$1:$A3686,0)),"")
</f>
        <v>6</v>
      </c>
      <c r="C452" s="7">
        <f t="shared" si="1"/>
        <v>51</v>
      </c>
      <c r="D452" s="6" t="str">
        <f t="array" ref="D452">IFERROR(INDEX(user_table!$C$2:$C3686,MATCH(C452,user_table!$B$2:$B3686,0)),"")
</f>
        <v>Fandi Pratama</v>
      </c>
      <c r="E452" s="6" t="str">
        <f t="array" ref="E452">IFERROR(INDEX(user_table!$E$2:$E3686,MATCH(C452,user_table!$B$2:$B3686,0)),"")
</f>
        <v>2, 1</v>
      </c>
      <c r="F452" s="6" t="str">
        <f t="shared" si="2"/>
        <v>16511651</v>
      </c>
      <c r="G452" s="8">
        <v>1.0</v>
      </c>
      <c r="H452" s="9">
        <v>45083.0</v>
      </c>
      <c r="I452" s="10" t="s">
        <v>458</v>
      </c>
    </row>
    <row r="453">
      <c r="A453" s="5" t="str">
        <f t="array" ref="A453">INDEX(event_table!$A$2:$A$69, RANDBETWEEN(1, COUNTA(event_table!$A$2:$A$69)))</f>
        <v>3169</v>
      </c>
      <c r="B453" s="6">
        <f t="array" ref="B453">IFERROR(INDEX(event_table!$E$1:$E3686,MATCH(A453,event_table!$A$1:$A3686,0)),"")
</f>
        <v>1</v>
      </c>
      <c r="C453" s="7">
        <f t="shared" si="1"/>
        <v>29</v>
      </c>
      <c r="D453" s="6" t="str">
        <f t="array" ref="D453">IFERROR(INDEX(user_table!$C$2:$C3686,MATCH(C453,user_table!$B$2:$B3686,0)),"")
</f>
        <v>Bambang Putri</v>
      </c>
      <c r="E453" s="6" t="str">
        <f t="array" ref="E453">IFERROR(INDEX(user_table!$E$2:$E3686,MATCH(C453,user_table!$B$2:$B3686,0)),"")
</f>
        <v>3, 4</v>
      </c>
      <c r="F453" s="6" t="str">
        <f t="shared" si="2"/>
        <v>31691129</v>
      </c>
      <c r="G453" s="8">
        <v>1.0</v>
      </c>
      <c r="H453" s="9">
        <v>45031.0</v>
      </c>
      <c r="I453" s="10" t="s">
        <v>459</v>
      </c>
    </row>
    <row r="454">
      <c r="A454" s="5" t="str">
        <f t="array" ref="A454">INDEX(event_table!$A$2:$A$69, RANDBETWEEN(1, COUNTA(event_table!$A$2:$A$69)))</f>
        <v>3454</v>
      </c>
      <c r="B454" s="6">
        <f t="array" ref="B454">IFERROR(INDEX(event_table!$E$1:$E3686,MATCH(A454,event_table!$A$1:$A3686,0)),"")
</f>
        <v>4</v>
      </c>
      <c r="C454" s="7">
        <f t="shared" si="1"/>
        <v>87</v>
      </c>
      <c r="D454" s="6" t="str">
        <f t="array" ref="D454">IFERROR(INDEX(user_table!$C$2:$C3686,MATCH(C454,user_table!$B$2:$B3686,0)),"")
</f>
        <v>Budi Setiawan</v>
      </c>
      <c r="E454" s="6" t="str">
        <f t="array" ref="E454">IFERROR(INDEX(user_table!$E$2:$E3686,MATCH(C454,user_table!$B$2:$B3686,0)),"")
</f>
        <v>3, 5</v>
      </c>
      <c r="F454" s="6" t="str">
        <f t="shared" si="2"/>
        <v>34545487</v>
      </c>
      <c r="G454" s="8">
        <v>5.0</v>
      </c>
      <c r="H454" s="9">
        <v>44720.0</v>
      </c>
      <c r="I454" s="10" t="s">
        <v>460</v>
      </c>
    </row>
    <row r="455">
      <c r="A455" s="5" t="str">
        <f t="array" ref="A455">INDEX(event_table!$A$2:$A$69, RANDBETWEEN(1, COUNTA(event_table!$A$2:$A$69)))</f>
        <v>3356</v>
      </c>
      <c r="B455" s="6">
        <f t="array" ref="B455">IFERROR(INDEX(event_table!$E$1:$E3686,MATCH(A455,event_table!$A$1:$A3686,0)),"")
</f>
        <v>3</v>
      </c>
      <c r="C455" s="7">
        <f t="shared" si="1"/>
        <v>70</v>
      </c>
      <c r="D455" s="6" t="str">
        <f t="array" ref="D455">IFERROR(INDEX(user_table!$C$2:$C3686,MATCH(C455,user_table!$B$2:$B3686,0)),"")
</f>
        <v>Fandi Hadiwijaya</v>
      </c>
      <c r="E455" s="6" t="str">
        <f t="array" ref="E455">IFERROR(INDEX(user_table!$E$2:$E3686,MATCH(C455,user_table!$B$2:$B3686,0)),"")
</f>
        <v>1, 4</v>
      </c>
      <c r="F455" s="6" t="str">
        <f t="shared" si="2"/>
        <v>33565370</v>
      </c>
      <c r="G455" s="8">
        <v>5.0</v>
      </c>
      <c r="H455" s="9">
        <v>44718.0</v>
      </c>
      <c r="I455" s="10" t="s">
        <v>461</v>
      </c>
    </row>
    <row r="456">
      <c r="A456" s="5" t="str">
        <f t="array" ref="A456">INDEX(event_table!$A$2:$A$69, RANDBETWEEN(1, COUNTA(event_table!$A$2:$A$69)))</f>
        <v>3169</v>
      </c>
      <c r="B456" s="6">
        <f t="array" ref="B456">IFERROR(INDEX(event_table!$E$1:$E3686,MATCH(A456,event_table!$A$1:$A3686,0)),"")
</f>
        <v>1</v>
      </c>
      <c r="C456" s="7">
        <f t="shared" si="1"/>
        <v>154</v>
      </c>
      <c r="D456" s="6" t="str">
        <f t="array" ref="D456">IFERROR(INDEX(user_table!$C$2:$C3686,MATCH(C456,user_table!$B$2:$B3686,0)),"")
</f>
        <v>Dian Nurhayati</v>
      </c>
      <c r="E456" s="6" t="str">
        <f t="array" ref="E456">IFERROR(INDEX(user_table!$E$2:$E3686,MATCH(C456,user_table!$B$2:$B3686,0)),"")
</f>
        <v>5, 3</v>
      </c>
      <c r="F456" s="6" t="str">
        <f t="shared" si="2"/>
        <v>316951154</v>
      </c>
      <c r="G456" s="8">
        <v>5.0</v>
      </c>
      <c r="H456" s="9">
        <v>44702.0</v>
      </c>
      <c r="I456" s="10" t="s">
        <v>462</v>
      </c>
    </row>
    <row r="457">
      <c r="A457" s="5" t="str">
        <f t="array" ref="A457">INDEX(event_table!$A$2:$A$69, RANDBETWEEN(1, COUNTA(event_table!$A$2:$A$69)))</f>
        <v>1421</v>
      </c>
      <c r="B457" s="6">
        <f t="array" ref="B457">IFERROR(INDEX(event_table!$E$1:$E3686,MATCH(A457,event_table!$A$1:$A3686,0)),"")
</f>
        <v>4</v>
      </c>
      <c r="C457" s="7">
        <f t="shared" si="1"/>
        <v>28</v>
      </c>
      <c r="D457" s="6" t="str">
        <f t="array" ref="D457">IFERROR(INDEX(user_table!$C$2:$C3686,MATCH(C457,user_table!$B$2:$B3686,0)),"")
</f>
        <v>Fandi Putri</v>
      </c>
      <c r="E457" s="6" t="str">
        <f t="array" ref="E457">IFERROR(INDEX(user_table!$E$2:$E3686,MATCH(C457,user_table!$B$2:$B3686,0)),"")
</f>
        <v>5, 1</v>
      </c>
      <c r="F457" s="6" t="str">
        <f t="shared" si="2"/>
        <v>14215428</v>
      </c>
      <c r="G457" s="8">
        <v>5.0</v>
      </c>
      <c r="H457" s="9">
        <v>44695.0</v>
      </c>
      <c r="I457" s="10" t="s">
        <v>463</v>
      </c>
    </row>
    <row r="458">
      <c r="A458" s="5" t="str">
        <f t="array" ref="A458">INDEX(event_table!$A$2:$A$69, RANDBETWEEN(1, COUNTA(event_table!$A$2:$A$69)))</f>
        <v>1332</v>
      </c>
      <c r="B458" s="6">
        <f t="array" ref="B458">IFERROR(INDEX(event_table!$E$1:$E3686,MATCH(A458,event_table!$A$1:$A3686,0)),"")
</f>
        <v>3</v>
      </c>
      <c r="C458" s="7">
        <f t="shared" si="1"/>
        <v>147</v>
      </c>
      <c r="D458" s="6" t="str">
        <f t="array" ref="D458">IFERROR(INDEX(user_table!$C$2:$C3686,MATCH(C458,user_table!$B$2:$B3686,0)),"")
</f>
        <v>Fajar Saputra</v>
      </c>
      <c r="E458" s="6" t="str">
        <f t="array" ref="E458">IFERROR(INDEX(user_table!$E$2:$E3686,MATCH(C458,user_table!$B$2:$B3686,0)),"")
</f>
        <v>6, 2</v>
      </c>
      <c r="F458" s="6" t="str">
        <f t="shared" si="2"/>
        <v>133253147</v>
      </c>
      <c r="G458" s="8">
        <v>5.0</v>
      </c>
      <c r="H458" s="9">
        <v>44693.0</v>
      </c>
      <c r="I458" s="10" t="s">
        <v>464</v>
      </c>
    </row>
    <row r="459">
      <c r="A459" s="5" t="str">
        <f t="array" ref="A459">INDEX(event_table!$A$2:$A$69, RANDBETWEEN(1, COUNTA(event_table!$A$2:$A$69)))</f>
        <v>1425</v>
      </c>
      <c r="B459" s="6">
        <f t="array" ref="B459">IFERROR(INDEX(event_table!$E$1:$E3686,MATCH(A459,event_table!$A$1:$A3686,0)),"")
</f>
        <v>4</v>
      </c>
      <c r="C459" s="7">
        <f t="shared" si="1"/>
        <v>132</v>
      </c>
      <c r="D459" s="6" t="str">
        <f t="array" ref="D459">IFERROR(INDEX(user_table!$C$2:$C3686,MATCH(C459,user_table!$B$2:$B3686,0)),"")
</f>
        <v>Joko Hartono</v>
      </c>
      <c r="E459" s="6" t="str">
        <f t="array" ref="E459">IFERROR(INDEX(user_table!$E$2:$E3686,MATCH(C459,user_table!$B$2:$B3686,0)),"")
</f>
        <v>1, 3</v>
      </c>
      <c r="F459" s="6" t="str">
        <f t="shared" si="2"/>
        <v>142554132</v>
      </c>
      <c r="G459" s="8">
        <v>5.0</v>
      </c>
      <c r="H459" s="9">
        <v>44690.0</v>
      </c>
      <c r="I459" s="10" t="s">
        <v>465</v>
      </c>
    </row>
    <row r="460">
      <c r="A460" s="5" t="str">
        <f t="array" ref="A460">INDEX(event_table!$A$2:$A$69, RANDBETWEEN(1, COUNTA(event_table!$A$2:$A$69)))</f>
        <v>114</v>
      </c>
      <c r="B460" s="6">
        <f t="array" ref="B460">IFERROR(INDEX(event_table!$E$1:$E3686,MATCH(A460,event_table!$A$1:$A3686,0)),"")
</f>
        <v>1</v>
      </c>
      <c r="C460" s="7">
        <f t="shared" si="1"/>
        <v>116</v>
      </c>
      <c r="D460" s="6" t="str">
        <f t="array" ref="D460">IFERROR(INDEX(user_table!$C$2:$C3686,MATCH(C460,user_table!$B$2:$B3686,0)),"")
</f>
        <v>Fandi Hartono</v>
      </c>
      <c r="E460" s="6" t="str">
        <f t="array" ref="E460">IFERROR(INDEX(user_table!$E$2:$E3686,MATCH(C460,user_table!$B$2:$B3686,0)),"")
</f>
        <v>2, 1</v>
      </c>
      <c r="F460" s="6" t="str">
        <f t="shared" si="2"/>
        <v>11451116</v>
      </c>
      <c r="G460" s="8">
        <v>5.0</v>
      </c>
      <c r="H460" s="9">
        <v>45179.0</v>
      </c>
      <c r="I460" s="10" t="s">
        <v>466</v>
      </c>
    </row>
    <row r="461">
      <c r="A461" s="5" t="str">
        <f t="array" ref="A461">INDEX(event_table!$A$2:$A$69, RANDBETWEEN(1, COUNTA(event_table!$A$2:$A$69)))</f>
        <v>1417</v>
      </c>
      <c r="B461" s="6">
        <f t="array" ref="B461">IFERROR(INDEX(event_table!$E$1:$E3686,MATCH(A461,event_table!$A$1:$A3686,0)),"")
</f>
        <v>4</v>
      </c>
      <c r="C461" s="7">
        <f t="shared" si="1"/>
        <v>153</v>
      </c>
      <c r="D461" s="6" t="str">
        <f t="array" ref="D461">IFERROR(INDEX(user_table!$C$2:$C3686,MATCH(C461,user_table!$B$2:$B3686,0)),"")
</f>
        <v>Budi Hartono</v>
      </c>
      <c r="E461" s="6" t="str">
        <f t="array" ref="E461">IFERROR(INDEX(user_table!$E$2:$E3686,MATCH(C461,user_table!$B$2:$B3686,0)),"")
</f>
        <v>5, 2</v>
      </c>
      <c r="F461" s="6" t="str">
        <f t="shared" si="2"/>
        <v>141754153</v>
      </c>
      <c r="G461" s="8">
        <v>5.0</v>
      </c>
      <c r="H461" s="9">
        <v>45142.0</v>
      </c>
      <c r="I461" s="10" t="s">
        <v>467</v>
      </c>
    </row>
    <row r="462">
      <c r="A462" s="5" t="str">
        <f t="array" ref="A462">INDEX(event_table!$A$2:$A$69, RANDBETWEEN(1, COUNTA(event_table!$A$2:$A$69)))</f>
        <v>1641</v>
      </c>
      <c r="B462" s="6">
        <f t="array" ref="B462">IFERROR(INDEX(event_table!$E$1:$E3686,MATCH(A462,event_table!$A$1:$A3686,0)),"")
</f>
        <v>6</v>
      </c>
      <c r="C462" s="7">
        <f t="shared" si="1"/>
        <v>17</v>
      </c>
      <c r="D462" s="6" t="str">
        <f t="array" ref="D462">IFERROR(INDEX(user_table!$C$2:$C3686,MATCH(C462,user_table!$B$2:$B3686,0)),"")
</f>
        <v>Fajar Wijaya</v>
      </c>
      <c r="E462" s="6" t="str">
        <f t="array" ref="E462">IFERROR(INDEX(user_table!$E$2:$E3686,MATCH(C462,user_table!$B$2:$B3686,0)),"")
</f>
        <v>1, 1</v>
      </c>
      <c r="F462" s="6" t="str">
        <f t="shared" si="2"/>
        <v>16415617</v>
      </c>
      <c r="G462" s="8">
        <v>5.0</v>
      </c>
      <c r="H462" s="9">
        <v>45033.0</v>
      </c>
      <c r="I462" s="10" t="s">
        <v>468</v>
      </c>
    </row>
    <row r="463">
      <c r="A463" s="5" t="str">
        <f t="array" ref="A463">INDEX(event_table!$A$2:$A$69, RANDBETWEEN(1, COUNTA(event_table!$A$2:$A$69)))</f>
        <v>3454</v>
      </c>
      <c r="B463" s="6">
        <f t="array" ref="B463">IFERROR(INDEX(event_table!$E$1:$E3686,MATCH(A463,event_table!$A$1:$A3686,0)),"")
</f>
        <v>4</v>
      </c>
      <c r="C463" s="7">
        <f t="shared" si="1"/>
        <v>10</v>
      </c>
      <c r="D463" s="6" t="str">
        <f t="array" ref="D463">IFERROR(INDEX(user_table!$C$2:$C3686,MATCH(C463,user_table!$B$2:$B3686,0)),"")
</f>
        <v>Dina Susanto</v>
      </c>
      <c r="E463" s="6" t="str">
        <f t="array" ref="E463">IFERROR(INDEX(user_table!$E$2:$E3686,MATCH(C463,user_table!$B$2:$B3686,0)),"")
</f>
        <v>4, 5</v>
      </c>
      <c r="F463" s="6" t="str">
        <f t="shared" si="2"/>
        <v>34545410</v>
      </c>
      <c r="G463" s="8">
        <v>5.0</v>
      </c>
      <c r="H463" s="9">
        <v>44878.0</v>
      </c>
      <c r="I463" s="10" t="s">
        <v>469</v>
      </c>
    </row>
    <row r="464">
      <c r="A464" s="5" t="str">
        <f t="array" ref="A464">INDEX(event_table!$A$2:$A$69, RANDBETWEEN(1, COUNTA(event_table!$A$2:$A$69)))</f>
        <v>1638</v>
      </c>
      <c r="B464" s="6">
        <f t="array" ref="B464">IFERROR(INDEX(event_table!$E$1:$E3686,MATCH(A464,event_table!$A$1:$A3686,0)),"")
</f>
        <v>6</v>
      </c>
      <c r="C464" s="7">
        <f t="shared" si="1"/>
        <v>71</v>
      </c>
      <c r="D464" s="6" t="str">
        <f t="array" ref="D464">IFERROR(INDEX(user_table!$C$2:$C3686,MATCH(C464,user_table!$B$2:$B3686,0)),"")
</f>
        <v>Hadi Putri</v>
      </c>
      <c r="E464" s="6" t="str">
        <f t="array" ref="E464">IFERROR(INDEX(user_table!$E$2:$E3686,MATCH(C464,user_table!$B$2:$B3686,0)),"")
</f>
        <v>3, 3</v>
      </c>
      <c r="F464" s="6" t="str">
        <f t="shared" si="2"/>
        <v>16385671</v>
      </c>
      <c r="G464" s="8">
        <v>5.0</v>
      </c>
      <c r="H464" s="9">
        <v>44823.0</v>
      </c>
      <c r="I464" s="10" t="s">
        <v>470</v>
      </c>
    </row>
    <row r="465">
      <c r="A465" s="5" t="str">
        <f t="array" ref="A465">INDEX(event_table!$A$2:$A$69, RANDBETWEEN(1, COUNTA(event_table!$A$2:$A$69)))</f>
        <v>1638</v>
      </c>
      <c r="B465" s="6">
        <f t="array" ref="B465">IFERROR(INDEX(event_table!$E$1:$E3686,MATCH(A465,event_table!$A$1:$A3686,0)),"")
</f>
        <v>6</v>
      </c>
      <c r="C465" s="7">
        <f t="shared" si="1"/>
        <v>190</v>
      </c>
      <c r="D465" s="6" t="str">
        <f t="array" ref="D465">IFERROR(INDEX(user_table!$C$2:$C3686,MATCH(C465,user_table!$B$2:$B3686,0)),"")
</f>
        <v>Fajar Santoso</v>
      </c>
      <c r="E465" s="6" t="str">
        <f t="array" ref="E465">IFERROR(INDEX(user_table!$E$2:$E3686,MATCH(C465,user_table!$B$2:$B3686,0)),"")
</f>
        <v>1, 3</v>
      </c>
      <c r="F465" s="6" t="str">
        <f t="shared" si="2"/>
        <v>163856190</v>
      </c>
      <c r="G465" s="8">
        <v>5.0</v>
      </c>
      <c r="H465" s="9">
        <v>44808.0</v>
      </c>
      <c r="I465" s="10" t="s">
        <v>471</v>
      </c>
    </row>
    <row r="466">
      <c r="A466" s="5" t="str">
        <f t="array" ref="A466">INDEX(event_table!$A$2:$A$69, RANDBETWEEN(1, COUNTA(event_table!$A$2:$A$69)))</f>
        <v>1416</v>
      </c>
      <c r="B466" s="6">
        <f t="array" ref="B466">IFERROR(INDEX(event_table!$E$1:$E3686,MATCH(A466,event_table!$A$1:$A3686,0)),"")
</f>
        <v>4</v>
      </c>
      <c r="C466" s="7">
        <f t="shared" si="1"/>
        <v>131</v>
      </c>
      <c r="D466" s="6" t="str">
        <f t="array" ref="D466">IFERROR(INDEX(user_table!$C$2:$C3686,MATCH(C466,user_table!$B$2:$B3686,0)),"")
</f>
        <v>Dian Purnama</v>
      </c>
      <c r="E466" s="6" t="str">
        <f t="array" ref="E466">IFERROR(INDEX(user_table!$E$2:$E3686,MATCH(C466,user_table!$B$2:$B3686,0)),"")
</f>
        <v>3, 5</v>
      </c>
      <c r="F466" s="6" t="str">
        <f t="shared" si="2"/>
        <v>141654131</v>
      </c>
      <c r="G466" s="8">
        <v>5.0</v>
      </c>
      <c r="H466" s="9">
        <v>44693.0</v>
      </c>
      <c r="I466" s="10" t="s">
        <v>472</v>
      </c>
    </row>
    <row r="467">
      <c r="A467" s="5" t="str">
        <f t="array" ref="A467">INDEX(event_table!$A$2:$A$69, RANDBETWEEN(1, COUNTA(event_table!$A$2:$A$69)))</f>
        <v>1642</v>
      </c>
      <c r="B467" s="6">
        <f t="array" ref="B467">IFERROR(INDEX(event_table!$E$1:$E3686,MATCH(A467,event_table!$A$1:$A3686,0)),"")
</f>
        <v>6</v>
      </c>
      <c r="C467" s="7">
        <f t="shared" si="1"/>
        <v>149</v>
      </c>
      <c r="D467" s="6" t="str">
        <f t="array" ref="D467">IFERROR(INDEX(user_table!$C$2:$C3686,MATCH(C467,user_table!$B$2:$B3686,0)),"")
</f>
        <v>Dian Setiawan</v>
      </c>
      <c r="E467" s="6" t="str">
        <f t="array" ref="E467">IFERROR(INDEX(user_table!$E$2:$E3686,MATCH(C467,user_table!$B$2:$B3686,0)),"")
</f>
        <v>2, 4</v>
      </c>
      <c r="F467" s="6" t="str">
        <f t="shared" si="2"/>
        <v>164246149</v>
      </c>
      <c r="G467" s="8">
        <v>4.0</v>
      </c>
      <c r="H467" s="9">
        <v>45044.0</v>
      </c>
      <c r="I467" s="10" t="s">
        <v>473</v>
      </c>
    </row>
    <row r="468">
      <c r="A468" s="5" t="str">
        <f t="array" ref="A468">INDEX(event_table!$A$2:$A$69, RANDBETWEEN(1, COUNTA(event_table!$A$2:$A$69)))</f>
        <v>113</v>
      </c>
      <c r="B468" s="6">
        <f t="array" ref="B468">IFERROR(INDEX(event_table!$E$1:$E3686,MATCH(A468,event_table!$A$1:$A3686,0)),"")
</f>
        <v>1</v>
      </c>
      <c r="C468" s="7">
        <f t="shared" si="1"/>
        <v>143</v>
      </c>
      <c r="D468" s="6" t="str">
        <f t="array" ref="D468">IFERROR(INDEX(user_table!$C$2:$C3686,MATCH(C468,user_table!$B$2:$B3686,0)),"")
</f>
        <v>Agus Putri</v>
      </c>
      <c r="E468" s="6" t="str">
        <f t="array" ref="E468">IFERROR(INDEX(user_table!$E$2:$E3686,MATCH(C468,user_table!$B$2:$B3686,0)),"")
</f>
        <v>3, 3</v>
      </c>
      <c r="F468" s="6" t="str">
        <f t="shared" si="2"/>
        <v>11341143</v>
      </c>
      <c r="G468" s="8">
        <v>4.0</v>
      </c>
      <c r="H468" s="9">
        <v>44931.0</v>
      </c>
      <c r="I468" s="10" t="s">
        <v>474</v>
      </c>
    </row>
    <row r="469">
      <c r="A469" s="5" t="str">
        <f t="array" ref="A469">INDEX(event_table!$A$2:$A$69, RANDBETWEEN(1, COUNTA(event_table!$A$2:$A$69)))</f>
        <v>1647</v>
      </c>
      <c r="B469" s="6">
        <f t="array" ref="B469">IFERROR(INDEX(event_table!$E$1:$E3686,MATCH(A469,event_table!$A$1:$A3686,0)),"")
</f>
        <v>6</v>
      </c>
      <c r="C469" s="7">
        <f t="shared" si="1"/>
        <v>108</v>
      </c>
      <c r="D469" s="6" t="str">
        <f t="array" ref="D469">IFERROR(INDEX(user_table!$C$2:$C3686,MATCH(C469,user_table!$B$2:$B3686,0)),"")
</f>
        <v>Dewi Hadiwijaya</v>
      </c>
      <c r="E469" s="6" t="str">
        <f t="array" ref="E469">IFERROR(INDEX(user_table!$E$2:$E3686,MATCH(C469,user_table!$B$2:$B3686,0)),"")
</f>
        <v>6, 6</v>
      </c>
      <c r="F469" s="6" t="str">
        <f t="shared" si="2"/>
        <v>164746108</v>
      </c>
      <c r="G469" s="8">
        <v>4.0</v>
      </c>
      <c r="H469" s="9">
        <v>44781.0</v>
      </c>
      <c r="I469" s="10" t="s">
        <v>475</v>
      </c>
    </row>
    <row r="470">
      <c r="A470" s="5" t="str">
        <f t="array" ref="A470">INDEX(event_table!$A$2:$A$69, RANDBETWEEN(1, COUNTA(event_table!$A$2:$A$69)))</f>
        <v>3164</v>
      </c>
      <c r="B470" s="6">
        <f t="array" ref="B470">IFERROR(INDEX(event_table!$E$1:$E3686,MATCH(A470,event_table!$A$1:$A3686,0)),"")
</f>
        <v>1</v>
      </c>
      <c r="C470" s="7">
        <f t="shared" si="1"/>
        <v>194</v>
      </c>
      <c r="D470" s="6" t="str">
        <f t="array" ref="D470">IFERROR(INDEX(user_table!$C$2:$C3686,MATCH(C470,user_table!$B$2:$B3686,0)),"")
</f>
        <v>Andi Putri</v>
      </c>
      <c r="E470" s="6" t="str">
        <f t="array" ref="E470">IFERROR(INDEX(user_table!$E$2:$E3686,MATCH(C470,user_table!$B$2:$B3686,0)),"")
</f>
        <v>4, 4</v>
      </c>
      <c r="F470" s="6" t="str">
        <f t="shared" si="2"/>
        <v>316441194</v>
      </c>
      <c r="G470" s="8">
        <v>4.0</v>
      </c>
      <c r="H470" s="9">
        <v>44747.0</v>
      </c>
      <c r="I470" s="10" t="s">
        <v>476</v>
      </c>
    </row>
    <row r="471">
      <c r="A471" s="5" t="str">
        <f t="array" ref="A471">INDEX(event_table!$A$2:$A$69, RANDBETWEEN(1, COUNTA(event_table!$A$2:$A$69)))</f>
        <v>114</v>
      </c>
      <c r="B471" s="6">
        <f t="array" ref="B471">IFERROR(INDEX(event_table!$E$1:$E3686,MATCH(A471,event_table!$A$1:$A3686,0)),"")
</f>
        <v>1</v>
      </c>
      <c r="C471" s="7">
        <f t="shared" si="1"/>
        <v>13</v>
      </c>
      <c r="D471" s="6" t="str">
        <f t="array" ref="D471">IFERROR(INDEX(user_table!$C$2:$C3686,MATCH(C471,user_table!$B$2:$B3686,0)),"")
</f>
        <v>Hadi Kurniawan</v>
      </c>
      <c r="E471" s="6" t="str">
        <f t="array" ref="E471">IFERROR(INDEX(user_table!$E$2:$E3686,MATCH(C471,user_table!$B$2:$B3686,0)),"")
</f>
        <v>4, 3</v>
      </c>
      <c r="F471" s="6" t="str">
        <f t="shared" si="2"/>
        <v>1144113</v>
      </c>
      <c r="G471" s="8">
        <v>4.0</v>
      </c>
      <c r="H471" s="9">
        <v>44714.0</v>
      </c>
      <c r="I471" s="10" t="s">
        <v>477</v>
      </c>
    </row>
    <row r="472">
      <c r="A472" s="5" t="str">
        <f t="array" ref="A472">INDEX(event_table!$A$2:$A$69, RANDBETWEEN(1, COUNTA(event_table!$A$2:$A$69)))</f>
        <v>3657</v>
      </c>
      <c r="B472" s="6">
        <f t="array" ref="B472">IFERROR(INDEX(event_table!$E$1:$E3686,MATCH(A472,event_table!$A$1:$A3686,0)),"")
</f>
        <v>6</v>
      </c>
      <c r="C472" s="7">
        <f t="shared" si="1"/>
        <v>41</v>
      </c>
      <c r="D472" s="6" t="str">
        <f t="array" ref="D472">IFERROR(INDEX(user_table!$C$2:$C3686,MATCH(C472,user_table!$B$2:$B3686,0)),"")
</f>
        <v>Wahyu Susanto</v>
      </c>
      <c r="E472" s="6" t="str">
        <f t="array" ref="E472">IFERROR(INDEX(user_table!$E$2:$E3686,MATCH(C472,user_table!$B$2:$B3686,0)),"")
</f>
        <v>5, 4</v>
      </c>
      <c r="F472" s="6" t="str">
        <f t="shared" si="2"/>
        <v>36574641</v>
      </c>
      <c r="G472" s="8">
        <v>4.0</v>
      </c>
      <c r="H472" s="9">
        <v>44708.0</v>
      </c>
      <c r="I472" s="10" t="s">
        <v>478</v>
      </c>
    </row>
    <row r="473">
      <c r="A473" s="5" t="str">
        <f t="array" ref="A473">INDEX(event_table!$A$2:$A$69, RANDBETWEEN(1, COUNTA(event_table!$A$2:$A$69)))</f>
        <v>3164</v>
      </c>
      <c r="B473" s="6">
        <f t="array" ref="B473">IFERROR(INDEX(event_table!$E$1:$E3686,MATCH(A473,event_table!$A$1:$A3686,0)),"")
</f>
        <v>1</v>
      </c>
      <c r="C473" s="7">
        <f t="shared" si="1"/>
        <v>196</v>
      </c>
      <c r="D473" s="6" t="str">
        <f t="array" ref="D473">IFERROR(INDEX(user_table!$C$2:$C3686,MATCH(C473,user_table!$B$2:$B3686,0)),"")
</f>
        <v>Dewi Susanto</v>
      </c>
      <c r="E473" s="6" t="str">
        <f t="array" ref="E473">IFERROR(INDEX(user_table!$E$2:$E3686,MATCH(C473,user_table!$B$2:$B3686,0)),"")
</f>
        <v>2, 1</v>
      </c>
      <c r="F473" s="6" t="str">
        <f t="shared" si="2"/>
        <v>316441196</v>
      </c>
      <c r="G473" s="8">
        <v>4.0</v>
      </c>
      <c r="H473" s="9">
        <v>45004.0</v>
      </c>
      <c r="I473" s="10" t="s">
        <v>479</v>
      </c>
    </row>
    <row r="474">
      <c r="A474" s="5" t="str">
        <f t="array" ref="A474">INDEX(event_table!$A$2:$A$69, RANDBETWEEN(1, COUNTA(event_table!$A$2:$A$69)))</f>
        <v>1421</v>
      </c>
      <c r="B474" s="6">
        <f t="array" ref="B474">IFERROR(INDEX(event_table!$E$1:$E3686,MATCH(A474,event_table!$A$1:$A3686,0)),"")
</f>
        <v>4</v>
      </c>
      <c r="C474" s="7">
        <f t="shared" si="1"/>
        <v>71</v>
      </c>
      <c r="D474" s="6" t="str">
        <f t="array" ref="D474">IFERROR(INDEX(user_table!$C$2:$C3686,MATCH(C474,user_table!$B$2:$B3686,0)),"")
</f>
        <v>Hadi Putri</v>
      </c>
      <c r="E474" s="6" t="str">
        <f t="array" ref="E474">IFERROR(INDEX(user_table!$E$2:$E3686,MATCH(C474,user_table!$B$2:$B3686,0)),"")
</f>
        <v>3, 3</v>
      </c>
      <c r="F474" s="6" t="str">
        <f t="shared" si="2"/>
        <v>14214471</v>
      </c>
      <c r="G474" s="8">
        <v>4.0</v>
      </c>
      <c r="H474" s="9">
        <v>44790.0</v>
      </c>
      <c r="I474" s="10" t="s">
        <v>480</v>
      </c>
    </row>
    <row r="475">
      <c r="A475" s="5" t="str">
        <f t="array" ref="A475">INDEX(event_table!$A$2:$A$69, RANDBETWEEN(1, COUNTA(event_table!$A$2:$A$69)))</f>
        <v>3162</v>
      </c>
      <c r="B475" s="6">
        <f t="array" ref="B475">IFERROR(INDEX(event_table!$E$1:$E3686,MATCH(A475,event_table!$A$1:$A3686,0)),"")
</f>
        <v>1</v>
      </c>
      <c r="C475" s="7">
        <f t="shared" si="1"/>
        <v>127</v>
      </c>
      <c r="D475" s="6" t="str">
        <f t="array" ref="D475">IFERROR(INDEX(user_table!$C$2:$C3686,MATCH(C475,user_table!$B$2:$B3686,0)),"")
</f>
        <v>Sinta Wijaya</v>
      </c>
      <c r="E475" s="6" t="str">
        <f t="array" ref="E475">IFERROR(INDEX(user_table!$E$2:$E3686,MATCH(C475,user_table!$B$2:$B3686,0)),"")
</f>
        <v>6, 4</v>
      </c>
      <c r="F475" s="6" t="str">
        <f t="shared" si="2"/>
        <v>316241127</v>
      </c>
      <c r="G475" s="8">
        <v>4.0</v>
      </c>
      <c r="H475" s="9">
        <v>44732.0</v>
      </c>
      <c r="I475" s="10" t="s">
        <v>481</v>
      </c>
    </row>
    <row r="476">
      <c r="A476" s="5" t="str">
        <f t="array" ref="A476">INDEX(event_table!$A$2:$A$69, RANDBETWEEN(1, COUNTA(event_table!$A$2:$A$69)))</f>
        <v>1422</v>
      </c>
      <c r="B476" s="6">
        <f t="array" ref="B476">IFERROR(INDEX(event_table!$E$1:$E3686,MATCH(A476,event_table!$A$1:$A3686,0)),"")
</f>
        <v>4</v>
      </c>
      <c r="C476" s="7">
        <f t="shared" si="1"/>
        <v>111</v>
      </c>
      <c r="D476" s="6" t="str">
        <f t="array" ref="D476">IFERROR(INDEX(user_table!$C$2:$C3686,MATCH(C476,user_table!$B$2:$B3686,0)),"")
</f>
        <v>Hadi Kurniawan</v>
      </c>
      <c r="E476" s="6" t="str">
        <f t="array" ref="E476">IFERROR(INDEX(user_table!$E$2:$E3686,MATCH(C476,user_table!$B$2:$B3686,0)),"")
</f>
        <v>3, 4</v>
      </c>
      <c r="F476" s="6" t="str">
        <f t="shared" si="2"/>
        <v>142244111</v>
      </c>
      <c r="G476" s="8">
        <v>4.0</v>
      </c>
      <c r="H476" s="9">
        <v>45250.0</v>
      </c>
      <c r="I476" s="10" t="s">
        <v>482</v>
      </c>
    </row>
    <row r="477">
      <c r="A477" s="5" t="str">
        <f t="array" ref="A477">INDEX(event_table!$A$2:$A$69, RANDBETWEEN(1, COUNTA(event_table!$A$2:$A$69)))</f>
        <v>1332</v>
      </c>
      <c r="B477" s="6">
        <f t="array" ref="B477">IFERROR(INDEX(event_table!$E$1:$E3686,MATCH(A477,event_table!$A$1:$A3686,0)),"")
</f>
        <v>3</v>
      </c>
      <c r="C477" s="7">
        <f t="shared" si="1"/>
        <v>154</v>
      </c>
      <c r="D477" s="6" t="str">
        <f t="array" ref="D477">IFERROR(INDEX(user_table!$C$2:$C3686,MATCH(C477,user_table!$B$2:$B3686,0)),"")
</f>
        <v>Dian Nurhayati</v>
      </c>
      <c r="E477" s="6" t="str">
        <f t="array" ref="E477">IFERROR(INDEX(user_table!$E$2:$E3686,MATCH(C477,user_table!$B$2:$B3686,0)),"")
</f>
        <v>5, 3</v>
      </c>
      <c r="F477" s="6" t="str">
        <f t="shared" si="2"/>
        <v>133243154</v>
      </c>
      <c r="G477" s="8">
        <v>4.0</v>
      </c>
      <c r="H477" s="9">
        <v>45112.0</v>
      </c>
      <c r="I477" s="10" t="s">
        <v>483</v>
      </c>
    </row>
    <row r="478">
      <c r="A478" s="5" t="str">
        <f t="array" ref="A478">INDEX(event_table!$A$2:$A$69, RANDBETWEEN(1, COUNTA(event_table!$A$2:$A$69)))</f>
        <v>3168</v>
      </c>
      <c r="B478" s="6">
        <f t="array" ref="B478">IFERROR(INDEX(event_table!$E$1:$E3686,MATCH(A478,event_table!$A$1:$A3686,0)),"")
</f>
        <v>1</v>
      </c>
      <c r="C478" s="7">
        <f t="shared" si="1"/>
        <v>103</v>
      </c>
      <c r="D478" s="6" t="str">
        <f t="array" ref="D478">IFERROR(INDEX(user_table!$C$2:$C3686,MATCH(C478,user_table!$B$2:$B3686,0)),"")
</f>
        <v>Hadi Sari</v>
      </c>
      <c r="E478" s="6" t="str">
        <f t="array" ref="E478">IFERROR(INDEX(user_table!$E$2:$E3686,MATCH(C478,user_table!$B$2:$B3686,0)),"")
</f>
        <v>3, 1</v>
      </c>
      <c r="F478" s="6" t="str">
        <f t="shared" si="2"/>
        <v>316831103</v>
      </c>
      <c r="G478" s="8">
        <v>3.0</v>
      </c>
      <c r="H478" s="9">
        <v>44783.0</v>
      </c>
      <c r="I478" s="10" t="s">
        <v>484</v>
      </c>
    </row>
    <row r="479">
      <c r="A479" s="5" t="str">
        <f t="array" ref="A479">INDEX(event_table!$A$2:$A$69, RANDBETWEEN(1, COUNTA(event_table!$A$2:$A$69)))</f>
        <v>119</v>
      </c>
      <c r="B479" s="6">
        <f t="array" ref="B479">IFERROR(INDEX(event_table!$E$1:$E3686,MATCH(A479,event_table!$A$1:$A3686,0)),"")
</f>
        <v>1</v>
      </c>
      <c r="C479" s="7">
        <f t="shared" si="1"/>
        <v>29</v>
      </c>
      <c r="D479" s="6" t="str">
        <f t="array" ref="D479">IFERROR(INDEX(user_table!$C$2:$C3686,MATCH(C479,user_table!$B$2:$B3686,0)),"")
</f>
        <v>Bambang Putri</v>
      </c>
      <c r="E479" s="6" t="str">
        <f t="array" ref="E479">IFERROR(INDEX(user_table!$E$2:$E3686,MATCH(C479,user_table!$B$2:$B3686,0)),"")
</f>
        <v>3, 4</v>
      </c>
      <c r="F479" s="6" t="str">
        <f t="shared" si="2"/>
        <v>1193129</v>
      </c>
      <c r="G479" s="8">
        <v>3.0</v>
      </c>
      <c r="H479" s="9">
        <v>44806.0</v>
      </c>
      <c r="I479" s="10" t="s">
        <v>485</v>
      </c>
    </row>
    <row r="480">
      <c r="A480" s="5" t="str">
        <f t="array" ref="A480">INDEX(event_table!$A$2:$A$69, RANDBETWEEN(1, COUNTA(event_table!$A$2:$A$69)))</f>
        <v>1422</v>
      </c>
      <c r="B480" s="6">
        <f t="array" ref="B480">IFERROR(INDEX(event_table!$E$1:$E3686,MATCH(A480,event_table!$A$1:$A3686,0)),"")
</f>
        <v>4</v>
      </c>
      <c r="C480" s="7">
        <f t="shared" si="1"/>
        <v>185</v>
      </c>
      <c r="D480" s="6" t="str">
        <f t="array" ref="D480">IFERROR(INDEX(user_table!$C$2:$C3686,MATCH(C480,user_table!$B$2:$B3686,0)),"")
</f>
        <v>Budi Wijaya</v>
      </c>
      <c r="E480" s="6" t="str">
        <f t="array" ref="E480">IFERROR(INDEX(user_table!$E$2:$E3686,MATCH(C480,user_table!$B$2:$B3686,0)),"")
</f>
        <v>6, 3</v>
      </c>
      <c r="F480" s="6" t="str">
        <f t="shared" si="2"/>
        <v>142234185</v>
      </c>
      <c r="G480" s="8">
        <v>3.0</v>
      </c>
      <c r="H480" s="9">
        <v>45259.0</v>
      </c>
      <c r="I480" s="10" t="s">
        <v>83</v>
      </c>
    </row>
    <row r="481">
      <c r="A481" s="5" t="str">
        <f t="array" ref="A481">INDEX(event_table!$A$2:$A$69, RANDBETWEEN(1, COUNTA(event_table!$A$2:$A$69)))</f>
        <v>1526</v>
      </c>
      <c r="B481" s="6">
        <f t="array" ref="B481">IFERROR(INDEX(event_table!$E$1:$E3686,MATCH(A481,event_table!$A$1:$A3686,0)),"")
</f>
        <v>5</v>
      </c>
      <c r="C481" s="7">
        <f t="shared" si="1"/>
        <v>157</v>
      </c>
      <c r="D481" s="6" t="str">
        <f t="array" ref="D481">IFERROR(INDEX(user_table!$C$2:$C3686,MATCH(C481,user_table!$B$2:$B3686,0)),"")
</f>
        <v>Ani Susanto</v>
      </c>
      <c r="E481" s="6" t="str">
        <f t="array" ref="E481">IFERROR(INDEX(user_table!$E$2:$E3686,MATCH(C481,user_table!$B$2:$B3686,0)),"")
</f>
        <v>4, 1</v>
      </c>
      <c r="F481" s="6" t="str">
        <f t="shared" si="2"/>
        <v>152635157</v>
      </c>
      <c r="G481" s="8">
        <v>3.0</v>
      </c>
      <c r="H481" s="9">
        <v>45122.0</v>
      </c>
      <c r="I481" s="10" t="s">
        <v>486</v>
      </c>
    </row>
    <row r="482">
      <c r="A482" s="5" t="str">
        <f t="array" ref="A482">INDEX(event_table!$A$2:$A$69, RANDBETWEEN(1, COUNTA(event_table!$A$2:$A$69)))</f>
        <v>1637</v>
      </c>
      <c r="B482" s="6">
        <f t="array" ref="B482">IFERROR(INDEX(event_table!$E$1:$E3686,MATCH(A482,event_table!$A$1:$A3686,0)),"")
</f>
        <v>6</v>
      </c>
      <c r="C482" s="7">
        <f t="shared" si="1"/>
        <v>186</v>
      </c>
      <c r="D482" s="6" t="str">
        <f t="array" ref="D482">IFERROR(INDEX(user_table!$C$2:$C3686,MATCH(C482,user_table!$B$2:$B3686,0)),"")
</f>
        <v>Budi Wijaya</v>
      </c>
      <c r="E482" s="6" t="str">
        <f t="array" ref="E482">IFERROR(INDEX(user_table!$E$2:$E3686,MATCH(C482,user_table!$B$2:$B3686,0)),"")
</f>
        <v>1, 4</v>
      </c>
      <c r="F482" s="6" t="str">
        <f t="shared" si="2"/>
        <v>163726186</v>
      </c>
      <c r="G482" s="8">
        <v>2.0</v>
      </c>
      <c r="H482" s="9">
        <v>44705.0</v>
      </c>
      <c r="I482" s="10" t="s">
        <v>235</v>
      </c>
    </row>
    <row r="483">
      <c r="A483" s="5" t="str">
        <f t="array" ref="A483">INDEX(event_table!$A$2:$A$69, RANDBETWEEN(1, COUNTA(event_table!$A$2:$A$69)))</f>
        <v>1641</v>
      </c>
      <c r="B483" s="6">
        <f t="array" ref="B483">IFERROR(INDEX(event_table!$E$1:$E3686,MATCH(A483,event_table!$A$1:$A3686,0)),"")
</f>
        <v>6</v>
      </c>
      <c r="C483" s="7">
        <f t="shared" si="1"/>
        <v>79</v>
      </c>
      <c r="D483" s="6" t="str">
        <f t="array" ref="D483">IFERROR(INDEX(user_table!$C$2:$C3686,MATCH(C483,user_table!$B$2:$B3686,0)),"")
</f>
        <v>Arif Nugroho</v>
      </c>
      <c r="E483" s="6" t="str">
        <f t="array" ref="E483">IFERROR(INDEX(user_table!$E$2:$E3686,MATCH(C483,user_table!$B$2:$B3686,0)),"")
</f>
        <v>2, 3</v>
      </c>
      <c r="F483" s="6" t="str">
        <f t="shared" si="2"/>
        <v>16412679</v>
      </c>
      <c r="G483" s="8">
        <v>2.0</v>
      </c>
      <c r="H483" s="9">
        <v>44898.0</v>
      </c>
      <c r="I483" s="11" t="s">
        <v>487</v>
      </c>
    </row>
    <row r="484">
      <c r="A484" s="5" t="str">
        <f t="array" ref="A484">INDEX(event_table!$A$2:$A$69, RANDBETWEEN(1, COUNTA(event_table!$A$2:$A$69)))</f>
        <v>1313</v>
      </c>
      <c r="B484" s="6">
        <f t="array" ref="B484">IFERROR(INDEX(event_table!$E$1:$E3686,MATCH(A484,event_table!$A$1:$A3686,0)),"")
</f>
        <v>3</v>
      </c>
      <c r="C484" s="7">
        <f t="shared" si="1"/>
        <v>105</v>
      </c>
      <c r="D484" s="6" t="str">
        <f t="array" ref="D484">IFERROR(INDEX(user_table!$C$2:$C3686,MATCH(C484,user_table!$B$2:$B3686,0)),"")
</f>
        <v>Siti Susanto</v>
      </c>
      <c r="E484" s="6" t="str">
        <f t="array" ref="E484">IFERROR(INDEX(user_table!$E$2:$E3686,MATCH(C484,user_table!$B$2:$B3686,0)),"")
</f>
        <v>2, 6</v>
      </c>
      <c r="F484" s="6" t="str">
        <f t="shared" si="2"/>
        <v>131323105</v>
      </c>
      <c r="G484" s="8">
        <v>2.0</v>
      </c>
      <c r="H484" s="9">
        <v>44875.0</v>
      </c>
      <c r="I484" s="10" t="s">
        <v>488</v>
      </c>
    </row>
    <row r="485">
      <c r="A485" s="5" t="str">
        <f t="array" ref="A485">INDEX(event_table!$A$2:$A$69, RANDBETWEEN(1, COUNTA(event_table!$A$2:$A$69)))</f>
        <v>1643</v>
      </c>
      <c r="B485" s="6">
        <f t="array" ref="B485">IFERROR(INDEX(event_table!$E$1:$E3686,MATCH(A485,event_table!$A$1:$A3686,0)),"")
</f>
        <v>6</v>
      </c>
      <c r="C485" s="7">
        <f t="shared" si="1"/>
        <v>75</v>
      </c>
      <c r="D485" s="6" t="str">
        <f t="array" ref="D485">IFERROR(INDEX(user_table!$C$2:$C3686,MATCH(C485,user_table!$B$2:$B3686,0)),"")
</f>
        <v>Citra Sari</v>
      </c>
      <c r="E485" s="6" t="str">
        <f t="array" ref="E485">IFERROR(INDEX(user_table!$E$2:$E3686,MATCH(C485,user_table!$B$2:$B3686,0)),"")
</f>
        <v>2, 5</v>
      </c>
      <c r="F485" s="6" t="str">
        <f t="shared" si="2"/>
        <v>16432675</v>
      </c>
      <c r="G485" s="8">
        <v>2.0</v>
      </c>
      <c r="H485" s="9">
        <v>44475.0</v>
      </c>
      <c r="I485" s="10" t="s">
        <v>489</v>
      </c>
    </row>
    <row r="486">
      <c r="A486" s="5" t="str">
        <f t="array" ref="A486">INDEX(event_table!$A$2:$A$69, RANDBETWEEN(1, COUNTA(event_table!$A$2:$A$69)))</f>
        <v>1649</v>
      </c>
      <c r="B486" s="6">
        <f t="array" ref="B486">IFERROR(INDEX(event_table!$E$1:$E3686,MATCH(A486,event_table!$A$1:$A3686,0)),"")
</f>
        <v>6</v>
      </c>
      <c r="C486" s="7">
        <f t="shared" si="1"/>
        <v>31</v>
      </c>
      <c r="D486" s="6" t="str">
        <f t="array" ref="D486">IFERROR(INDEX(user_table!$C$2:$C3686,MATCH(C486,user_table!$B$2:$B3686,0)),"")
</f>
        <v>Dian Hidayat</v>
      </c>
      <c r="E486" s="6" t="str">
        <f t="array" ref="E486">IFERROR(INDEX(user_table!$E$2:$E3686,MATCH(C486,user_table!$B$2:$B3686,0)),"")
</f>
        <v>3, 5</v>
      </c>
      <c r="F486" s="6" t="str">
        <f t="shared" si="2"/>
        <v>16492631</v>
      </c>
      <c r="G486" s="8">
        <v>2.0</v>
      </c>
      <c r="H486" s="9">
        <v>45212.0</v>
      </c>
      <c r="I486" s="10" t="s">
        <v>490</v>
      </c>
    </row>
    <row r="487">
      <c r="A487" s="5" t="str">
        <f t="array" ref="A487">INDEX(event_table!$A$2:$A$69, RANDBETWEEN(1, COUNTA(event_table!$A$2:$A$69)))</f>
        <v>1637</v>
      </c>
      <c r="B487" s="6">
        <f t="array" ref="B487">IFERROR(INDEX(event_table!$E$1:$E3686,MATCH(A487,event_table!$A$1:$A3686,0)),"")
</f>
        <v>6</v>
      </c>
      <c r="C487" s="7">
        <f t="shared" si="1"/>
        <v>125</v>
      </c>
      <c r="D487" s="6" t="str">
        <f t="array" ref="D487">IFERROR(INDEX(user_table!$C$2:$C3686,MATCH(C487,user_table!$B$2:$B3686,0)),"")
</f>
        <v>Fandi Hidayat</v>
      </c>
      <c r="E487" s="6" t="str">
        <f t="array" ref="E487">IFERROR(INDEX(user_table!$E$2:$E3686,MATCH(C487,user_table!$B$2:$B3686,0)),"")
</f>
        <v>5, 2</v>
      </c>
      <c r="F487" s="6" t="str">
        <f t="shared" si="2"/>
        <v>163726125</v>
      </c>
      <c r="G487" s="8">
        <v>2.0</v>
      </c>
      <c r="H487" s="9">
        <v>45182.0</v>
      </c>
      <c r="I487" s="10" t="s">
        <v>491</v>
      </c>
    </row>
    <row r="488">
      <c r="A488" s="5" t="str">
        <f t="array" ref="A488">INDEX(event_table!$A$2:$A$69, RANDBETWEEN(1, COUNTA(event_table!$A$2:$A$69)))</f>
        <v>1530</v>
      </c>
      <c r="B488" s="6">
        <f t="array" ref="B488">IFERROR(INDEX(event_table!$E$1:$E3686,MATCH(A488,event_table!$A$1:$A3686,0)),"")
</f>
        <v>5</v>
      </c>
      <c r="C488" s="7">
        <f t="shared" si="1"/>
        <v>25</v>
      </c>
      <c r="D488" s="6" t="str">
        <f t="array" ref="D488">IFERROR(INDEX(user_table!$C$2:$C3686,MATCH(C488,user_table!$B$2:$B3686,0)),"")
</f>
        <v>Agus Hartono</v>
      </c>
      <c r="E488" s="6" t="str">
        <f t="array" ref="E488">IFERROR(INDEX(user_table!$E$2:$E3686,MATCH(C488,user_table!$B$2:$B3686,0)),"")
</f>
        <v>6, 3</v>
      </c>
      <c r="F488" s="6" t="str">
        <f t="shared" si="2"/>
        <v>15302525</v>
      </c>
      <c r="G488" s="8">
        <v>2.0</v>
      </c>
      <c r="H488" s="9">
        <v>45039.0</v>
      </c>
      <c r="I488" s="10" t="s">
        <v>492</v>
      </c>
    </row>
    <row r="489">
      <c r="A489" s="5" t="str">
        <f t="array" ref="A489">INDEX(event_table!$A$2:$A$69, RANDBETWEEN(1, COUNTA(event_table!$A$2:$A$69)))</f>
        <v>1111</v>
      </c>
      <c r="B489" s="6">
        <f t="array" ref="B489">IFERROR(INDEX(event_table!$E$1:$E3686,MATCH(A489,event_table!$A$1:$A3686,0)),"")
</f>
        <v>1</v>
      </c>
      <c r="C489" s="7">
        <f t="shared" si="1"/>
        <v>159</v>
      </c>
      <c r="D489" s="6" t="str">
        <f t="array" ref="D489">IFERROR(INDEX(user_table!$C$2:$C3686,MATCH(C489,user_table!$B$2:$B3686,0)),"")
</f>
        <v>Rudi Santoso</v>
      </c>
      <c r="E489" s="6" t="str">
        <f t="array" ref="E489">IFERROR(INDEX(user_table!$E$2:$E3686,MATCH(C489,user_table!$B$2:$B3686,0)),"")
</f>
        <v>5, 1</v>
      </c>
      <c r="F489" s="6" t="str">
        <f t="shared" si="2"/>
        <v>111111159</v>
      </c>
      <c r="G489" s="8">
        <v>1.0</v>
      </c>
      <c r="H489" s="9">
        <v>45269.0</v>
      </c>
      <c r="I489" s="10" t="s">
        <v>493</v>
      </c>
    </row>
    <row r="490">
      <c r="A490" s="5" t="str">
        <f t="array" ref="A490">INDEX(event_table!$A$2:$A$69, RANDBETWEEN(1, COUNTA(event_table!$A$2:$A$69)))</f>
        <v>1110</v>
      </c>
      <c r="B490" s="6">
        <f t="array" ref="B490">IFERROR(INDEX(event_table!$E$1:$E3686,MATCH(A490,event_table!$A$1:$A3686,0)),"")
</f>
        <v>1</v>
      </c>
      <c r="C490" s="7">
        <f t="shared" si="1"/>
        <v>135</v>
      </c>
      <c r="D490" s="6" t="str">
        <f t="array" ref="D490">IFERROR(INDEX(user_table!$C$2:$C3686,MATCH(C490,user_table!$B$2:$B3686,0)),"")
</f>
        <v>Sinta Hermawan</v>
      </c>
      <c r="E490" s="6" t="str">
        <f t="array" ref="E490">IFERROR(INDEX(user_table!$E$2:$E3686,MATCH(C490,user_table!$B$2:$B3686,0)),"")
</f>
        <v>1, 5</v>
      </c>
      <c r="F490" s="6" t="str">
        <f t="shared" si="2"/>
        <v>111011135</v>
      </c>
      <c r="G490" s="8">
        <v>1.0</v>
      </c>
      <c r="H490" s="9">
        <v>45248.0</v>
      </c>
      <c r="I490" s="10" t="s">
        <v>494</v>
      </c>
    </row>
    <row r="491">
      <c r="A491" s="5" t="str">
        <f t="array" ref="A491">INDEX(event_table!$A$2:$A$69, RANDBETWEEN(1, COUNTA(event_table!$A$2:$A$69)))</f>
        <v>1641</v>
      </c>
      <c r="B491" s="6">
        <f t="array" ref="B491">IFERROR(INDEX(event_table!$E$1:$E3686,MATCH(A491,event_table!$A$1:$A3686,0)),"")
</f>
        <v>6</v>
      </c>
      <c r="C491" s="7">
        <f t="shared" si="1"/>
        <v>129</v>
      </c>
      <c r="D491" s="6" t="str">
        <f t="array" ref="D491">IFERROR(INDEX(user_table!$C$2:$C3686,MATCH(C491,user_table!$B$2:$B3686,0)),"")
</f>
        <v>Maya Kusuma</v>
      </c>
      <c r="E491" s="6" t="str">
        <f t="array" ref="E491">IFERROR(INDEX(user_table!$E$2:$E3686,MATCH(C491,user_table!$B$2:$B3686,0)),"")
</f>
        <v>4, 6</v>
      </c>
      <c r="F491" s="6" t="str">
        <f t="shared" si="2"/>
        <v>164116129</v>
      </c>
      <c r="G491" s="8">
        <v>1.0</v>
      </c>
      <c r="H491" s="9">
        <v>45220.0</v>
      </c>
      <c r="I491" s="10" t="s">
        <v>495</v>
      </c>
    </row>
    <row r="492">
      <c r="A492" s="5" t="str">
        <f t="array" ref="A492">INDEX(event_table!$A$2:$A$69, RANDBETWEEN(1, COUNTA(event_table!$A$2:$A$69)))</f>
        <v>1651</v>
      </c>
      <c r="B492" s="6">
        <f t="array" ref="B492">IFERROR(INDEX(event_table!$E$1:$E3686,MATCH(A492,event_table!$A$1:$A3686,0)),"")
</f>
        <v>6</v>
      </c>
      <c r="C492" s="7">
        <f t="shared" si="1"/>
        <v>121</v>
      </c>
      <c r="D492" s="6" t="str">
        <f t="array" ref="D492">IFERROR(INDEX(user_table!$C$2:$C3686,MATCH(C492,user_table!$B$2:$B3686,0)),"")
</f>
        <v>Wahyu Saputra</v>
      </c>
      <c r="E492" s="6" t="str">
        <f t="array" ref="E492">IFERROR(INDEX(user_table!$E$2:$E3686,MATCH(C492,user_table!$B$2:$B3686,0)),"")
</f>
        <v>6, 3</v>
      </c>
      <c r="F492" s="6" t="str">
        <f t="shared" si="2"/>
        <v>165116121</v>
      </c>
      <c r="G492" s="8">
        <v>1.0</v>
      </c>
      <c r="H492" s="9">
        <v>45252.0</v>
      </c>
      <c r="I492" s="10" t="s">
        <v>496</v>
      </c>
    </row>
    <row r="493">
      <c r="A493" s="5" t="str">
        <f t="array" ref="A493">INDEX(event_table!$A$2:$A$69, RANDBETWEEN(1, COUNTA(event_table!$A$2:$A$69)))</f>
        <v>1422</v>
      </c>
      <c r="B493" s="6">
        <f t="array" ref="B493">IFERROR(INDEX(event_table!$E$1:$E3686,MATCH(A493,event_table!$A$1:$A3686,0)),"")
</f>
        <v>4</v>
      </c>
      <c r="C493" s="7">
        <f t="shared" si="1"/>
        <v>142</v>
      </c>
      <c r="D493" s="6" t="str">
        <f t="array" ref="D493">IFERROR(INDEX(user_table!$C$2:$C3686,MATCH(C493,user_table!$B$2:$B3686,0)),"")
</f>
        <v>Siti Rahayu</v>
      </c>
      <c r="E493" s="6" t="str">
        <f t="array" ref="E493">IFERROR(INDEX(user_table!$E$2:$E3686,MATCH(C493,user_table!$B$2:$B3686,0)),"")
</f>
        <v>6, 3</v>
      </c>
      <c r="F493" s="6" t="str">
        <f t="shared" si="2"/>
        <v>142214142</v>
      </c>
      <c r="G493" s="8">
        <v>1.0</v>
      </c>
      <c r="H493" s="9">
        <v>45121.0</v>
      </c>
      <c r="I493" s="10" t="s">
        <v>497</v>
      </c>
    </row>
    <row r="494">
      <c r="A494" s="5" t="str">
        <f t="array" ref="A494">INDEX(event_table!$A$2:$A$69, RANDBETWEEN(1, COUNTA(event_table!$A$2:$A$69)))</f>
        <v>114</v>
      </c>
      <c r="B494" s="6">
        <f t="array" ref="B494">IFERROR(INDEX(event_table!$E$1:$E3686,MATCH(A494,event_table!$A$1:$A3686,0)),"")
</f>
        <v>1</v>
      </c>
      <c r="C494" s="7">
        <f t="shared" si="1"/>
        <v>101</v>
      </c>
      <c r="D494" s="6" t="str">
        <f t="array" ref="D494">IFERROR(INDEX(user_table!$C$2:$C3686,MATCH(C494,user_table!$B$2:$B3686,0)),"")
</f>
        <v>Maya Hadiwijaya</v>
      </c>
      <c r="E494" s="6" t="str">
        <f t="array" ref="E494">IFERROR(INDEX(user_table!$E$2:$E3686,MATCH(C494,user_table!$B$2:$B3686,0)),"")
</f>
        <v>5, 4</v>
      </c>
      <c r="F494" s="6" t="str">
        <f t="shared" si="2"/>
        <v>11411101</v>
      </c>
      <c r="G494" s="8">
        <v>1.0</v>
      </c>
      <c r="H494" s="9">
        <v>45179.0</v>
      </c>
      <c r="I494" s="10" t="s">
        <v>498</v>
      </c>
    </row>
    <row r="495">
      <c r="A495" s="5" t="str">
        <f t="array" ref="A495">INDEX(event_table!$A$2:$A$69, RANDBETWEEN(1, COUNTA(event_table!$A$2:$A$69)))</f>
        <v>1313</v>
      </c>
      <c r="B495" s="6">
        <f t="array" ref="B495">IFERROR(INDEX(event_table!$E$1:$E3686,MATCH(A495,event_table!$A$1:$A3686,0)),"")
</f>
        <v>3</v>
      </c>
      <c r="C495" s="7">
        <f t="shared" si="1"/>
        <v>43</v>
      </c>
      <c r="D495" s="6" t="str">
        <f t="array" ref="D495">IFERROR(INDEX(user_table!$C$2:$C3686,MATCH(C495,user_table!$B$2:$B3686,0)),"")
</f>
        <v>Lina Putri</v>
      </c>
      <c r="E495" s="6" t="str">
        <f t="array" ref="E495">IFERROR(INDEX(user_table!$E$2:$E3686,MATCH(C495,user_table!$B$2:$B3686,0)),"")
</f>
        <v>1, 6</v>
      </c>
      <c r="F495" s="6" t="str">
        <f t="shared" si="2"/>
        <v>13131343</v>
      </c>
      <c r="G495" s="8">
        <v>1.0</v>
      </c>
      <c r="H495" s="9">
        <v>45187.0</v>
      </c>
      <c r="I495" s="10" t="s">
        <v>499</v>
      </c>
    </row>
    <row r="496">
      <c r="A496" s="5" t="str">
        <f t="array" ref="A496">INDEX(event_table!$A$2:$A$69, RANDBETWEEN(1, COUNTA(event_table!$A$2:$A$69)))</f>
        <v>3657</v>
      </c>
      <c r="B496" s="6">
        <f t="array" ref="B496">IFERROR(INDEX(event_table!$E$1:$E3686,MATCH(A496,event_table!$A$1:$A3686,0)),"")
</f>
        <v>6</v>
      </c>
      <c r="C496" s="7">
        <f t="shared" si="1"/>
        <v>177</v>
      </c>
      <c r="D496" s="6" t="str">
        <f t="array" ref="D496">IFERROR(INDEX(user_table!$C$2:$C3686,MATCH(C496,user_table!$B$2:$B3686,0)),"")
</f>
        <v>Andi Susanto</v>
      </c>
      <c r="E496" s="6" t="str">
        <f t="array" ref="E496">IFERROR(INDEX(user_table!$E$2:$E3686,MATCH(C496,user_table!$B$2:$B3686,0)),"")
</f>
        <v>2, 6</v>
      </c>
      <c r="F496" s="6" t="str">
        <f t="shared" si="2"/>
        <v>365716177</v>
      </c>
      <c r="G496" s="8">
        <v>1.0</v>
      </c>
      <c r="H496" s="9">
        <v>45260.0</v>
      </c>
      <c r="I496" s="10" t="s">
        <v>500</v>
      </c>
    </row>
    <row r="497">
      <c r="A497" s="5" t="str">
        <f t="array" ref="A497">INDEX(event_table!$A$2:$A$69, RANDBETWEEN(1, COUNTA(event_table!$A$2:$A$69)))</f>
        <v>1648</v>
      </c>
      <c r="B497" s="6">
        <f t="array" ref="B497">IFERROR(INDEX(event_table!$E$1:$E3686,MATCH(A497,event_table!$A$1:$A3686,0)),"")
</f>
        <v>6</v>
      </c>
      <c r="C497" s="7">
        <f t="shared" si="1"/>
        <v>151</v>
      </c>
      <c r="D497" s="6" t="str">
        <f t="array" ref="D497">IFERROR(INDEX(user_table!$C$2:$C3686,MATCH(C497,user_table!$B$2:$B3686,0)),"")
</f>
        <v>Maya Hidayat</v>
      </c>
      <c r="E497" s="6" t="str">
        <f t="array" ref="E497">IFERROR(INDEX(user_table!$E$2:$E3686,MATCH(C497,user_table!$B$2:$B3686,0)),"")
</f>
        <v>2, 3</v>
      </c>
      <c r="F497" s="6" t="str">
        <f t="shared" si="2"/>
        <v>164816151</v>
      </c>
      <c r="G497" s="8">
        <v>1.0</v>
      </c>
      <c r="H497" s="9">
        <v>45196.0</v>
      </c>
      <c r="I497" s="10" t="s">
        <v>501</v>
      </c>
    </row>
    <row r="498">
      <c r="A498" s="5" t="str">
        <f t="array" ref="A498">INDEX(event_table!$A$2:$A$69, RANDBETWEEN(1, COUNTA(event_table!$A$2:$A$69)))</f>
        <v>1425</v>
      </c>
      <c r="B498" s="6">
        <f t="array" ref="B498">IFERROR(INDEX(event_table!$E$1:$E3686,MATCH(A498,event_table!$A$1:$A3686,0)),"")
</f>
        <v>4</v>
      </c>
      <c r="C498" s="7">
        <f t="shared" si="1"/>
        <v>73</v>
      </c>
      <c r="D498" s="6" t="str">
        <f t="array" ref="D498">IFERROR(INDEX(user_table!$C$2:$C3686,MATCH(C498,user_table!$B$2:$B3686,0)),"")
</f>
        <v>Hadi Santoso</v>
      </c>
      <c r="E498" s="6" t="str">
        <f t="array" ref="E498">IFERROR(INDEX(user_table!$E$2:$E3686,MATCH(C498,user_table!$B$2:$B3686,0)),"")
</f>
        <v>6, 3</v>
      </c>
      <c r="F498" s="6" t="str">
        <f t="shared" si="2"/>
        <v>14251473</v>
      </c>
      <c r="G498" s="8">
        <v>1.0</v>
      </c>
      <c r="H498" s="9">
        <v>45194.0</v>
      </c>
      <c r="I498" s="10" t="s">
        <v>502</v>
      </c>
    </row>
    <row r="499">
      <c r="A499" s="5" t="str">
        <f t="array" ref="A499">INDEX(event_table!$A$2:$A$69, RANDBETWEEN(1, COUNTA(event_table!$A$2:$A$69)))</f>
        <v>3168</v>
      </c>
      <c r="B499" s="6">
        <f t="array" ref="B499">IFERROR(INDEX(event_table!$E$1:$E3686,MATCH(A499,event_table!$A$1:$A3686,0)),"")
</f>
        <v>1</v>
      </c>
      <c r="C499" s="7">
        <f t="shared" si="1"/>
        <v>27</v>
      </c>
      <c r="D499" s="6" t="str">
        <f t="array" ref="D499">IFERROR(INDEX(user_table!$C$2:$C3686,MATCH(C499,user_table!$B$2:$B3686,0)),"")
</f>
        <v>Fandi Purnama</v>
      </c>
      <c r="E499" s="6" t="str">
        <f t="array" ref="E499">IFERROR(INDEX(user_table!$E$2:$E3686,MATCH(C499,user_table!$B$2:$B3686,0)),"")
</f>
        <v>4, 6</v>
      </c>
      <c r="F499" s="6" t="str">
        <f t="shared" si="2"/>
        <v>31681127</v>
      </c>
      <c r="G499" s="8">
        <v>1.0</v>
      </c>
      <c r="H499" s="9">
        <v>45153.0</v>
      </c>
      <c r="I499" s="10" t="s">
        <v>503</v>
      </c>
    </row>
    <row r="500">
      <c r="A500" s="5" t="str">
        <f t="array" ref="A500">INDEX(event_table!$A$2:$A$69, RANDBETWEEN(1, COUNTA(event_table!$A$2:$A$69)))</f>
        <v>3170</v>
      </c>
      <c r="B500" s="6">
        <f t="array" ref="B500">IFERROR(INDEX(event_table!$E$1:$E3686,MATCH(A500,event_table!$A$1:$A3686,0)),"")
</f>
        <v>1</v>
      </c>
      <c r="C500" s="7">
        <f t="shared" si="1"/>
        <v>83</v>
      </c>
      <c r="D500" s="6" t="str">
        <f t="array" ref="D500">IFERROR(INDEX(user_table!$C$2:$C3686,MATCH(C500,user_table!$B$2:$B3686,0)),"")
</f>
        <v>Sinta Nurhayati</v>
      </c>
      <c r="E500" s="6" t="str">
        <f t="array" ref="E500">IFERROR(INDEX(user_table!$E$2:$E3686,MATCH(C500,user_table!$B$2:$B3686,0)),"")
</f>
        <v>5, 5</v>
      </c>
      <c r="F500" s="6" t="str">
        <f t="shared" si="2"/>
        <v>31701183</v>
      </c>
      <c r="G500" s="8">
        <v>1.0</v>
      </c>
      <c r="H500" s="9">
        <v>45143.0</v>
      </c>
      <c r="I500" s="10" t="s">
        <v>504</v>
      </c>
    </row>
    <row r="501">
      <c r="A501" s="5" t="str">
        <f t="array" ref="A501">INDEX(event_table!$A$2:$A$69, RANDBETWEEN(1, COUNTA(event_table!$A$2:$A$69)))</f>
        <v>113</v>
      </c>
      <c r="B501" s="6">
        <f t="array" ref="B501">IFERROR(INDEX(event_table!$E$1:$E3686,MATCH(A501,event_table!$A$1:$A3686,0)),"")
</f>
        <v>1</v>
      </c>
      <c r="C501" s="7">
        <f t="shared" si="1"/>
        <v>193</v>
      </c>
      <c r="D501" s="6" t="str">
        <f t="array" ref="D501">IFERROR(INDEX(user_table!$C$2:$C3686,MATCH(C501,user_table!$B$2:$B3686,0)),"")
</f>
        <v>Dina Wijaya</v>
      </c>
      <c r="E501" s="6" t="str">
        <f t="array" ref="E501">IFERROR(INDEX(user_table!$E$2:$E3686,MATCH(C501,user_table!$B$2:$B3686,0)),"")
</f>
        <v>4, 5</v>
      </c>
      <c r="F501" s="6" t="str">
        <f t="shared" si="2"/>
        <v>11311193</v>
      </c>
      <c r="G501" s="8">
        <v>1.0</v>
      </c>
      <c r="H501" s="9">
        <v>45114.0</v>
      </c>
      <c r="I501" s="10" t="s">
        <v>505</v>
      </c>
    </row>
    <row r="502">
      <c r="A502" s="5" t="str">
        <f t="array" ref="A502">INDEX(event_table!$A$2:$A$69, RANDBETWEEN(1, COUNTA(event_table!$A$2:$A$69)))</f>
        <v>1427</v>
      </c>
      <c r="B502" s="6">
        <f t="array" ref="B502">IFERROR(INDEX(event_table!$E$1:$E3686,MATCH(A502,event_table!$A$1:$A3686,0)),"")
</f>
        <v>4</v>
      </c>
      <c r="C502" s="7">
        <f t="shared" si="1"/>
        <v>146</v>
      </c>
      <c r="D502" s="6" t="str">
        <f t="array" ref="D502">IFERROR(INDEX(user_table!$C$2:$C3686,MATCH(C502,user_table!$B$2:$B3686,0)),"")
</f>
        <v>Rudi Susanto</v>
      </c>
      <c r="E502" s="6" t="str">
        <f t="array" ref="E502">IFERROR(INDEX(user_table!$E$2:$E3686,MATCH(C502,user_table!$B$2:$B3686,0)),"")
</f>
        <v>6, 1</v>
      </c>
      <c r="F502" s="6" t="str">
        <f t="shared" si="2"/>
        <v>142714146</v>
      </c>
      <c r="G502" s="8">
        <v>1.0</v>
      </c>
      <c r="H502" s="9">
        <v>45071.0</v>
      </c>
      <c r="I502" s="10" t="s">
        <v>506</v>
      </c>
    </row>
    <row r="503">
      <c r="A503" s="5" t="str">
        <f t="array" ref="A503">INDEX(event_table!$A$2:$A$69, RANDBETWEEN(1, COUNTA(event_table!$A$2:$A$69)))</f>
        <v>1215</v>
      </c>
      <c r="B503" s="6">
        <f t="array" ref="B503">IFERROR(INDEX(event_table!$E$1:$E3686,MATCH(A503,event_table!$A$1:$A3686,0)),"")
</f>
        <v>2</v>
      </c>
      <c r="C503" s="7">
        <f t="shared" si="1"/>
        <v>1</v>
      </c>
      <c r="D503" s="6" t="str">
        <f t="array" ref="D503">IFERROR(INDEX(user_table!$C$2:$C3686,MATCH(C503,user_table!$B$2:$B3686,0)),"")
</f>
        <v>Maya Putri</v>
      </c>
      <c r="E503" s="6" t="str">
        <f t="array" ref="E503">IFERROR(INDEX(user_table!$E$2:$E3686,MATCH(C503,user_table!$B$2:$B3686,0)),"")
</f>
        <v>5, 6</v>
      </c>
      <c r="F503" s="6" t="str">
        <f t="shared" si="2"/>
        <v>1215121</v>
      </c>
      <c r="G503" s="8">
        <v>1.0</v>
      </c>
      <c r="H503" s="9">
        <v>45053.0</v>
      </c>
      <c r="I503" s="10" t="s">
        <v>507</v>
      </c>
    </row>
    <row r="504">
      <c r="A504" s="5" t="str">
        <f t="array" ref="A504">INDEX(event_table!$A$2:$A$69, RANDBETWEEN(1, COUNTA(event_table!$A$2:$A$69)))</f>
        <v>3659</v>
      </c>
      <c r="B504" s="6">
        <f t="array" ref="B504">IFERROR(INDEX(event_table!$E$1:$E3686,MATCH(A504,event_table!$A$1:$A3686,0)),"")
</f>
        <v>6</v>
      </c>
      <c r="C504" s="7">
        <f t="shared" si="1"/>
        <v>86</v>
      </c>
      <c r="D504" s="6" t="str">
        <f t="array" ref="D504">IFERROR(INDEX(user_table!$C$2:$C3686,MATCH(C504,user_table!$B$2:$B3686,0)),"")
</f>
        <v>Lina Santoso</v>
      </c>
      <c r="E504" s="6" t="str">
        <f t="array" ref="E504">IFERROR(INDEX(user_table!$E$2:$E3686,MATCH(C504,user_table!$B$2:$B3686,0)),"")
</f>
        <v>4, 3</v>
      </c>
      <c r="F504" s="6" t="str">
        <f t="shared" si="2"/>
        <v>36591686</v>
      </c>
      <c r="G504" s="8">
        <v>1.0</v>
      </c>
      <c r="H504" s="9">
        <v>45052.0</v>
      </c>
      <c r="I504" s="10" t="s">
        <v>508</v>
      </c>
    </row>
    <row r="505">
      <c r="A505" s="5" t="str">
        <f t="array" ref="A505">INDEX(event_table!$A$2:$A$69, RANDBETWEEN(1, COUNTA(event_table!$A$2:$A$69)))</f>
        <v>1114</v>
      </c>
      <c r="B505" s="6">
        <f t="array" ref="B505">IFERROR(INDEX(event_table!$E$1:$E3686,MATCH(A505,event_table!$A$1:$A3686,0)),"")
</f>
        <v>1</v>
      </c>
      <c r="C505" s="7">
        <f t="shared" si="1"/>
        <v>93</v>
      </c>
      <c r="D505" s="6" t="str">
        <f t="array" ref="D505">IFERROR(INDEX(user_table!$C$2:$C3686,MATCH(C505,user_table!$B$2:$B3686,0)),"")
</f>
        <v>Hadi Putri</v>
      </c>
      <c r="E505" s="6" t="str">
        <f t="array" ref="E505">IFERROR(INDEX(user_table!$E$2:$E3686,MATCH(C505,user_table!$B$2:$B3686,0)),"")
</f>
        <v>5, 6</v>
      </c>
      <c r="F505" s="6" t="str">
        <f t="shared" si="2"/>
        <v>11145193</v>
      </c>
      <c r="G505" s="8">
        <v>5.0</v>
      </c>
      <c r="H505" s="9">
        <v>44751.0</v>
      </c>
      <c r="I505" s="10" t="s">
        <v>509</v>
      </c>
    </row>
    <row r="506">
      <c r="A506" s="5" t="str">
        <f t="array" ref="A506">INDEX(event_table!$A$2:$A$69, RANDBETWEEN(1, COUNTA(event_table!$A$2:$A$69)))</f>
        <v>1416</v>
      </c>
      <c r="B506" s="6">
        <f t="array" ref="B506">IFERROR(INDEX(event_table!$E$1:$E3686,MATCH(A506,event_table!$A$1:$A3686,0)),"")
</f>
        <v>4</v>
      </c>
      <c r="C506" s="7">
        <f t="shared" si="1"/>
        <v>191</v>
      </c>
      <c r="D506" s="6" t="str">
        <f t="array" ref="D506">IFERROR(INDEX(user_table!$C$2:$C3686,MATCH(C506,user_table!$B$2:$B3686,0)),"")
</f>
        <v>Rudi Hermawan</v>
      </c>
      <c r="E506" s="6" t="str">
        <f t="array" ref="E506">IFERROR(INDEX(user_table!$E$2:$E3686,MATCH(C506,user_table!$B$2:$B3686,0)),"")
</f>
        <v>5, 6</v>
      </c>
      <c r="F506" s="6" t="str">
        <f t="shared" si="2"/>
        <v>141654191</v>
      </c>
      <c r="G506" s="8">
        <v>5.0</v>
      </c>
      <c r="H506" s="9">
        <v>44738.0</v>
      </c>
      <c r="I506" s="10" t="s">
        <v>510</v>
      </c>
    </row>
    <row r="507">
      <c r="A507" s="5" t="str">
        <f t="array" ref="A507">INDEX(event_table!$A$2:$A$69, RANDBETWEEN(1, COUNTA(event_table!$A$2:$A$69)))</f>
        <v>1531</v>
      </c>
      <c r="B507" s="6">
        <f t="array" ref="B507">IFERROR(INDEX(event_table!$E$1:$E3686,MATCH(A507,event_table!$A$1:$A3686,0)),"")
</f>
        <v>5</v>
      </c>
      <c r="C507" s="7">
        <f t="shared" si="1"/>
        <v>68</v>
      </c>
      <c r="D507" s="6" t="str">
        <f t="array" ref="D507">IFERROR(INDEX(user_table!$C$2:$C3686,MATCH(C507,user_table!$B$2:$B3686,0)),"")
</f>
        <v>Wahyu Wijaya</v>
      </c>
      <c r="E507" s="6" t="str">
        <f t="array" ref="E507">IFERROR(INDEX(user_table!$E$2:$E3686,MATCH(C507,user_table!$B$2:$B3686,0)),"")
</f>
        <v>4, 6</v>
      </c>
      <c r="F507" s="6" t="str">
        <f t="shared" si="2"/>
        <v>15315568</v>
      </c>
      <c r="G507" s="8">
        <v>5.0</v>
      </c>
      <c r="H507" s="9">
        <v>44731.0</v>
      </c>
      <c r="I507" s="10" t="s">
        <v>511</v>
      </c>
    </row>
    <row r="508">
      <c r="A508" s="5" t="str">
        <f t="array" ref="A508">INDEX(event_table!$A$2:$A$69, RANDBETWEEN(1, COUNTA(event_table!$A$2:$A$69)))</f>
        <v>1420</v>
      </c>
      <c r="B508" s="6">
        <f t="array" ref="B508">IFERROR(INDEX(event_table!$E$1:$E3686,MATCH(A508,event_table!$A$1:$A3686,0)),"")
</f>
        <v>4</v>
      </c>
      <c r="C508" s="7">
        <f t="shared" si="1"/>
        <v>53</v>
      </c>
      <c r="D508" s="6" t="str">
        <f t="array" ref="D508">IFERROR(INDEX(user_table!$C$2:$C3686,MATCH(C508,user_table!$B$2:$B3686,0)),"")
</f>
        <v>Wahyu Santoso</v>
      </c>
      <c r="E508" s="6" t="str">
        <f t="array" ref="E508">IFERROR(INDEX(user_table!$E$2:$E3686,MATCH(C508,user_table!$B$2:$B3686,0)),"")
</f>
        <v>4, 5</v>
      </c>
      <c r="F508" s="6" t="str">
        <f t="shared" si="2"/>
        <v>14205453</v>
      </c>
      <c r="G508" s="8">
        <v>5.0</v>
      </c>
      <c r="H508" s="9">
        <v>44708.0</v>
      </c>
      <c r="I508" s="10" t="s">
        <v>512</v>
      </c>
    </row>
    <row r="509">
      <c r="A509" s="5" t="str">
        <f t="array" ref="A509">INDEX(event_table!$A$2:$A$69, RANDBETWEEN(1, COUNTA(event_table!$A$2:$A$69)))</f>
        <v>1553</v>
      </c>
      <c r="B509" s="6">
        <f t="array" ref="B509">IFERROR(INDEX(event_table!$E$1:$E3686,MATCH(A509,event_table!$A$1:$A3686,0)),"")
</f>
        <v>5</v>
      </c>
      <c r="C509" s="7">
        <f t="shared" si="1"/>
        <v>108</v>
      </c>
      <c r="D509" s="6" t="str">
        <f t="array" ref="D509">IFERROR(INDEX(user_table!$C$2:$C3686,MATCH(C509,user_table!$B$2:$B3686,0)),"")
</f>
        <v>Dewi Hadiwijaya</v>
      </c>
      <c r="E509" s="6" t="str">
        <f t="array" ref="E509">IFERROR(INDEX(user_table!$E$2:$E3686,MATCH(C509,user_table!$B$2:$B3686,0)),"")
</f>
        <v>6, 6</v>
      </c>
      <c r="F509" s="6" t="str">
        <f t="shared" si="2"/>
        <v>155355108</v>
      </c>
      <c r="G509" s="8">
        <v>5.0</v>
      </c>
      <c r="H509" s="9">
        <v>44687.0</v>
      </c>
      <c r="I509" s="10" t="s">
        <v>513</v>
      </c>
    </row>
    <row r="510">
      <c r="A510" s="5" t="str">
        <f t="array" ref="A510">INDEX(event_table!$A$2:$A$69, RANDBETWEEN(1, COUNTA(event_table!$A$2:$A$69)))</f>
        <v>117</v>
      </c>
      <c r="B510" s="6">
        <f t="array" ref="B510">IFERROR(INDEX(event_table!$E$1:$E3686,MATCH(A510,event_table!$A$1:$A3686,0)),"")
</f>
        <v>1</v>
      </c>
      <c r="C510" s="7">
        <f t="shared" si="1"/>
        <v>10</v>
      </c>
      <c r="D510" s="6" t="str">
        <f t="array" ref="D510">IFERROR(INDEX(user_table!$C$2:$C3686,MATCH(C510,user_table!$B$2:$B3686,0)),"")
</f>
        <v>Dina Susanto</v>
      </c>
      <c r="E510" s="6" t="str">
        <f t="array" ref="E510">IFERROR(INDEX(user_table!$E$2:$E3686,MATCH(C510,user_table!$B$2:$B3686,0)),"")
</f>
        <v>4, 5</v>
      </c>
      <c r="F510" s="6" t="str">
        <f t="shared" si="2"/>
        <v>1175110</v>
      </c>
      <c r="G510" s="8">
        <v>5.0</v>
      </c>
      <c r="H510" s="9">
        <v>44683.0</v>
      </c>
      <c r="I510" s="10" t="s">
        <v>514</v>
      </c>
    </row>
    <row r="511">
      <c r="A511" s="5" t="str">
        <f t="array" ref="A511">INDEX(event_table!$A$2:$A$69, RANDBETWEEN(1, COUNTA(event_table!$A$2:$A$69)))</f>
        <v>114</v>
      </c>
      <c r="B511" s="6">
        <f t="array" ref="B511">IFERROR(INDEX(event_table!$E$1:$E3686,MATCH(A511,event_table!$A$1:$A3686,0)),"")
</f>
        <v>1</v>
      </c>
      <c r="C511" s="7">
        <f t="shared" si="1"/>
        <v>91</v>
      </c>
      <c r="D511" s="6" t="str">
        <f t="array" ref="D511">IFERROR(INDEX(user_table!$C$2:$C3686,MATCH(C511,user_table!$B$2:$B3686,0)),"")
</f>
        <v>Bambang Wijaya</v>
      </c>
      <c r="E511" s="6" t="str">
        <f t="array" ref="E511">IFERROR(INDEX(user_table!$E$2:$E3686,MATCH(C511,user_table!$B$2:$B3686,0)),"")
</f>
        <v>1, 2</v>
      </c>
      <c r="F511" s="6" t="str">
        <f t="shared" si="2"/>
        <v>1145191</v>
      </c>
      <c r="G511" s="8">
        <v>5.0</v>
      </c>
      <c r="H511" s="9">
        <v>45102.0</v>
      </c>
      <c r="I511" s="10" t="s">
        <v>515</v>
      </c>
    </row>
    <row r="512">
      <c r="A512" s="5" t="str">
        <f t="array" ref="A512">INDEX(event_table!$A$2:$A$69, RANDBETWEEN(1, COUNTA(event_table!$A$2:$A$69)))</f>
        <v>3659</v>
      </c>
      <c r="B512" s="6">
        <f t="array" ref="B512">IFERROR(INDEX(event_table!$E$1:$E3686,MATCH(A512,event_table!$A$1:$A3686,0)),"")
</f>
        <v>6</v>
      </c>
      <c r="C512" s="7">
        <f t="shared" si="1"/>
        <v>11</v>
      </c>
      <c r="D512" s="6" t="str">
        <f t="array" ref="D512">IFERROR(INDEX(user_table!$C$2:$C3686,MATCH(C512,user_table!$B$2:$B3686,0)),"")
</f>
        <v>Arif Sari</v>
      </c>
      <c r="E512" s="6" t="str">
        <f t="array" ref="E512">IFERROR(INDEX(user_table!$E$2:$E3686,MATCH(C512,user_table!$B$2:$B3686,0)),"")
</f>
        <v>5, 2</v>
      </c>
      <c r="F512" s="6" t="str">
        <f t="shared" si="2"/>
        <v>36595611</v>
      </c>
      <c r="G512" s="8">
        <v>5.0</v>
      </c>
      <c r="H512" s="9">
        <v>45050.0</v>
      </c>
      <c r="I512" s="10" t="s">
        <v>516</v>
      </c>
    </row>
    <row r="513">
      <c r="A513" s="5" t="str">
        <f t="array" ref="A513">INDEX(event_table!$A$2:$A$69, RANDBETWEEN(1, COUNTA(event_table!$A$2:$A$69)))</f>
        <v>1332</v>
      </c>
      <c r="B513" s="6">
        <f t="array" ref="B513">IFERROR(INDEX(event_table!$E$1:$E3686,MATCH(A513,event_table!$A$1:$A3686,0)),"")
</f>
        <v>3</v>
      </c>
      <c r="C513" s="7">
        <f t="shared" si="1"/>
        <v>17</v>
      </c>
      <c r="D513" s="6" t="str">
        <f t="array" ref="D513">IFERROR(INDEX(user_table!$C$2:$C3686,MATCH(C513,user_table!$B$2:$B3686,0)),"")
</f>
        <v>Fajar Wijaya</v>
      </c>
      <c r="E513" s="6" t="str">
        <f t="array" ref="E513">IFERROR(INDEX(user_table!$E$2:$E3686,MATCH(C513,user_table!$B$2:$B3686,0)),"")
</f>
        <v>1, 1</v>
      </c>
      <c r="F513" s="6" t="str">
        <f t="shared" si="2"/>
        <v>13325317</v>
      </c>
      <c r="G513" s="8">
        <v>5.0</v>
      </c>
      <c r="H513" s="9">
        <v>45045.0</v>
      </c>
      <c r="I513" s="10" t="s">
        <v>517</v>
      </c>
    </row>
    <row r="514">
      <c r="A514" s="5" t="str">
        <f t="array" ref="A514">INDEX(event_table!$A$2:$A$69, RANDBETWEEN(1, COUNTA(event_table!$A$2:$A$69)))</f>
        <v>1648</v>
      </c>
      <c r="B514" s="6">
        <f t="array" ref="B514">IFERROR(INDEX(event_table!$E$1:$E3686,MATCH(A514,event_table!$A$1:$A3686,0)),"")
</f>
        <v>6</v>
      </c>
      <c r="C514" s="7">
        <f t="shared" si="1"/>
        <v>141</v>
      </c>
      <c r="D514" s="6" t="str">
        <f t="array" ref="D514">IFERROR(INDEX(user_table!$C$2:$C3686,MATCH(C514,user_table!$B$2:$B3686,0)),"")
</f>
        <v>Bambang Santoso</v>
      </c>
      <c r="E514" s="6" t="str">
        <f t="array" ref="E514">IFERROR(INDEX(user_table!$E$2:$E3686,MATCH(C514,user_table!$B$2:$B3686,0)),"")
</f>
        <v>5, 3</v>
      </c>
      <c r="F514" s="6" t="str">
        <f t="shared" si="2"/>
        <v>164856141</v>
      </c>
      <c r="G514" s="8">
        <v>5.0</v>
      </c>
      <c r="H514" s="9">
        <v>44912.0</v>
      </c>
      <c r="I514" s="10" t="s">
        <v>518</v>
      </c>
    </row>
    <row r="515">
      <c r="A515" s="5" t="str">
        <f t="array" ref="A515">INDEX(event_table!$A$2:$A$69, RANDBETWEEN(1, COUNTA(event_table!$A$2:$A$69)))</f>
        <v>3165</v>
      </c>
      <c r="B515" s="6">
        <f t="array" ref="B515">IFERROR(INDEX(event_table!$E$1:$E3686,MATCH(A515,event_table!$A$1:$A3686,0)),"")
</f>
        <v>1</v>
      </c>
      <c r="C515" s="7">
        <f t="shared" si="1"/>
        <v>32</v>
      </c>
      <c r="D515" s="6" t="str">
        <f t="array" ref="D515">IFERROR(INDEX(user_table!$C$2:$C3686,MATCH(C515,user_table!$B$2:$B3686,0)),"")
</f>
        <v>Ani Setiawan</v>
      </c>
      <c r="E515" s="6" t="str">
        <f t="array" ref="E515">IFERROR(INDEX(user_table!$E$2:$E3686,MATCH(C515,user_table!$B$2:$B3686,0)),"")
</f>
        <v>6, 3</v>
      </c>
      <c r="F515" s="6" t="str">
        <f t="shared" si="2"/>
        <v>31655132</v>
      </c>
      <c r="G515" s="8">
        <v>5.0</v>
      </c>
      <c r="H515" s="9">
        <v>44836.0</v>
      </c>
      <c r="I515" s="10" t="s">
        <v>519</v>
      </c>
    </row>
    <row r="516">
      <c r="A516" s="5" t="str">
        <f t="array" ref="A516">INDEX(event_table!$A$2:$A$69, RANDBETWEEN(1, COUNTA(event_table!$A$2:$A$69)))</f>
        <v>1424</v>
      </c>
      <c r="B516" s="6">
        <f t="array" ref="B516">IFERROR(INDEX(event_table!$E$1:$E3686,MATCH(A516,event_table!$A$1:$A3686,0)),"")
</f>
        <v>4</v>
      </c>
      <c r="C516" s="7">
        <f t="shared" si="1"/>
        <v>51</v>
      </c>
      <c r="D516" s="6" t="str">
        <f t="array" ref="D516">IFERROR(INDEX(user_table!$C$2:$C3686,MATCH(C516,user_table!$B$2:$B3686,0)),"")
</f>
        <v>Fandi Pratama</v>
      </c>
      <c r="E516" s="6" t="str">
        <f t="array" ref="E516">IFERROR(INDEX(user_table!$E$2:$E3686,MATCH(C516,user_table!$B$2:$B3686,0)),"")
</f>
        <v>2, 1</v>
      </c>
      <c r="F516" s="6" t="str">
        <f t="shared" si="2"/>
        <v>14245451</v>
      </c>
      <c r="G516" s="8">
        <v>5.0</v>
      </c>
      <c r="H516" s="9">
        <v>44830.0</v>
      </c>
      <c r="I516" s="10" t="s">
        <v>520</v>
      </c>
    </row>
    <row r="517">
      <c r="A517" s="5" t="str">
        <f t="array" ref="A517">INDEX(event_table!$A$2:$A$69, RANDBETWEEN(1, COUNTA(event_table!$A$2:$A$69)))</f>
        <v>3659</v>
      </c>
      <c r="B517" s="6">
        <f t="array" ref="B517">IFERROR(INDEX(event_table!$E$1:$E3686,MATCH(A517,event_table!$A$1:$A3686,0)),"")
</f>
        <v>6</v>
      </c>
      <c r="C517" s="7">
        <f t="shared" si="1"/>
        <v>157</v>
      </c>
      <c r="D517" s="6" t="str">
        <f t="array" ref="D517">IFERROR(INDEX(user_table!$C$2:$C3686,MATCH(C517,user_table!$B$2:$B3686,0)),"")
</f>
        <v>Ani Susanto</v>
      </c>
      <c r="E517" s="6" t="str">
        <f t="array" ref="E517">IFERROR(INDEX(user_table!$E$2:$E3686,MATCH(C517,user_table!$B$2:$B3686,0)),"")
</f>
        <v>4, 1</v>
      </c>
      <c r="F517" s="6" t="str">
        <f t="shared" si="2"/>
        <v>365956157</v>
      </c>
      <c r="G517" s="8">
        <v>5.0</v>
      </c>
      <c r="H517" s="9">
        <v>44816.0</v>
      </c>
      <c r="I517" s="10" t="s">
        <v>521</v>
      </c>
    </row>
    <row r="518">
      <c r="A518" s="5" t="str">
        <f t="array" ref="A518">INDEX(event_table!$A$2:$A$69, RANDBETWEEN(1, COUNTA(event_table!$A$2:$A$69)))</f>
        <v>117</v>
      </c>
      <c r="B518" s="6">
        <f t="array" ref="B518">IFERROR(INDEX(event_table!$E$1:$E3686,MATCH(A518,event_table!$A$1:$A3686,0)),"")
</f>
        <v>1</v>
      </c>
      <c r="C518" s="7">
        <f t="shared" si="1"/>
        <v>118</v>
      </c>
      <c r="D518" s="6" t="str">
        <f t="array" ref="D518">IFERROR(INDEX(user_table!$C$2:$C3686,MATCH(C518,user_table!$B$2:$B3686,0)),"")
</f>
        <v>Ani Santoso</v>
      </c>
      <c r="E518" s="6" t="str">
        <f t="array" ref="E518">IFERROR(INDEX(user_table!$E$2:$E3686,MATCH(C518,user_table!$B$2:$B3686,0)),"")
</f>
        <v>6, 1</v>
      </c>
      <c r="F518" s="6" t="str">
        <f t="shared" si="2"/>
        <v>11751118</v>
      </c>
      <c r="G518" s="8">
        <v>5.0</v>
      </c>
      <c r="H518" s="9">
        <v>44809.0</v>
      </c>
      <c r="I518" s="10" t="s">
        <v>522</v>
      </c>
    </row>
    <row r="519">
      <c r="A519" s="5" t="str">
        <f t="array" ref="A519">INDEX(event_table!$A$2:$A$69, RANDBETWEEN(1, COUNTA(event_table!$A$2:$A$69)))</f>
        <v>122</v>
      </c>
      <c r="B519" s="6">
        <f t="array" ref="B519">IFERROR(INDEX(event_table!$E$1:$E3686,MATCH(A519,event_table!$A$1:$A3686,0)),"")
</f>
        <v>2</v>
      </c>
      <c r="C519" s="7">
        <f t="shared" si="1"/>
        <v>102</v>
      </c>
      <c r="D519" s="6" t="str">
        <f t="array" ref="D519">IFERROR(INDEX(user_table!$C$2:$C3686,MATCH(C519,user_table!$B$2:$B3686,0)),"")
</f>
        <v>Lina Nurhayati</v>
      </c>
      <c r="E519" s="6" t="str">
        <f t="array" ref="E519">IFERROR(INDEX(user_table!$E$2:$E3686,MATCH(C519,user_table!$B$2:$B3686,0)),"")
</f>
        <v>1, 2</v>
      </c>
      <c r="F519" s="6" t="str">
        <f t="shared" si="2"/>
        <v>12252102</v>
      </c>
      <c r="G519" s="8">
        <v>5.0</v>
      </c>
      <c r="H519" s="9">
        <v>44787.0</v>
      </c>
      <c r="I519" s="10" t="s">
        <v>523</v>
      </c>
    </row>
    <row r="520">
      <c r="A520" s="5" t="str">
        <f t="array" ref="A520">INDEX(event_table!$A$2:$A$69, RANDBETWEEN(1, COUNTA(event_table!$A$2:$A$69)))</f>
        <v>1639</v>
      </c>
      <c r="B520" s="6">
        <f t="array" ref="B520">IFERROR(INDEX(event_table!$E$1:$E3686,MATCH(A520,event_table!$A$1:$A3686,0)),"")
</f>
        <v>6</v>
      </c>
      <c r="C520" s="7">
        <f t="shared" si="1"/>
        <v>107</v>
      </c>
      <c r="D520" s="6" t="str">
        <f t="array" ref="D520">IFERROR(INDEX(user_table!$C$2:$C3686,MATCH(C520,user_table!$B$2:$B3686,0)),"")
</f>
        <v>Citra Rahayu</v>
      </c>
      <c r="E520" s="6" t="str">
        <f t="array" ref="E520">IFERROR(INDEX(user_table!$E$2:$E3686,MATCH(C520,user_table!$B$2:$B3686,0)),"")
</f>
        <v>1, 5</v>
      </c>
      <c r="F520" s="6" t="str">
        <f t="shared" si="2"/>
        <v>163956107</v>
      </c>
      <c r="G520" s="8">
        <v>5.0</v>
      </c>
      <c r="H520" s="9">
        <v>44739.0</v>
      </c>
      <c r="I520" s="10" t="s">
        <v>524</v>
      </c>
    </row>
    <row r="521">
      <c r="A521" s="5" t="str">
        <f t="array" ref="A521">INDEX(event_table!$A$2:$A$69, RANDBETWEEN(1, COUNTA(event_table!$A$2:$A$69)))</f>
        <v>1212</v>
      </c>
      <c r="B521" s="6">
        <f t="array" ref="B521">IFERROR(INDEX(event_table!$E$1:$E3686,MATCH(A521,event_table!$A$1:$A3686,0)),"")
</f>
        <v>2</v>
      </c>
      <c r="C521" s="7">
        <f t="shared" si="1"/>
        <v>170</v>
      </c>
      <c r="D521" s="6" t="str">
        <f t="array" ref="D521">IFERROR(INDEX(user_table!$C$2:$C3686,MATCH(C521,user_table!$B$2:$B3686,0)),"")
</f>
        <v>Andi Sari</v>
      </c>
      <c r="E521" s="6" t="str">
        <f t="array" ref="E521">IFERROR(INDEX(user_table!$E$2:$E3686,MATCH(C521,user_table!$B$2:$B3686,0)),"")
</f>
        <v>4, 6</v>
      </c>
      <c r="F521" s="6" t="str">
        <f t="shared" si="2"/>
        <v>121252170</v>
      </c>
      <c r="G521" s="8">
        <v>5.0</v>
      </c>
      <c r="H521" s="9">
        <v>44705.0</v>
      </c>
      <c r="I521" s="10" t="s">
        <v>525</v>
      </c>
    </row>
    <row r="522">
      <c r="A522" s="5" t="str">
        <f t="array" ref="A522">INDEX(event_table!$A$2:$A$69, RANDBETWEEN(1, COUNTA(event_table!$A$2:$A$69)))</f>
        <v>1553</v>
      </c>
      <c r="B522" s="6">
        <f t="array" ref="B522">IFERROR(INDEX(event_table!$E$1:$E3686,MATCH(A522,event_table!$A$1:$A3686,0)),"")
</f>
        <v>5</v>
      </c>
      <c r="C522" s="7">
        <f t="shared" si="1"/>
        <v>16</v>
      </c>
      <c r="D522" s="6" t="str">
        <f t="array" ref="D522">IFERROR(INDEX(user_table!$C$2:$C3686,MATCH(C522,user_table!$B$2:$B3686,0)),"")
</f>
        <v>Siti Utami</v>
      </c>
      <c r="E522" s="6" t="str">
        <f t="array" ref="E522">IFERROR(INDEX(user_table!$E$2:$E3686,MATCH(C522,user_table!$B$2:$B3686,0)),"")
</f>
        <v>1, 2</v>
      </c>
      <c r="F522" s="6" t="str">
        <f t="shared" si="2"/>
        <v>15534516</v>
      </c>
      <c r="G522" s="8">
        <v>4.0</v>
      </c>
      <c r="H522" s="9">
        <v>44730.0</v>
      </c>
      <c r="I522" s="10" t="s">
        <v>526</v>
      </c>
    </row>
    <row r="523">
      <c r="A523" s="5" t="str">
        <f t="array" ref="A523">INDEX(event_table!$A$2:$A$69, RANDBETWEEN(1, COUNTA(event_table!$A$2:$A$69)))</f>
        <v>1645</v>
      </c>
      <c r="B523" s="6">
        <f t="array" ref="B523">IFERROR(INDEX(event_table!$E$1:$E3686,MATCH(A523,event_table!$A$1:$A3686,0)),"")
</f>
        <v>6</v>
      </c>
      <c r="C523" s="7">
        <f t="shared" si="1"/>
        <v>165</v>
      </c>
      <c r="D523" s="6" t="str">
        <f t="array" ref="D523">IFERROR(INDEX(user_table!$C$2:$C3686,MATCH(C523,user_table!$B$2:$B3686,0)),"")
</f>
        <v>Agus Pratama</v>
      </c>
      <c r="E523" s="6" t="str">
        <f t="array" ref="E523">IFERROR(INDEX(user_table!$E$2:$E3686,MATCH(C523,user_table!$B$2:$B3686,0)),"")
</f>
        <v>6, 2</v>
      </c>
      <c r="F523" s="6" t="str">
        <f t="shared" si="2"/>
        <v>164546165</v>
      </c>
      <c r="G523" s="8">
        <v>4.0</v>
      </c>
      <c r="H523" s="9">
        <v>44943.0</v>
      </c>
      <c r="I523" s="10" t="s">
        <v>527</v>
      </c>
    </row>
    <row r="524">
      <c r="A524" s="5" t="str">
        <f t="array" ref="A524">INDEX(event_table!$A$2:$A$69, RANDBETWEEN(1, COUNTA(event_table!$A$2:$A$69)))</f>
        <v>1651</v>
      </c>
      <c r="B524" s="6">
        <f t="array" ref="B524">IFERROR(INDEX(event_table!$E$1:$E3686,MATCH(A524,event_table!$A$1:$A3686,0)),"")
</f>
        <v>6</v>
      </c>
      <c r="C524" s="7">
        <f t="shared" si="1"/>
        <v>168</v>
      </c>
      <c r="D524" s="6" t="str">
        <f t="array" ref="D524">IFERROR(INDEX(user_table!$C$2:$C3686,MATCH(C524,user_table!$B$2:$B3686,0)),"")
</f>
        <v>Lina Kurniawan</v>
      </c>
      <c r="E524" s="6" t="str">
        <f t="array" ref="E524">IFERROR(INDEX(user_table!$E$2:$E3686,MATCH(C524,user_table!$B$2:$B3686,0)),"")
</f>
        <v>2, 2</v>
      </c>
      <c r="F524" s="6" t="str">
        <f t="shared" si="2"/>
        <v>165146168</v>
      </c>
      <c r="G524" s="8">
        <v>4.0</v>
      </c>
      <c r="H524" s="9">
        <v>45206.0</v>
      </c>
      <c r="I524" s="10" t="s">
        <v>528</v>
      </c>
    </row>
    <row r="525">
      <c r="A525" s="5" t="str">
        <f t="array" ref="A525">INDEX(event_table!$A$2:$A$69, RANDBETWEEN(1, COUNTA(event_table!$A$2:$A$69)))</f>
        <v>1529</v>
      </c>
      <c r="B525" s="6">
        <f t="array" ref="B525">IFERROR(INDEX(event_table!$E$1:$E3686,MATCH(A525,event_table!$A$1:$A3686,0)),"")
</f>
        <v>5</v>
      </c>
      <c r="C525" s="7">
        <f t="shared" si="1"/>
        <v>13</v>
      </c>
      <c r="D525" s="6" t="str">
        <f t="array" ref="D525">IFERROR(INDEX(user_table!$C$2:$C3686,MATCH(C525,user_table!$B$2:$B3686,0)),"")
</f>
        <v>Hadi Kurniawan</v>
      </c>
      <c r="E525" s="6" t="str">
        <f t="array" ref="E525">IFERROR(INDEX(user_table!$E$2:$E3686,MATCH(C525,user_table!$B$2:$B3686,0)),"")
</f>
        <v>4, 3</v>
      </c>
      <c r="F525" s="6" t="str">
        <f t="shared" si="2"/>
        <v>15294513</v>
      </c>
      <c r="G525" s="8">
        <v>4.0</v>
      </c>
      <c r="H525" s="9">
        <v>45058.0</v>
      </c>
      <c r="I525" s="10" t="s">
        <v>529</v>
      </c>
    </row>
    <row r="526">
      <c r="A526" s="5" t="str">
        <f t="array" ref="A526">INDEX(event_table!$A$2:$A$69, RANDBETWEEN(1, COUNTA(event_table!$A$2:$A$69)))</f>
        <v>1417</v>
      </c>
      <c r="B526" s="6">
        <f t="array" ref="B526">IFERROR(INDEX(event_table!$E$1:$E3686,MATCH(A526,event_table!$A$1:$A3686,0)),"")
</f>
        <v>4</v>
      </c>
      <c r="C526" s="7">
        <f t="shared" si="1"/>
        <v>196</v>
      </c>
      <c r="D526" s="6" t="str">
        <f t="array" ref="D526">IFERROR(INDEX(user_table!$C$2:$C3686,MATCH(C526,user_table!$B$2:$B3686,0)),"")
</f>
        <v>Dewi Susanto</v>
      </c>
      <c r="E526" s="6" t="str">
        <f t="array" ref="E526">IFERROR(INDEX(user_table!$E$2:$E3686,MATCH(C526,user_table!$B$2:$B3686,0)),"")
</f>
        <v>2, 1</v>
      </c>
      <c r="F526" s="6" t="str">
        <f t="shared" si="2"/>
        <v>141744196</v>
      </c>
      <c r="G526" s="8">
        <v>4.0</v>
      </c>
      <c r="H526" s="9">
        <v>44736.0</v>
      </c>
      <c r="I526" s="10" t="s">
        <v>530</v>
      </c>
    </row>
    <row r="527">
      <c r="A527" s="5" t="str">
        <f t="array" ref="A527">INDEX(event_table!$A$2:$A$69, RANDBETWEEN(1, COUNTA(event_table!$A$2:$A$69)))</f>
        <v>1335</v>
      </c>
      <c r="B527" s="6">
        <f t="array" ref="B527">IFERROR(INDEX(event_table!$E$1:$E3686,MATCH(A527,event_table!$A$1:$A3686,0)),"")
</f>
        <v>3</v>
      </c>
      <c r="C527" s="7">
        <f t="shared" si="1"/>
        <v>49</v>
      </c>
      <c r="D527" s="6" t="str">
        <f t="array" ref="D527">IFERROR(INDEX(user_table!$C$2:$C3686,MATCH(C527,user_table!$B$2:$B3686,0)),"")
</f>
        <v>Fajar Hidayat</v>
      </c>
      <c r="E527" s="6" t="str">
        <f t="array" ref="E527">IFERROR(INDEX(user_table!$E$2:$E3686,MATCH(C527,user_table!$B$2:$B3686,0)),"")
</f>
        <v>3, 1</v>
      </c>
      <c r="F527" s="6" t="str">
        <f t="shared" si="2"/>
        <v>13354349</v>
      </c>
      <c r="G527" s="8">
        <v>4.0</v>
      </c>
      <c r="H527" s="9">
        <v>44731.0</v>
      </c>
      <c r="I527" s="10" t="s">
        <v>531</v>
      </c>
    </row>
    <row r="528">
      <c r="A528" s="5" t="str">
        <f t="array" ref="A528">INDEX(event_table!$A$2:$A$69, RANDBETWEEN(1, COUNTA(event_table!$A$2:$A$69)))</f>
        <v>1644</v>
      </c>
      <c r="B528" s="6">
        <f t="array" ref="B528">IFERROR(INDEX(event_table!$E$1:$E3686,MATCH(A528,event_table!$A$1:$A3686,0)),"")
</f>
        <v>6</v>
      </c>
      <c r="C528" s="7">
        <f t="shared" si="1"/>
        <v>96</v>
      </c>
      <c r="D528" s="6" t="str">
        <f t="array" ref="D528">IFERROR(INDEX(user_table!$C$2:$C3686,MATCH(C528,user_table!$B$2:$B3686,0)),"")
</f>
        <v>Budi Sari</v>
      </c>
      <c r="E528" s="6" t="str">
        <f t="array" ref="E528">IFERROR(INDEX(user_table!$E$2:$E3686,MATCH(C528,user_table!$B$2:$B3686,0)),"")
</f>
        <v>3, 2</v>
      </c>
      <c r="F528" s="6" t="str">
        <f t="shared" si="2"/>
        <v>16444696</v>
      </c>
      <c r="G528" s="8">
        <v>4.0</v>
      </c>
      <c r="H528" s="9">
        <v>44716.0</v>
      </c>
      <c r="I528" s="10" t="s">
        <v>532</v>
      </c>
    </row>
    <row r="529">
      <c r="A529" s="5" t="str">
        <f t="array" ref="A529">INDEX(event_table!$A$2:$A$69, RANDBETWEEN(1, COUNTA(event_table!$A$2:$A$69)))</f>
        <v>1528</v>
      </c>
      <c r="B529" s="6">
        <f t="array" ref="B529">IFERROR(INDEX(event_table!$E$1:$E3686,MATCH(A529,event_table!$A$1:$A3686,0)),"")
</f>
        <v>5</v>
      </c>
      <c r="C529" s="7">
        <f t="shared" si="1"/>
        <v>183</v>
      </c>
      <c r="D529" s="6" t="str">
        <f t="array" ref="D529">IFERROR(INDEX(user_table!$C$2:$C3686,MATCH(C529,user_table!$B$2:$B3686,0)),"")
</f>
        <v>Siti Nugroho</v>
      </c>
      <c r="E529" s="6" t="str">
        <f t="array" ref="E529">IFERROR(INDEX(user_table!$E$2:$E3686,MATCH(C529,user_table!$B$2:$B3686,0)),"")
</f>
        <v>4, 6</v>
      </c>
      <c r="F529" s="6" t="str">
        <f t="shared" si="2"/>
        <v>152845183</v>
      </c>
      <c r="G529" s="8">
        <v>4.0</v>
      </c>
      <c r="H529" s="9">
        <v>44712.0</v>
      </c>
      <c r="I529" s="10" t="s">
        <v>533</v>
      </c>
    </row>
    <row r="530">
      <c r="A530" s="5" t="str">
        <f t="array" ref="A530">INDEX(event_table!$A$2:$A$69, RANDBETWEEN(1, COUNTA(event_table!$A$2:$A$69)))</f>
        <v>1642</v>
      </c>
      <c r="B530" s="6">
        <f t="array" ref="B530">IFERROR(INDEX(event_table!$E$1:$E3686,MATCH(A530,event_table!$A$1:$A3686,0)),"")
</f>
        <v>6</v>
      </c>
      <c r="C530" s="7">
        <f t="shared" si="1"/>
        <v>1</v>
      </c>
      <c r="D530" s="6" t="str">
        <f t="array" ref="D530">IFERROR(INDEX(user_table!$C$2:$C3686,MATCH(C530,user_table!$B$2:$B3686,0)),"")
</f>
        <v>Maya Putri</v>
      </c>
      <c r="E530" s="6" t="str">
        <f t="array" ref="E530">IFERROR(INDEX(user_table!$E$2:$E3686,MATCH(C530,user_table!$B$2:$B3686,0)),"")
</f>
        <v>5, 6</v>
      </c>
      <c r="F530" s="6" t="str">
        <f t="shared" si="2"/>
        <v>1642461</v>
      </c>
      <c r="G530" s="8">
        <v>4.0</v>
      </c>
      <c r="H530" s="9">
        <v>44692.0</v>
      </c>
      <c r="I530" s="10" t="s">
        <v>534</v>
      </c>
    </row>
    <row r="531">
      <c r="A531" s="5" t="str">
        <f t="array" ref="A531">INDEX(event_table!$A$2:$A$69, RANDBETWEEN(1, COUNTA(event_table!$A$2:$A$69)))</f>
        <v>1529</v>
      </c>
      <c r="B531" s="6">
        <f t="array" ref="B531">IFERROR(INDEX(event_table!$E$1:$E3686,MATCH(A531,event_table!$A$1:$A3686,0)),"")
</f>
        <v>5</v>
      </c>
      <c r="C531" s="7">
        <f t="shared" si="1"/>
        <v>112</v>
      </c>
      <c r="D531" s="6" t="str">
        <f t="array" ref="D531">IFERROR(INDEX(user_table!$C$2:$C3686,MATCH(C531,user_table!$B$2:$B3686,0)),"")
</f>
        <v>Ani Hadiwijaya</v>
      </c>
      <c r="E531" s="6" t="str">
        <f t="array" ref="E531">IFERROR(INDEX(user_table!$E$2:$E3686,MATCH(C531,user_table!$B$2:$B3686,0)),"")
</f>
        <v>3, 5</v>
      </c>
      <c r="F531" s="6" t="str">
        <f t="shared" si="2"/>
        <v>152945112</v>
      </c>
      <c r="G531" s="8">
        <v>4.0</v>
      </c>
      <c r="H531" s="9">
        <v>45251.0</v>
      </c>
      <c r="I531" s="10" t="s">
        <v>318</v>
      </c>
    </row>
    <row r="532">
      <c r="A532" s="5" t="str">
        <f t="array" ref="A532">INDEX(event_table!$A$2:$A$69, RANDBETWEEN(1, COUNTA(event_table!$A$2:$A$69)))</f>
        <v>1334</v>
      </c>
      <c r="B532" s="6">
        <f t="array" ref="B532">IFERROR(INDEX(event_table!$E$1:$E3686,MATCH(A532,event_table!$A$1:$A3686,0)),"")
</f>
        <v>3</v>
      </c>
      <c r="C532" s="7">
        <f t="shared" si="1"/>
        <v>93</v>
      </c>
      <c r="D532" s="6" t="str">
        <f t="array" ref="D532">IFERROR(INDEX(user_table!$C$2:$C3686,MATCH(C532,user_table!$B$2:$B3686,0)),"")
</f>
        <v>Hadi Putri</v>
      </c>
      <c r="E532" s="6" t="str">
        <f t="array" ref="E532">IFERROR(INDEX(user_table!$E$2:$E3686,MATCH(C532,user_table!$B$2:$B3686,0)),"")
</f>
        <v>5, 6</v>
      </c>
      <c r="F532" s="6" t="str">
        <f t="shared" si="2"/>
        <v>13344393</v>
      </c>
      <c r="G532" s="8">
        <v>4.0</v>
      </c>
      <c r="H532" s="9">
        <v>44801.0</v>
      </c>
      <c r="I532" s="10" t="s">
        <v>535</v>
      </c>
    </row>
    <row r="533">
      <c r="A533" s="5" t="str">
        <f t="array" ref="A533">INDEX(event_table!$A$2:$A$69, RANDBETWEEN(1, COUNTA(event_table!$A$2:$A$69)))</f>
        <v>1111</v>
      </c>
      <c r="B533" s="6">
        <f t="array" ref="B533">IFERROR(INDEX(event_table!$E$1:$E3686,MATCH(A533,event_table!$A$1:$A3686,0)),"")
</f>
        <v>1</v>
      </c>
      <c r="C533" s="7">
        <f t="shared" si="1"/>
        <v>2</v>
      </c>
      <c r="D533" s="6" t="str">
        <f t="array" ref="D533">IFERROR(INDEX(user_table!$C$2:$C3686,MATCH(C533,user_table!$B$2:$B3686,0)),"")
</f>
        <v>Dian Putri</v>
      </c>
      <c r="E533" s="6" t="str">
        <f t="array" ref="E533">IFERROR(INDEX(user_table!$E$2:$E3686,MATCH(C533,user_table!$B$2:$B3686,0)),"")
</f>
        <v>1, 6</v>
      </c>
      <c r="F533" s="6" t="str">
        <f t="shared" si="2"/>
        <v>1111312</v>
      </c>
      <c r="G533" s="8">
        <v>3.0</v>
      </c>
      <c r="H533" s="9">
        <v>45248.0</v>
      </c>
      <c r="I533" s="10" t="s">
        <v>536</v>
      </c>
    </row>
    <row r="534">
      <c r="A534" s="5" t="str">
        <f t="array" ref="A534">INDEX(event_table!$A$2:$A$69, RANDBETWEEN(1, COUNTA(event_table!$A$2:$A$69)))</f>
        <v>3356</v>
      </c>
      <c r="B534" s="6">
        <f t="array" ref="B534">IFERROR(INDEX(event_table!$E$1:$E3686,MATCH(A534,event_table!$A$1:$A3686,0)),"")
</f>
        <v>3</v>
      </c>
      <c r="C534" s="7">
        <f t="shared" si="1"/>
        <v>85</v>
      </c>
      <c r="D534" s="6" t="str">
        <f t="array" ref="D534">IFERROR(INDEX(user_table!$C$2:$C3686,MATCH(C534,user_table!$B$2:$B3686,0)),"")
</f>
        <v>Maya Susanto</v>
      </c>
      <c r="E534" s="6" t="str">
        <f t="array" ref="E534">IFERROR(INDEX(user_table!$E$2:$E3686,MATCH(C534,user_table!$B$2:$B3686,0)),"")
</f>
        <v>6, 5</v>
      </c>
      <c r="F534" s="6" t="str">
        <f t="shared" si="2"/>
        <v>33563385</v>
      </c>
      <c r="G534" s="8">
        <v>3.0</v>
      </c>
      <c r="H534" s="9">
        <v>45213.0</v>
      </c>
      <c r="I534" s="10" t="s">
        <v>537</v>
      </c>
    </row>
    <row r="535">
      <c r="A535" s="5" t="str">
        <f t="array" ref="A535">INDEX(event_table!$A$2:$A$69, RANDBETWEEN(1, COUNTA(event_table!$A$2:$A$69)))</f>
        <v>3658</v>
      </c>
      <c r="B535" s="6">
        <f t="array" ref="B535">IFERROR(INDEX(event_table!$E$1:$E3686,MATCH(A535,event_table!$A$1:$A3686,0)),"")
</f>
        <v>6</v>
      </c>
      <c r="C535" s="7">
        <f t="shared" si="1"/>
        <v>96</v>
      </c>
      <c r="D535" s="6" t="str">
        <f t="array" ref="D535">IFERROR(INDEX(user_table!$C$2:$C3686,MATCH(C535,user_table!$B$2:$B3686,0)),"")
</f>
        <v>Budi Sari</v>
      </c>
      <c r="E535" s="6" t="str">
        <f t="array" ref="E535">IFERROR(INDEX(user_table!$E$2:$E3686,MATCH(C535,user_table!$B$2:$B3686,0)),"")
</f>
        <v>3, 2</v>
      </c>
      <c r="F535" s="6" t="str">
        <f t="shared" si="2"/>
        <v>36583696</v>
      </c>
      <c r="G535" s="8">
        <v>3.0</v>
      </c>
      <c r="H535" s="9">
        <v>45161.0</v>
      </c>
      <c r="I535" s="10" t="s">
        <v>538</v>
      </c>
    </row>
    <row r="536">
      <c r="A536" s="5" t="str">
        <f t="array" ref="A536">INDEX(event_table!$A$2:$A$69, RANDBETWEEN(1, COUNTA(event_table!$A$2:$A$69)))</f>
        <v>1111</v>
      </c>
      <c r="B536" s="6">
        <f t="array" ref="B536">IFERROR(INDEX(event_table!$E$1:$E3686,MATCH(A536,event_table!$A$1:$A3686,0)),"")
</f>
        <v>1</v>
      </c>
      <c r="C536" s="7">
        <f t="shared" si="1"/>
        <v>93</v>
      </c>
      <c r="D536" s="6" t="str">
        <f t="array" ref="D536">IFERROR(INDEX(user_table!$C$2:$C3686,MATCH(C536,user_table!$B$2:$B3686,0)),"")
</f>
        <v>Hadi Putri</v>
      </c>
      <c r="E536" s="6" t="str">
        <f t="array" ref="E536">IFERROR(INDEX(user_table!$E$2:$E3686,MATCH(C536,user_table!$B$2:$B3686,0)),"")
</f>
        <v>5, 6</v>
      </c>
      <c r="F536" s="6" t="str">
        <f t="shared" si="2"/>
        <v>11113193</v>
      </c>
      <c r="G536" s="8">
        <v>3.0</v>
      </c>
      <c r="H536" s="9">
        <v>45160.0</v>
      </c>
      <c r="I536" s="10" t="s">
        <v>539</v>
      </c>
    </row>
    <row r="537">
      <c r="A537" s="5" t="str">
        <f t="array" ref="A537">INDEX(event_table!$A$2:$A$69, RANDBETWEEN(1, COUNTA(event_table!$A$2:$A$69)))</f>
        <v>1335</v>
      </c>
      <c r="B537" s="6">
        <f t="array" ref="B537">IFERROR(INDEX(event_table!$E$1:$E3686,MATCH(A537,event_table!$A$1:$A3686,0)),"")
</f>
        <v>3</v>
      </c>
      <c r="C537" s="7">
        <f t="shared" si="1"/>
        <v>131</v>
      </c>
      <c r="D537" s="6" t="str">
        <f t="array" ref="D537">IFERROR(INDEX(user_table!$C$2:$C3686,MATCH(C537,user_table!$B$2:$B3686,0)),"")
</f>
        <v>Dian Purnama</v>
      </c>
      <c r="E537" s="6" t="str">
        <f t="array" ref="E537">IFERROR(INDEX(user_table!$E$2:$E3686,MATCH(C537,user_table!$B$2:$B3686,0)),"")
</f>
        <v>3, 5</v>
      </c>
      <c r="F537" s="6" t="str">
        <f t="shared" si="2"/>
        <v>133533131</v>
      </c>
      <c r="G537" s="8">
        <v>3.0</v>
      </c>
      <c r="H537" s="9">
        <v>45110.0</v>
      </c>
      <c r="I537" s="10" t="s">
        <v>540</v>
      </c>
    </row>
    <row r="538">
      <c r="A538" s="5" t="str">
        <f t="array" ref="A538">INDEX(event_table!$A$2:$A$69, RANDBETWEEN(1, COUNTA(event_table!$A$2:$A$69)))</f>
        <v>1636</v>
      </c>
      <c r="B538" s="6">
        <f t="array" ref="B538">IFERROR(INDEX(event_table!$E$1:$E3686,MATCH(A538,event_table!$A$1:$A3686,0)),"")
</f>
        <v>6</v>
      </c>
      <c r="C538" s="7">
        <f t="shared" si="1"/>
        <v>49</v>
      </c>
      <c r="D538" s="6" t="str">
        <f t="array" ref="D538">IFERROR(INDEX(user_table!$C$2:$C3686,MATCH(C538,user_table!$B$2:$B3686,0)),"")
</f>
        <v>Fajar Hidayat</v>
      </c>
      <c r="E538" s="6" t="str">
        <f t="array" ref="E538">IFERROR(INDEX(user_table!$E$2:$E3686,MATCH(C538,user_table!$B$2:$B3686,0)),"")
</f>
        <v>3, 1</v>
      </c>
      <c r="F538" s="6" t="str">
        <f t="shared" si="2"/>
        <v>16362649</v>
      </c>
      <c r="G538" s="8">
        <v>2.0</v>
      </c>
      <c r="H538" s="9">
        <v>44776.0</v>
      </c>
      <c r="I538" s="10" t="s">
        <v>541</v>
      </c>
    </row>
    <row r="539">
      <c r="A539" s="5" t="str">
        <f t="array" ref="A539">INDEX(event_table!$A$2:$A$69, RANDBETWEEN(1, COUNTA(event_table!$A$2:$A$69)))</f>
        <v>1645</v>
      </c>
      <c r="B539" s="6">
        <f t="array" ref="B539">IFERROR(INDEX(event_table!$E$1:$E3686,MATCH(A539,event_table!$A$1:$A3686,0)),"")
</f>
        <v>6</v>
      </c>
      <c r="C539" s="7">
        <f t="shared" si="1"/>
        <v>148</v>
      </c>
      <c r="D539" s="6" t="str">
        <f t="array" ref="D539">IFERROR(INDEX(user_table!$C$2:$C3686,MATCH(C539,user_table!$B$2:$B3686,0)),"")
</f>
        <v>Fajar Setiawan</v>
      </c>
      <c r="E539" s="6" t="str">
        <f t="array" ref="E539">IFERROR(INDEX(user_table!$E$2:$E3686,MATCH(C539,user_table!$B$2:$B3686,0)),"")
</f>
        <v>6, 4</v>
      </c>
      <c r="F539" s="6" t="str">
        <f t="shared" si="2"/>
        <v>164526148</v>
      </c>
      <c r="G539" s="8">
        <v>2.0</v>
      </c>
      <c r="H539" s="9">
        <v>44489.0</v>
      </c>
      <c r="I539" s="10" t="s">
        <v>542</v>
      </c>
    </row>
    <row r="540">
      <c r="A540" s="5" t="str">
        <f t="array" ref="A540">INDEX(event_table!$A$2:$A$69, RANDBETWEEN(1, COUNTA(event_table!$A$2:$A$69)))</f>
        <v>1418</v>
      </c>
      <c r="B540" s="6">
        <f t="array" ref="B540">IFERROR(INDEX(event_table!$E$1:$E3686,MATCH(A540,event_table!$A$1:$A3686,0)),"")
</f>
        <v>4</v>
      </c>
      <c r="C540" s="7">
        <f t="shared" si="1"/>
        <v>30</v>
      </c>
      <c r="D540" s="6" t="str">
        <f t="array" ref="D540">IFERROR(INDEX(user_table!$C$2:$C3686,MATCH(C540,user_table!$B$2:$B3686,0)),"")
</f>
        <v>Fajar Kurniawan</v>
      </c>
      <c r="E540" s="6" t="str">
        <f t="array" ref="E540">IFERROR(INDEX(user_table!$E$2:$E3686,MATCH(C540,user_table!$B$2:$B3686,0)),"")
</f>
        <v>5, 3</v>
      </c>
      <c r="F540" s="6" t="str">
        <f t="shared" si="2"/>
        <v>14182430</v>
      </c>
      <c r="G540" s="8">
        <v>2.0</v>
      </c>
      <c r="H540" s="9">
        <v>44471.0</v>
      </c>
      <c r="I540" s="10" t="s">
        <v>543</v>
      </c>
    </row>
    <row r="541">
      <c r="A541" s="5" t="str">
        <f t="array" ref="A541">INDEX(event_table!$A$2:$A$69, RANDBETWEEN(1, COUNTA(event_table!$A$2:$A$69)))</f>
        <v>1416</v>
      </c>
      <c r="B541" s="6">
        <f t="array" ref="B541">IFERROR(INDEX(event_table!$E$1:$E3686,MATCH(A541,event_table!$A$1:$A3686,0)),"")
</f>
        <v>4</v>
      </c>
      <c r="C541" s="7">
        <f t="shared" si="1"/>
        <v>80</v>
      </c>
      <c r="D541" s="6" t="str">
        <f t="array" ref="D541">IFERROR(INDEX(user_table!$C$2:$C3686,MATCH(C541,user_table!$B$2:$B3686,0)),"")
</f>
        <v>Sinta Susanto</v>
      </c>
      <c r="E541" s="6" t="str">
        <f t="array" ref="E541">IFERROR(INDEX(user_table!$E$2:$E3686,MATCH(C541,user_table!$B$2:$B3686,0)),"")
</f>
        <v>5, 2</v>
      </c>
      <c r="F541" s="6" t="str">
        <f t="shared" si="2"/>
        <v>14162480</v>
      </c>
      <c r="G541" s="8">
        <v>2.0</v>
      </c>
      <c r="H541" s="9">
        <v>44423.0</v>
      </c>
      <c r="I541" s="10" t="s">
        <v>544</v>
      </c>
    </row>
    <row r="542">
      <c r="A542" s="5" t="str">
        <f t="array" ref="A542">INDEX(event_table!$A$2:$A$69, RANDBETWEEN(1, COUNTA(event_table!$A$2:$A$69)))</f>
        <v>3164</v>
      </c>
      <c r="B542" s="6">
        <f t="array" ref="B542">IFERROR(INDEX(event_table!$E$1:$E3686,MATCH(A542,event_table!$A$1:$A3686,0)),"")
</f>
        <v>1</v>
      </c>
      <c r="C542" s="7">
        <f t="shared" si="1"/>
        <v>43</v>
      </c>
      <c r="D542" s="6" t="str">
        <f t="array" ref="D542">IFERROR(INDEX(user_table!$C$2:$C3686,MATCH(C542,user_table!$B$2:$B3686,0)),"")
</f>
        <v>Lina Putri</v>
      </c>
      <c r="E542" s="6" t="str">
        <f t="array" ref="E542">IFERROR(INDEX(user_table!$E$2:$E3686,MATCH(C542,user_table!$B$2:$B3686,0)),"")
</f>
        <v>1, 6</v>
      </c>
      <c r="F542" s="6" t="str">
        <f t="shared" si="2"/>
        <v>31642143</v>
      </c>
      <c r="G542" s="8">
        <v>2.0</v>
      </c>
      <c r="H542" s="9">
        <v>45224.0</v>
      </c>
      <c r="I542" s="10" t="s">
        <v>545</v>
      </c>
    </row>
    <row r="543">
      <c r="A543" s="5" t="str">
        <f t="array" ref="A543">INDEX(event_table!$A$2:$A$69, RANDBETWEEN(1, COUNTA(event_table!$A$2:$A$69)))</f>
        <v>119</v>
      </c>
      <c r="B543" s="6">
        <f t="array" ref="B543">IFERROR(INDEX(event_table!$E$1:$E3686,MATCH(A543,event_table!$A$1:$A3686,0)),"")
</f>
        <v>1</v>
      </c>
      <c r="C543" s="7">
        <f t="shared" si="1"/>
        <v>79</v>
      </c>
      <c r="D543" s="6" t="str">
        <f t="array" ref="D543">IFERROR(INDEX(user_table!$C$2:$C3686,MATCH(C543,user_table!$B$2:$B3686,0)),"")
</f>
        <v>Arif Nugroho</v>
      </c>
      <c r="E543" s="6" t="str">
        <f t="array" ref="E543">IFERROR(INDEX(user_table!$E$2:$E3686,MATCH(C543,user_table!$B$2:$B3686,0)),"")
</f>
        <v>2, 3</v>
      </c>
      <c r="F543" s="6" t="str">
        <f t="shared" si="2"/>
        <v>1192179</v>
      </c>
      <c r="G543" s="8">
        <v>2.0</v>
      </c>
      <c r="H543" s="9">
        <v>45207.0</v>
      </c>
      <c r="I543" s="10" t="s">
        <v>546</v>
      </c>
    </row>
    <row r="544">
      <c r="A544" s="5" t="str">
        <f t="array" ref="A544">INDEX(event_table!$A$2:$A$69, RANDBETWEEN(1, COUNTA(event_table!$A$2:$A$69)))</f>
        <v>1529</v>
      </c>
      <c r="B544" s="6">
        <f t="array" ref="B544">IFERROR(INDEX(event_table!$E$1:$E3686,MATCH(A544,event_table!$A$1:$A3686,0)),"")
</f>
        <v>5</v>
      </c>
      <c r="C544" s="7">
        <f t="shared" si="1"/>
        <v>176</v>
      </c>
      <c r="D544" s="6" t="str">
        <f t="array" ref="D544">IFERROR(INDEX(user_table!$C$2:$C3686,MATCH(C544,user_table!$B$2:$B3686,0)),"")
</f>
        <v>Ani Hartono</v>
      </c>
      <c r="E544" s="6" t="str">
        <f t="array" ref="E544">IFERROR(INDEX(user_table!$E$2:$E3686,MATCH(C544,user_table!$B$2:$B3686,0)),"")
</f>
        <v>2, 3</v>
      </c>
      <c r="F544" s="6" t="str">
        <f t="shared" si="2"/>
        <v>152925176</v>
      </c>
      <c r="G544" s="8">
        <v>2.0</v>
      </c>
      <c r="H544" s="9">
        <v>45167.0</v>
      </c>
      <c r="I544" s="10" t="s">
        <v>547</v>
      </c>
    </row>
    <row r="545">
      <c r="A545" s="5" t="str">
        <f t="array" ref="A545">INDEX(event_table!$A$2:$A$69, RANDBETWEEN(1, COUNTA(event_table!$A$2:$A$69)))</f>
        <v>3163</v>
      </c>
      <c r="B545" s="6">
        <f t="array" ref="B545">IFERROR(INDEX(event_table!$E$1:$E3686,MATCH(A545,event_table!$A$1:$A3686,0)),"")
</f>
        <v>1</v>
      </c>
      <c r="C545" s="7">
        <f t="shared" si="1"/>
        <v>138</v>
      </c>
      <c r="D545" s="6" t="str">
        <f t="array" ref="D545">IFERROR(INDEX(user_table!$C$2:$C3686,MATCH(C545,user_table!$B$2:$B3686,0)),"")
</f>
        <v>Joko Hermawan</v>
      </c>
      <c r="E545" s="6" t="str">
        <f t="array" ref="E545">IFERROR(INDEX(user_table!$E$2:$E3686,MATCH(C545,user_table!$B$2:$B3686,0)),"")
</f>
        <v>4, 1</v>
      </c>
      <c r="F545" s="6" t="str">
        <f t="shared" si="2"/>
        <v>316321138</v>
      </c>
      <c r="G545" s="8">
        <v>2.0</v>
      </c>
      <c r="H545" s="9">
        <v>45166.0</v>
      </c>
      <c r="I545" s="10" t="s">
        <v>548</v>
      </c>
    </row>
    <row r="546">
      <c r="A546" s="5" t="str">
        <f t="array" ref="A546">INDEX(event_table!$A$2:$A$69, RANDBETWEEN(1, COUNTA(event_table!$A$2:$A$69)))</f>
        <v>1215</v>
      </c>
      <c r="B546" s="6">
        <f t="array" ref="B546">IFERROR(INDEX(event_table!$E$1:$E3686,MATCH(A546,event_table!$A$1:$A3686,0)),"")
</f>
        <v>2</v>
      </c>
      <c r="C546" s="7">
        <f t="shared" si="1"/>
        <v>4</v>
      </c>
      <c r="D546" s="6" t="str">
        <f t="array" ref="D546">IFERROR(INDEX(user_table!$C$2:$C3686,MATCH(C546,user_table!$B$2:$B3686,0)),"")
</f>
        <v>Dina Utami</v>
      </c>
      <c r="E546" s="6" t="str">
        <f t="array" ref="E546">IFERROR(INDEX(user_table!$E$2:$E3686,MATCH(C546,user_table!$B$2:$B3686,0)),"")
</f>
        <v>6, 2</v>
      </c>
      <c r="F546" s="6" t="str">
        <f t="shared" si="2"/>
        <v>1215224</v>
      </c>
      <c r="G546" s="8">
        <v>2.0</v>
      </c>
      <c r="H546" s="9">
        <v>45148.0</v>
      </c>
      <c r="I546" s="10" t="s">
        <v>549</v>
      </c>
    </row>
    <row r="547">
      <c r="A547" s="5" t="str">
        <f t="array" ref="A547">INDEX(event_table!$A$2:$A$69, RANDBETWEEN(1, COUNTA(event_table!$A$2:$A$69)))</f>
        <v>1418</v>
      </c>
      <c r="B547" s="6">
        <f t="array" ref="B547">IFERROR(INDEX(event_table!$E$1:$E3686,MATCH(A547,event_table!$A$1:$A3686,0)),"")
</f>
        <v>4</v>
      </c>
      <c r="C547" s="7">
        <f t="shared" si="1"/>
        <v>82</v>
      </c>
      <c r="D547" s="6" t="str">
        <f t="array" ref="D547">IFERROR(INDEX(user_table!$C$2:$C3686,MATCH(C547,user_table!$B$2:$B3686,0)),"")
</f>
        <v>Fandi Nurhayati</v>
      </c>
      <c r="E547" s="6" t="str">
        <f t="array" ref="E547">IFERROR(INDEX(user_table!$E$2:$E3686,MATCH(C547,user_table!$B$2:$B3686,0)),"")
</f>
        <v>3, 2</v>
      </c>
      <c r="F547" s="6" t="str">
        <f t="shared" si="2"/>
        <v>14182482</v>
      </c>
      <c r="G547" s="8">
        <v>2.0</v>
      </c>
      <c r="H547" s="9">
        <v>45132.0</v>
      </c>
      <c r="I547" s="10" t="s">
        <v>550</v>
      </c>
    </row>
    <row r="548">
      <c r="A548" s="5" t="str">
        <f t="array" ref="A548">INDEX(event_table!$A$2:$A$69, RANDBETWEEN(1, COUNTA(event_table!$A$2:$A$69)))</f>
        <v>3169</v>
      </c>
      <c r="B548" s="6">
        <f t="array" ref="B548">IFERROR(INDEX(event_table!$E$1:$E3686,MATCH(A548,event_table!$A$1:$A3686,0)),"")
</f>
        <v>1</v>
      </c>
      <c r="C548" s="7">
        <f t="shared" si="1"/>
        <v>39</v>
      </c>
      <c r="D548" s="6" t="str">
        <f t="array" ref="D548">IFERROR(INDEX(user_table!$C$2:$C3686,MATCH(C548,user_table!$B$2:$B3686,0)),"")
</f>
        <v>Desi Utami</v>
      </c>
      <c r="E548" s="6" t="str">
        <f t="array" ref="E548">IFERROR(INDEX(user_table!$E$2:$E3686,MATCH(C548,user_table!$B$2:$B3686,0)),"")
</f>
        <v>3, 1</v>
      </c>
      <c r="F548" s="6" t="str">
        <f t="shared" si="2"/>
        <v>31692139</v>
      </c>
      <c r="G548" s="8">
        <v>2.0</v>
      </c>
      <c r="H548" s="9">
        <v>45121.0</v>
      </c>
      <c r="I548" s="10" t="s">
        <v>551</v>
      </c>
    </row>
    <row r="549">
      <c r="A549" s="5" t="str">
        <f t="array" ref="A549">INDEX(event_table!$A$2:$A$69, RANDBETWEEN(1, COUNTA(event_table!$A$2:$A$69)))</f>
        <v>1528</v>
      </c>
      <c r="B549" s="6">
        <f t="array" ref="B549">IFERROR(INDEX(event_table!$E$1:$E3686,MATCH(A549,event_table!$A$1:$A3686,0)),"")
</f>
        <v>5</v>
      </c>
      <c r="C549" s="7">
        <f t="shared" si="1"/>
        <v>14</v>
      </c>
      <c r="D549" s="6" t="str">
        <f t="array" ref="D549">IFERROR(INDEX(user_table!$C$2:$C3686,MATCH(C549,user_table!$B$2:$B3686,0)),"")
</f>
        <v>Ani Purnama</v>
      </c>
      <c r="E549" s="6" t="str">
        <f t="array" ref="E549">IFERROR(INDEX(user_table!$E$2:$E3686,MATCH(C549,user_table!$B$2:$B3686,0)),"")
</f>
        <v>6, 2</v>
      </c>
      <c r="F549" s="6" t="str">
        <f t="shared" si="2"/>
        <v>15282514</v>
      </c>
      <c r="G549" s="8">
        <v>2.0</v>
      </c>
      <c r="H549" s="9">
        <v>45091.0</v>
      </c>
      <c r="I549" s="10" t="s">
        <v>552</v>
      </c>
    </row>
    <row r="550">
      <c r="A550" s="5" t="str">
        <f t="array" ref="A550">INDEX(event_table!$A$2:$A$69, RANDBETWEEN(1, COUNTA(event_table!$A$2:$A$69)))</f>
        <v>1636</v>
      </c>
      <c r="B550" s="6">
        <f t="array" ref="B550">IFERROR(INDEX(event_table!$E$1:$E3686,MATCH(A550,event_table!$A$1:$A3686,0)),"")
</f>
        <v>6</v>
      </c>
      <c r="C550" s="7">
        <f t="shared" si="1"/>
        <v>151</v>
      </c>
      <c r="D550" s="6" t="str">
        <f t="array" ref="D550">IFERROR(INDEX(user_table!$C$2:$C3686,MATCH(C550,user_table!$B$2:$B3686,0)),"")
</f>
        <v>Maya Hidayat</v>
      </c>
      <c r="E550" s="6" t="str">
        <f t="array" ref="E550">IFERROR(INDEX(user_table!$E$2:$E3686,MATCH(C550,user_table!$B$2:$B3686,0)),"")
</f>
        <v>2, 3</v>
      </c>
      <c r="F550" s="6" t="str">
        <f t="shared" si="2"/>
        <v>163626151</v>
      </c>
      <c r="G550" s="8">
        <v>2.0</v>
      </c>
      <c r="H550" s="9">
        <v>45042.0</v>
      </c>
      <c r="I550" s="10" t="s">
        <v>553</v>
      </c>
    </row>
    <row r="551">
      <c r="A551" s="5" t="str">
        <f t="array" ref="A551">INDEX(event_table!$A$2:$A$69, RANDBETWEEN(1, COUNTA(event_table!$A$2:$A$69)))</f>
        <v>3356</v>
      </c>
      <c r="B551" s="6">
        <f t="array" ref="B551">IFERROR(INDEX(event_table!$E$1:$E3686,MATCH(A551,event_table!$A$1:$A3686,0)),"")
</f>
        <v>3</v>
      </c>
      <c r="C551" s="7">
        <f t="shared" si="1"/>
        <v>21</v>
      </c>
      <c r="D551" s="6" t="str">
        <f t="array" ref="D551">IFERROR(INDEX(user_table!$C$2:$C3686,MATCH(C551,user_table!$B$2:$B3686,0)),"")
</f>
        <v>Budi Santoso</v>
      </c>
      <c r="E551" s="6" t="str">
        <f t="array" ref="E551">IFERROR(INDEX(user_table!$E$2:$E3686,MATCH(C551,user_table!$B$2:$B3686,0)),"")
</f>
        <v>6, 1</v>
      </c>
      <c r="F551" s="6" t="str">
        <f t="shared" si="2"/>
        <v>33561321</v>
      </c>
      <c r="G551" s="8">
        <v>1.0</v>
      </c>
      <c r="H551" s="9">
        <v>45192.0</v>
      </c>
      <c r="I551" s="10" t="s">
        <v>554</v>
      </c>
    </row>
    <row r="552">
      <c r="A552" s="5" t="str">
        <f t="array" ref="A552">INDEX(event_table!$A$2:$A$69, RANDBETWEEN(1, COUNTA(event_table!$A$2:$A$69)))</f>
        <v>1650</v>
      </c>
      <c r="B552" s="6">
        <f t="array" ref="B552">IFERROR(INDEX(event_table!$E$1:$E3686,MATCH(A552,event_table!$A$1:$A3686,0)),"")
</f>
        <v>6</v>
      </c>
      <c r="C552" s="7">
        <f t="shared" si="1"/>
        <v>161</v>
      </c>
      <c r="D552" s="6" t="str">
        <f t="array" ref="D552">IFERROR(INDEX(user_table!$C$2:$C3686,MATCH(C552,user_table!$B$2:$B3686,0)),"")
</f>
        <v>Lina Nugroho</v>
      </c>
      <c r="E552" s="6" t="str">
        <f t="array" ref="E552">IFERROR(INDEX(user_table!$E$2:$E3686,MATCH(C552,user_table!$B$2:$B3686,0)),"")
</f>
        <v>6, 5</v>
      </c>
      <c r="F552" s="6" t="str">
        <f t="shared" si="2"/>
        <v>165016161</v>
      </c>
      <c r="G552" s="8">
        <v>1.0</v>
      </c>
      <c r="H552" s="9">
        <v>45211.0</v>
      </c>
      <c r="I552" s="10" t="s">
        <v>555</v>
      </c>
    </row>
    <row r="553">
      <c r="A553" s="5" t="str">
        <f t="array" ref="A553">INDEX(event_table!$A$2:$A$69, RANDBETWEEN(1, COUNTA(event_table!$A$2:$A$69)))</f>
        <v>1423</v>
      </c>
      <c r="B553" s="6">
        <f t="array" ref="B553">IFERROR(INDEX(event_table!$E$1:$E3686,MATCH(A553,event_table!$A$1:$A3686,0)),"")
</f>
        <v>4</v>
      </c>
      <c r="C553" s="7">
        <f t="shared" si="1"/>
        <v>86</v>
      </c>
      <c r="D553" s="6" t="str">
        <f t="array" ref="D553">IFERROR(INDEX(user_table!$C$2:$C3686,MATCH(C553,user_table!$B$2:$B3686,0)),"")
</f>
        <v>Lina Santoso</v>
      </c>
      <c r="E553" s="6" t="str">
        <f t="array" ref="E553">IFERROR(INDEX(user_table!$E$2:$E3686,MATCH(C553,user_table!$B$2:$B3686,0)),"")
</f>
        <v>4, 3</v>
      </c>
      <c r="F553" s="6" t="str">
        <f t="shared" si="2"/>
        <v>14231486</v>
      </c>
      <c r="G553" s="8">
        <v>1.0</v>
      </c>
      <c r="H553" s="9">
        <v>45243.0</v>
      </c>
      <c r="I553" s="10" t="s">
        <v>556</v>
      </c>
    </row>
    <row r="554">
      <c r="A554" s="5" t="str">
        <f t="array" ref="A554">INDEX(event_table!$A$2:$A$69, RANDBETWEEN(1, COUNTA(event_table!$A$2:$A$69)))</f>
        <v>118</v>
      </c>
      <c r="B554" s="6">
        <f t="array" ref="B554">IFERROR(INDEX(event_table!$E$1:$E3686,MATCH(A554,event_table!$A$1:$A3686,0)),"")
</f>
        <v>1</v>
      </c>
      <c r="C554" s="7">
        <f t="shared" si="1"/>
        <v>32</v>
      </c>
      <c r="D554" s="6" t="str">
        <f t="array" ref="D554">IFERROR(INDEX(user_table!$C$2:$C3686,MATCH(C554,user_table!$B$2:$B3686,0)),"")
</f>
        <v>Ani Setiawan</v>
      </c>
      <c r="E554" s="6" t="str">
        <f t="array" ref="E554">IFERROR(INDEX(user_table!$E$2:$E3686,MATCH(C554,user_table!$B$2:$B3686,0)),"")
</f>
        <v>6, 3</v>
      </c>
      <c r="F554" s="6" t="str">
        <f t="shared" si="2"/>
        <v>1181132</v>
      </c>
      <c r="G554" s="8">
        <v>1.0</v>
      </c>
      <c r="H554" s="9">
        <v>45264.0</v>
      </c>
      <c r="I554" s="10" t="s">
        <v>557</v>
      </c>
    </row>
    <row r="555">
      <c r="A555" s="5" t="str">
        <f t="array" ref="A555">INDEX(event_table!$A$2:$A$69, RANDBETWEEN(1, COUNTA(event_table!$A$2:$A$69)))</f>
        <v>1642</v>
      </c>
      <c r="B555" s="6">
        <f t="array" ref="B555">IFERROR(INDEX(event_table!$E$1:$E3686,MATCH(A555,event_table!$A$1:$A3686,0)),"")
</f>
        <v>6</v>
      </c>
      <c r="C555" s="7">
        <f t="shared" si="1"/>
        <v>106</v>
      </c>
      <c r="D555" s="6" t="str">
        <f t="array" ref="D555">IFERROR(INDEX(user_table!$C$2:$C3686,MATCH(C555,user_table!$B$2:$B3686,0)),"")
</f>
        <v>Budi Hidayat</v>
      </c>
      <c r="E555" s="6" t="str">
        <f t="array" ref="E555">IFERROR(INDEX(user_table!$E$2:$E3686,MATCH(C555,user_table!$B$2:$B3686,0)),"")
</f>
        <v>2, 6</v>
      </c>
      <c r="F555" s="6" t="str">
        <f t="shared" si="2"/>
        <v>164216106</v>
      </c>
      <c r="G555" s="8">
        <v>1.0</v>
      </c>
      <c r="H555" s="9">
        <v>45251.0</v>
      </c>
      <c r="I555" s="10" t="s">
        <v>558</v>
      </c>
    </row>
    <row r="556">
      <c r="A556" s="5" t="str">
        <f t="array" ref="A556">INDEX(event_table!$A$2:$A$69, RANDBETWEEN(1, COUNTA(event_table!$A$2:$A$69)))</f>
        <v>1637</v>
      </c>
      <c r="B556" s="6">
        <f t="array" ref="B556">IFERROR(INDEX(event_table!$E$1:$E3686,MATCH(A556,event_table!$A$1:$A3686,0)),"")
</f>
        <v>6</v>
      </c>
      <c r="C556" s="7">
        <f t="shared" si="1"/>
        <v>65</v>
      </c>
      <c r="D556" s="6" t="str">
        <f t="array" ref="D556">IFERROR(INDEX(user_table!$C$2:$C3686,MATCH(C556,user_table!$B$2:$B3686,0)),"")
</f>
        <v>Siti Pratama</v>
      </c>
      <c r="E556" s="6" t="str">
        <f t="array" ref="E556">IFERROR(INDEX(user_table!$E$2:$E3686,MATCH(C556,user_table!$B$2:$B3686,0)),"")
</f>
        <v>5, 6</v>
      </c>
      <c r="F556" s="6" t="str">
        <f t="shared" si="2"/>
        <v>16371665</v>
      </c>
      <c r="G556" s="8">
        <v>1.0</v>
      </c>
      <c r="H556" s="9">
        <v>45247.0</v>
      </c>
      <c r="I556" s="10" t="s">
        <v>559</v>
      </c>
    </row>
    <row r="557">
      <c r="A557" s="5" t="str">
        <f t="array" ref="A557">INDEX(event_table!$A$2:$A$69, RANDBETWEEN(1, COUNTA(event_table!$A$2:$A$69)))</f>
        <v>1334</v>
      </c>
      <c r="B557" s="6">
        <f t="array" ref="B557">IFERROR(INDEX(event_table!$E$1:$E3686,MATCH(A557,event_table!$A$1:$A3686,0)),"")
</f>
        <v>3</v>
      </c>
      <c r="C557" s="7">
        <f t="shared" si="1"/>
        <v>145</v>
      </c>
      <c r="D557" s="6" t="str">
        <f t="array" ref="D557">IFERROR(INDEX(user_table!$C$2:$C3686,MATCH(C557,user_table!$B$2:$B3686,0)),"")
</f>
        <v>Arif Nugroho</v>
      </c>
      <c r="E557" s="6" t="str">
        <f t="array" ref="E557">IFERROR(INDEX(user_table!$E$2:$E3686,MATCH(C557,user_table!$B$2:$B3686,0)),"")
</f>
        <v>1, 4</v>
      </c>
      <c r="F557" s="6" t="str">
        <f t="shared" si="2"/>
        <v>133413145</v>
      </c>
      <c r="G557" s="8">
        <v>1.0</v>
      </c>
      <c r="H557" s="9">
        <v>45197.0</v>
      </c>
      <c r="I557" s="10" t="s">
        <v>560</v>
      </c>
    </row>
    <row r="558">
      <c r="A558" s="5" t="str">
        <f t="array" ref="A558">INDEX(event_table!$A$2:$A$69, RANDBETWEEN(1, COUNTA(event_table!$A$2:$A$69)))</f>
        <v>3168</v>
      </c>
      <c r="B558" s="6">
        <f t="array" ref="B558">IFERROR(INDEX(event_table!$E$1:$E3686,MATCH(A558,event_table!$A$1:$A3686,0)),"")
</f>
        <v>1</v>
      </c>
      <c r="C558" s="7">
        <f t="shared" si="1"/>
        <v>145</v>
      </c>
      <c r="D558" s="6" t="str">
        <f t="array" ref="D558">IFERROR(INDEX(user_table!$C$2:$C3686,MATCH(C558,user_table!$B$2:$B3686,0)),"")
</f>
        <v>Arif Nugroho</v>
      </c>
      <c r="E558" s="6" t="str">
        <f t="array" ref="E558">IFERROR(INDEX(user_table!$E$2:$E3686,MATCH(C558,user_table!$B$2:$B3686,0)),"")
</f>
        <v>1, 4</v>
      </c>
      <c r="F558" s="6" t="str">
        <f t="shared" si="2"/>
        <v>316811145</v>
      </c>
      <c r="G558" s="8">
        <v>1.0</v>
      </c>
      <c r="H558" s="9">
        <v>45184.0</v>
      </c>
      <c r="I558" s="10" t="s">
        <v>561</v>
      </c>
    </row>
    <row r="559">
      <c r="A559" s="5" t="str">
        <f t="array" ref="A559">INDEX(event_table!$A$2:$A$69, RANDBETWEEN(1, COUNTA(event_table!$A$2:$A$69)))</f>
        <v>3659</v>
      </c>
      <c r="B559" s="6">
        <f t="array" ref="B559">IFERROR(INDEX(event_table!$E$1:$E3686,MATCH(A559,event_table!$A$1:$A3686,0)),"")
</f>
        <v>6</v>
      </c>
      <c r="C559" s="7">
        <f t="shared" si="1"/>
        <v>126</v>
      </c>
      <c r="D559" s="6" t="str">
        <f t="array" ref="D559">IFERROR(INDEX(user_table!$C$2:$C3686,MATCH(C559,user_table!$B$2:$B3686,0)),"")
</f>
        <v>Agus Santoso</v>
      </c>
      <c r="E559" s="6" t="str">
        <f t="array" ref="E559">IFERROR(INDEX(user_table!$E$2:$E3686,MATCH(C559,user_table!$B$2:$B3686,0)),"")
</f>
        <v>3, 6</v>
      </c>
      <c r="F559" s="6" t="str">
        <f t="shared" si="2"/>
        <v>365916126</v>
      </c>
      <c r="G559" s="8">
        <v>1.0</v>
      </c>
      <c r="H559" s="9">
        <v>45018.0</v>
      </c>
      <c r="I559" s="10" t="s">
        <v>562</v>
      </c>
    </row>
    <row r="560">
      <c r="A560" s="5" t="str">
        <f t="array" ref="A560">INDEX(event_table!$A$2:$A$69, RANDBETWEEN(1, COUNTA(event_table!$A$2:$A$69)))</f>
        <v>1649</v>
      </c>
      <c r="B560" s="6">
        <f t="array" ref="B560">IFERROR(INDEX(event_table!$E$1:$E3686,MATCH(A560,event_table!$A$1:$A3686,0)),"")
</f>
        <v>6</v>
      </c>
      <c r="C560" s="7">
        <f t="shared" si="1"/>
        <v>68</v>
      </c>
      <c r="D560" s="6" t="str">
        <f t="array" ref="D560">IFERROR(INDEX(user_table!$C$2:$C3686,MATCH(C560,user_table!$B$2:$B3686,0)),"")
</f>
        <v>Wahyu Wijaya</v>
      </c>
      <c r="E560" s="6" t="str">
        <f t="array" ref="E560">IFERROR(INDEX(user_table!$E$2:$E3686,MATCH(C560,user_table!$B$2:$B3686,0)),"")
</f>
        <v>4, 6</v>
      </c>
      <c r="F560" s="6" t="str">
        <f t="shared" si="2"/>
        <v>16495668</v>
      </c>
      <c r="G560" s="8">
        <v>5.0</v>
      </c>
      <c r="H560" s="9">
        <v>44739.0</v>
      </c>
      <c r="I560" s="10" t="s">
        <v>563</v>
      </c>
    </row>
    <row r="561">
      <c r="A561" s="5" t="str">
        <f t="array" ref="A561">INDEX(event_table!$A$2:$A$69, RANDBETWEEN(1, COUNTA(event_table!$A$2:$A$69)))</f>
        <v>3657</v>
      </c>
      <c r="B561" s="6">
        <f t="array" ref="B561">IFERROR(INDEX(event_table!$E$1:$E3686,MATCH(A561,event_table!$A$1:$A3686,0)),"")
</f>
        <v>6</v>
      </c>
      <c r="C561" s="7">
        <f t="shared" si="1"/>
        <v>182</v>
      </c>
      <c r="D561" s="6" t="str">
        <f t="array" ref="D561">IFERROR(INDEX(user_table!$C$2:$C3686,MATCH(C561,user_table!$B$2:$B3686,0)),"")
</f>
        <v>Siti Utami</v>
      </c>
      <c r="E561" s="6" t="str">
        <f t="array" ref="E561">IFERROR(INDEX(user_table!$E$2:$E3686,MATCH(C561,user_table!$B$2:$B3686,0)),"")
</f>
        <v>5, 4</v>
      </c>
      <c r="F561" s="6" t="str">
        <f t="shared" si="2"/>
        <v>365756182</v>
      </c>
      <c r="G561" s="8">
        <v>5.0</v>
      </c>
      <c r="H561" s="9">
        <v>44737.0</v>
      </c>
      <c r="I561" s="10" t="s">
        <v>564</v>
      </c>
    </row>
    <row r="562">
      <c r="A562" s="5" t="str">
        <f t="array" ref="A562">INDEX(event_table!$A$2:$A$69, RANDBETWEEN(1, COUNTA(event_table!$A$2:$A$69)))</f>
        <v>1421</v>
      </c>
      <c r="B562" s="6">
        <f t="array" ref="B562">IFERROR(INDEX(event_table!$E$1:$E3686,MATCH(A562,event_table!$A$1:$A3686,0)),"")
</f>
        <v>4</v>
      </c>
      <c r="C562" s="7">
        <f t="shared" si="1"/>
        <v>72</v>
      </c>
      <c r="D562" s="6" t="str">
        <f t="array" ref="D562">IFERROR(INDEX(user_table!$C$2:$C3686,MATCH(C562,user_table!$B$2:$B3686,0)),"")
</f>
        <v>Wahyu Kurniawan</v>
      </c>
      <c r="E562" s="6" t="str">
        <f t="array" ref="E562">IFERROR(INDEX(user_table!$E$2:$E3686,MATCH(C562,user_table!$B$2:$B3686,0)),"")
</f>
        <v>5, 3</v>
      </c>
      <c r="F562" s="6" t="str">
        <f t="shared" si="2"/>
        <v>14215472</v>
      </c>
      <c r="G562" s="8">
        <v>5.0</v>
      </c>
      <c r="H562" s="9">
        <v>44735.0</v>
      </c>
      <c r="I562" s="10" t="s">
        <v>565</v>
      </c>
    </row>
    <row r="563">
      <c r="A563" s="5" t="str">
        <f t="array" ref="A563">INDEX(event_table!$A$2:$A$69, RANDBETWEEN(1, COUNTA(event_table!$A$2:$A$69)))</f>
        <v>122</v>
      </c>
      <c r="B563" s="6">
        <f t="array" ref="B563">IFERROR(INDEX(event_table!$E$1:$E3686,MATCH(A563,event_table!$A$1:$A3686,0)),"")
</f>
        <v>2</v>
      </c>
      <c r="C563" s="7">
        <f t="shared" si="1"/>
        <v>62</v>
      </c>
      <c r="D563" s="6" t="str">
        <f t="array" ref="D563">IFERROR(INDEX(user_table!$C$2:$C3686,MATCH(C563,user_table!$B$2:$B3686,0)),"")
</f>
        <v>Joko Sari</v>
      </c>
      <c r="E563" s="6" t="str">
        <f t="array" ref="E563">IFERROR(INDEX(user_table!$E$2:$E3686,MATCH(C563,user_table!$B$2:$B3686,0)),"")
</f>
        <v>6, 1</v>
      </c>
      <c r="F563" s="6" t="str">
        <f t="shared" si="2"/>
        <v>1225262</v>
      </c>
      <c r="G563" s="8">
        <v>5.0</v>
      </c>
      <c r="H563" s="9">
        <v>44727.0</v>
      </c>
      <c r="I563" s="10" t="s">
        <v>566</v>
      </c>
    </row>
    <row r="564">
      <c r="A564" s="5" t="str">
        <f t="array" ref="A564">INDEX(event_table!$A$2:$A$69, RANDBETWEEN(1, COUNTA(event_table!$A$2:$A$69)))</f>
        <v>1313</v>
      </c>
      <c r="B564" s="6">
        <f t="array" ref="B564">IFERROR(INDEX(event_table!$E$1:$E3686,MATCH(A564,event_table!$A$1:$A3686,0)),"")
</f>
        <v>3</v>
      </c>
      <c r="C564" s="7">
        <f t="shared" si="1"/>
        <v>185</v>
      </c>
      <c r="D564" s="6" t="str">
        <f t="array" ref="D564">IFERROR(INDEX(user_table!$C$2:$C3686,MATCH(C564,user_table!$B$2:$B3686,0)),"")
</f>
        <v>Budi Wijaya</v>
      </c>
      <c r="E564" s="6" t="str">
        <f t="array" ref="E564">IFERROR(INDEX(user_table!$E$2:$E3686,MATCH(C564,user_table!$B$2:$B3686,0)),"")
</f>
        <v>6, 3</v>
      </c>
      <c r="F564" s="6" t="str">
        <f t="shared" si="2"/>
        <v>131353185</v>
      </c>
      <c r="G564" s="8">
        <v>5.0</v>
      </c>
      <c r="H564" s="9">
        <v>44719.0</v>
      </c>
      <c r="I564" s="10" t="s">
        <v>567</v>
      </c>
    </row>
    <row r="565">
      <c r="A565" s="5" t="str">
        <f t="array" ref="A565">INDEX(event_table!$A$2:$A$69, RANDBETWEEN(1, COUNTA(event_table!$A$2:$A$69)))</f>
        <v>118</v>
      </c>
      <c r="B565" s="6">
        <f t="array" ref="B565">IFERROR(INDEX(event_table!$E$1:$E3686,MATCH(A565,event_table!$A$1:$A3686,0)),"")
</f>
        <v>1</v>
      </c>
      <c r="C565" s="7">
        <f t="shared" si="1"/>
        <v>134</v>
      </c>
      <c r="D565" s="6" t="str">
        <f t="array" ref="D565">IFERROR(INDEX(user_table!$C$2:$C3686,MATCH(C565,user_table!$B$2:$B3686,0)),"")
</f>
        <v>Maya Septiani</v>
      </c>
      <c r="E565" s="6" t="str">
        <f t="array" ref="E565">IFERROR(INDEX(user_table!$E$2:$E3686,MATCH(C565,user_table!$B$2:$B3686,0)),"")
</f>
        <v>2, 4</v>
      </c>
      <c r="F565" s="6" t="str">
        <f t="shared" si="2"/>
        <v>11851134</v>
      </c>
      <c r="G565" s="8">
        <v>5.0</v>
      </c>
      <c r="H565" s="9">
        <v>44709.0</v>
      </c>
      <c r="I565" s="10" t="s">
        <v>568</v>
      </c>
    </row>
    <row r="566">
      <c r="A566" s="5" t="str">
        <f t="array" ref="A566">INDEX(event_table!$A$2:$A$69, RANDBETWEEN(1, COUNTA(event_table!$A$2:$A$69)))</f>
        <v>1427</v>
      </c>
      <c r="B566" s="6">
        <f t="array" ref="B566">IFERROR(INDEX(event_table!$E$1:$E3686,MATCH(A566,event_table!$A$1:$A3686,0)),"")
</f>
        <v>4</v>
      </c>
      <c r="C566" s="7">
        <f t="shared" si="1"/>
        <v>178</v>
      </c>
      <c r="D566" s="6" t="str">
        <f t="array" ref="D566">IFERROR(INDEX(user_table!$C$2:$C3686,MATCH(C566,user_table!$B$2:$B3686,0)),"")
</f>
        <v>Dewi Hidayat</v>
      </c>
      <c r="E566" s="6" t="str">
        <f t="array" ref="E566">IFERROR(INDEX(user_table!$E$2:$E3686,MATCH(C566,user_table!$B$2:$B3686,0)),"")
</f>
        <v>3, 2</v>
      </c>
      <c r="F566" s="6" t="str">
        <f t="shared" si="2"/>
        <v>142754178</v>
      </c>
      <c r="G566" s="8">
        <v>5.0</v>
      </c>
      <c r="H566" s="9">
        <v>44706.0</v>
      </c>
      <c r="I566" s="10" t="s">
        <v>569</v>
      </c>
    </row>
    <row r="567">
      <c r="A567" s="5" t="str">
        <f t="array" ref="A567">INDEX(event_table!$A$2:$A$69, RANDBETWEEN(1, COUNTA(event_table!$A$2:$A$69)))</f>
        <v>1530</v>
      </c>
      <c r="B567" s="6">
        <f t="array" ref="B567">IFERROR(INDEX(event_table!$E$1:$E3686,MATCH(A567,event_table!$A$1:$A3686,0)),"")
</f>
        <v>5</v>
      </c>
      <c r="C567" s="7">
        <f t="shared" si="1"/>
        <v>159</v>
      </c>
      <c r="D567" s="6" t="str">
        <f t="array" ref="D567">IFERROR(INDEX(user_table!$C$2:$C3686,MATCH(C567,user_table!$B$2:$B3686,0)),"")
</f>
        <v>Rudi Santoso</v>
      </c>
      <c r="E567" s="6" t="str">
        <f t="array" ref="E567">IFERROR(INDEX(user_table!$E$2:$E3686,MATCH(C567,user_table!$B$2:$B3686,0)),"")
</f>
        <v>5, 1</v>
      </c>
      <c r="F567" s="6" t="str">
        <f t="shared" si="2"/>
        <v>153055159</v>
      </c>
      <c r="G567" s="8">
        <v>5.0</v>
      </c>
      <c r="H567" s="9">
        <v>44703.0</v>
      </c>
      <c r="I567" s="10" t="s">
        <v>570</v>
      </c>
    </row>
    <row r="568">
      <c r="A568" s="5" t="str">
        <f t="array" ref="A568">INDEX(event_table!$A$2:$A$69, RANDBETWEEN(1, COUNTA(event_table!$A$2:$A$69)))</f>
        <v>1519</v>
      </c>
      <c r="B568" s="6">
        <f t="array" ref="B568">IFERROR(INDEX(event_table!$E$1:$E3686,MATCH(A568,event_table!$A$1:$A3686,0)),"")
</f>
        <v>5</v>
      </c>
      <c r="C568" s="7">
        <f t="shared" si="1"/>
        <v>45</v>
      </c>
      <c r="D568" s="6" t="str">
        <f t="array" ref="D568">IFERROR(INDEX(user_table!$C$2:$C3686,MATCH(C568,user_table!$B$2:$B3686,0)),"")
</f>
        <v>Siti Kurniawan</v>
      </c>
      <c r="E568" s="6" t="str">
        <f t="array" ref="E568">IFERROR(INDEX(user_table!$E$2:$E3686,MATCH(C568,user_table!$B$2:$B3686,0)),"")
</f>
        <v>1, 1</v>
      </c>
      <c r="F568" s="6" t="str">
        <f t="shared" si="2"/>
        <v>15195545</v>
      </c>
      <c r="G568" s="8">
        <v>5.0</v>
      </c>
      <c r="H568" s="9">
        <v>44699.0</v>
      </c>
      <c r="I568" s="10" t="s">
        <v>571</v>
      </c>
    </row>
    <row r="569">
      <c r="A569" s="5" t="str">
        <f t="array" ref="A569">INDEX(event_table!$A$2:$A$69, RANDBETWEEN(1, COUNTA(event_table!$A$2:$A$69)))</f>
        <v>119</v>
      </c>
      <c r="B569" s="6">
        <f t="array" ref="B569">IFERROR(INDEX(event_table!$E$1:$E3686,MATCH(A569,event_table!$A$1:$A3686,0)),"")
</f>
        <v>1</v>
      </c>
      <c r="C569" s="7">
        <f t="shared" si="1"/>
        <v>41</v>
      </c>
      <c r="D569" s="6" t="str">
        <f t="array" ref="D569">IFERROR(INDEX(user_table!$C$2:$C3686,MATCH(C569,user_table!$B$2:$B3686,0)),"")
</f>
        <v>Wahyu Susanto</v>
      </c>
      <c r="E569" s="6" t="str">
        <f t="array" ref="E569">IFERROR(INDEX(user_table!$E$2:$E3686,MATCH(C569,user_table!$B$2:$B3686,0)),"")
</f>
        <v>5, 4</v>
      </c>
      <c r="F569" s="6" t="str">
        <f t="shared" si="2"/>
        <v>1195141</v>
      </c>
      <c r="G569" s="8">
        <v>5.0</v>
      </c>
      <c r="H569" s="9">
        <v>45131.0</v>
      </c>
      <c r="I569" s="10" t="s">
        <v>572</v>
      </c>
    </row>
    <row r="570">
      <c r="A570" s="5" t="str">
        <f t="array" ref="A570">INDEX(event_table!$A$2:$A$69, RANDBETWEEN(1, COUNTA(event_table!$A$2:$A$69)))</f>
        <v>1528</v>
      </c>
      <c r="B570" s="6">
        <f t="array" ref="B570">IFERROR(INDEX(event_table!$E$1:$E3686,MATCH(A570,event_table!$A$1:$A3686,0)),"")
</f>
        <v>5</v>
      </c>
      <c r="C570" s="7">
        <f t="shared" si="1"/>
        <v>67</v>
      </c>
      <c r="D570" s="6" t="str">
        <f t="array" ref="D570">IFERROR(INDEX(user_table!$C$2:$C3686,MATCH(C570,user_table!$B$2:$B3686,0)),"")
</f>
        <v>Joko Pratama</v>
      </c>
      <c r="E570" s="6" t="str">
        <f t="array" ref="E570">IFERROR(INDEX(user_table!$E$2:$E3686,MATCH(C570,user_table!$B$2:$B3686,0)),"")
</f>
        <v>1, 3</v>
      </c>
      <c r="F570" s="6" t="str">
        <f t="shared" si="2"/>
        <v>15285567</v>
      </c>
      <c r="G570" s="8">
        <v>5.0</v>
      </c>
      <c r="H570" s="9">
        <v>45082.0</v>
      </c>
      <c r="I570" s="10" t="s">
        <v>573</v>
      </c>
    </row>
    <row r="571">
      <c r="A571" s="5" t="str">
        <f t="array" ref="A571">INDEX(event_table!$A$2:$A$69, RANDBETWEEN(1, COUNTA(event_table!$A$2:$A$69)))</f>
        <v>1553</v>
      </c>
      <c r="B571" s="6">
        <f t="array" ref="B571">IFERROR(INDEX(event_table!$E$1:$E3686,MATCH(A571,event_table!$A$1:$A3686,0)),"")
</f>
        <v>5</v>
      </c>
      <c r="C571" s="7">
        <f t="shared" si="1"/>
        <v>81</v>
      </c>
      <c r="D571" s="6" t="str">
        <f t="array" ref="D571">IFERROR(INDEX(user_table!$C$2:$C3686,MATCH(C571,user_table!$B$2:$B3686,0)),"")
</f>
        <v>Lina Rahayu</v>
      </c>
      <c r="E571" s="6" t="str">
        <f t="array" ref="E571">IFERROR(INDEX(user_table!$E$2:$E3686,MATCH(C571,user_table!$B$2:$B3686,0)),"")
</f>
        <v>2, 1</v>
      </c>
      <c r="F571" s="6" t="str">
        <f t="shared" si="2"/>
        <v>15535581</v>
      </c>
      <c r="G571" s="8">
        <v>5.0</v>
      </c>
      <c r="H571" s="9">
        <v>44871.0</v>
      </c>
      <c r="I571" s="10" t="s">
        <v>574</v>
      </c>
    </row>
    <row r="572">
      <c r="A572" s="5" t="str">
        <f t="array" ref="A572">INDEX(event_table!$A$2:$A$69, RANDBETWEEN(1, COUNTA(event_table!$A$2:$A$69)))</f>
        <v>118</v>
      </c>
      <c r="B572" s="6">
        <f t="array" ref="B572">IFERROR(INDEX(event_table!$E$1:$E3686,MATCH(A572,event_table!$A$1:$A3686,0)),"")
</f>
        <v>1</v>
      </c>
      <c r="C572" s="7">
        <f t="shared" si="1"/>
        <v>54</v>
      </c>
      <c r="D572" s="6" t="str">
        <f t="array" ref="D572">IFERROR(INDEX(user_table!$C$2:$C3686,MATCH(C572,user_table!$B$2:$B3686,0)),"")
</f>
        <v>Andi Kurniawan</v>
      </c>
      <c r="E572" s="6" t="str">
        <f t="array" ref="E572">IFERROR(INDEX(user_table!$E$2:$E3686,MATCH(C572,user_table!$B$2:$B3686,0)),"")
</f>
        <v>4, 4</v>
      </c>
      <c r="F572" s="6" t="str">
        <f t="shared" si="2"/>
        <v>1185154</v>
      </c>
      <c r="G572" s="8">
        <v>5.0</v>
      </c>
      <c r="H572" s="9">
        <v>44867.0</v>
      </c>
      <c r="I572" s="10" t="s">
        <v>575</v>
      </c>
    </row>
    <row r="573">
      <c r="A573" s="5" t="str">
        <f t="array" ref="A573">INDEX(event_table!$A$2:$A$69, RANDBETWEEN(1, COUNTA(event_table!$A$2:$A$69)))</f>
        <v>119</v>
      </c>
      <c r="B573" s="6">
        <f t="array" ref="B573">IFERROR(INDEX(event_table!$E$1:$E3686,MATCH(A573,event_table!$A$1:$A3686,0)),"")
</f>
        <v>1</v>
      </c>
      <c r="C573" s="7">
        <f t="shared" si="1"/>
        <v>146</v>
      </c>
      <c r="D573" s="6" t="str">
        <f t="array" ref="D573">IFERROR(INDEX(user_table!$C$2:$C3686,MATCH(C573,user_table!$B$2:$B3686,0)),"")
</f>
        <v>Rudi Susanto</v>
      </c>
      <c r="E573" s="6" t="str">
        <f t="array" ref="E573">IFERROR(INDEX(user_table!$E$2:$E3686,MATCH(C573,user_table!$B$2:$B3686,0)),"")
</f>
        <v>6, 1</v>
      </c>
      <c r="F573" s="6" t="str">
        <f t="shared" si="2"/>
        <v>11951146</v>
      </c>
      <c r="G573" s="8">
        <v>5.0</v>
      </c>
      <c r="H573" s="9">
        <v>44851.0</v>
      </c>
      <c r="I573" s="10" t="s">
        <v>362</v>
      </c>
    </row>
    <row r="574">
      <c r="A574" s="5" t="str">
        <f t="array" ref="A574">INDEX(event_table!$A$2:$A$69, RANDBETWEEN(1, COUNTA(event_table!$A$2:$A$69)))</f>
        <v>113</v>
      </c>
      <c r="B574" s="6">
        <f t="array" ref="B574">IFERROR(INDEX(event_table!$E$1:$E3686,MATCH(A574,event_table!$A$1:$A3686,0)),"")
</f>
        <v>1</v>
      </c>
      <c r="C574" s="7">
        <f t="shared" si="1"/>
        <v>124</v>
      </c>
      <c r="D574" s="6" t="str">
        <f t="array" ref="D574">IFERROR(INDEX(user_table!$C$2:$C3686,MATCH(C574,user_table!$B$2:$B3686,0)),"")
</f>
        <v>Fandi Setiawan</v>
      </c>
      <c r="E574" s="6" t="str">
        <f t="array" ref="E574">IFERROR(INDEX(user_table!$E$2:$E3686,MATCH(C574,user_table!$B$2:$B3686,0)),"")
</f>
        <v>5, 4</v>
      </c>
      <c r="F574" s="6" t="str">
        <f t="shared" si="2"/>
        <v>11351124</v>
      </c>
      <c r="G574" s="8">
        <v>5.0</v>
      </c>
      <c r="H574" s="9">
        <v>44844.0</v>
      </c>
      <c r="I574" s="10" t="s">
        <v>576</v>
      </c>
    </row>
    <row r="575">
      <c r="A575" s="5" t="str">
        <f t="array" ref="A575">INDEX(event_table!$A$2:$A$69, RANDBETWEEN(1, COUNTA(event_table!$A$2:$A$69)))</f>
        <v>3658</v>
      </c>
      <c r="B575" s="6">
        <f t="array" ref="B575">IFERROR(INDEX(event_table!$E$1:$E3686,MATCH(A575,event_table!$A$1:$A3686,0)),"")
</f>
        <v>6</v>
      </c>
      <c r="C575" s="7">
        <f t="shared" si="1"/>
        <v>190</v>
      </c>
      <c r="D575" s="6" t="str">
        <f t="array" ref="D575">IFERROR(INDEX(user_table!$C$2:$C3686,MATCH(C575,user_table!$B$2:$B3686,0)),"")
</f>
        <v>Fajar Santoso</v>
      </c>
      <c r="E575" s="6" t="str">
        <f t="array" ref="E575">IFERROR(INDEX(user_table!$E$2:$E3686,MATCH(C575,user_table!$B$2:$B3686,0)),"")
</f>
        <v>1, 3</v>
      </c>
      <c r="F575" s="6" t="str">
        <f t="shared" si="2"/>
        <v>365856190</v>
      </c>
      <c r="G575" s="8">
        <v>5.0</v>
      </c>
      <c r="H575" s="9">
        <v>44836.0</v>
      </c>
      <c r="I575" s="10" t="s">
        <v>577</v>
      </c>
    </row>
    <row r="576">
      <c r="A576" s="5" t="str">
        <f t="array" ref="A576">INDEX(event_table!$A$2:$A$69, RANDBETWEEN(1, COUNTA(event_table!$A$2:$A$69)))</f>
        <v>3454</v>
      </c>
      <c r="B576" s="6">
        <f t="array" ref="B576">IFERROR(INDEX(event_table!$E$1:$E3686,MATCH(A576,event_table!$A$1:$A3686,0)),"")
</f>
        <v>4</v>
      </c>
      <c r="C576" s="7">
        <f t="shared" si="1"/>
        <v>141</v>
      </c>
      <c r="D576" s="6" t="str">
        <f t="array" ref="D576">IFERROR(INDEX(user_table!$C$2:$C3686,MATCH(C576,user_table!$B$2:$B3686,0)),"")
</f>
        <v>Bambang Santoso</v>
      </c>
      <c r="E576" s="6" t="str">
        <f t="array" ref="E576">IFERROR(INDEX(user_table!$E$2:$E3686,MATCH(C576,user_table!$B$2:$B3686,0)),"")
</f>
        <v>5, 3</v>
      </c>
      <c r="F576" s="6" t="str">
        <f t="shared" si="2"/>
        <v>345454141</v>
      </c>
      <c r="G576" s="8">
        <v>5.0</v>
      </c>
      <c r="H576" s="9">
        <v>44711.0</v>
      </c>
      <c r="I576" s="10" t="s">
        <v>578</v>
      </c>
    </row>
    <row r="577">
      <c r="A577" s="5" t="str">
        <f t="array" ref="A577">INDEX(event_table!$A$2:$A$69, RANDBETWEEN(1, COUNTA(event_table!$A$2:$A$69)))</f>
        <v>1422</v>
      </c>
      <c r="B577" s="6">
        <f t="array" ref="B577">IFERROR(INDEX(event_table!$E$1:$E3686,MATCH(A577,event_table!$A$1:$A3686,0)),"")
</f>
        <v>4</v>
      </c>
      <c r="C577" s="7">
        <f t="shared" si="1"/>
        <v>149</v>
      </c>
      <c r="D577" s="6" t="str">
        <f t="array" ref="D577">IFERROR(INDEX(user_table!$C$2:$C3686,MATCH(C577,user_table!$B$2:$B3686,0)),"")
</f>
        <v>Dian Setiawan</v>
      </c>
      <c r="E577" s="6" t="str">
        <f t="array" ref="E577">IFERROR(INDEX(user_table!$E$2:$E3686,MATCH(C577,user_table!$B$2:$B3686,0)),"")
</f>
        <v>2, 4</v>
      </c>
      <c r="F577" s="6" t="str">
        <f t="shared" si="2"/>
        <v>142254149</v>
      </c>
      <c r="G577" s="8">
        <v>5.0</v>
      </c>
      <c r="H577" s="9">
        <v>44684.0</v>
      </c>
      <c r="I577" s="10" t="s">
        <v>579</v>
      </c>
    </row>
    <row r="578">
      <c r="A578" s="5" t="str">
        <f t="array" ref="A578">INDEX(event_table!$A$2:$A$69, RANDBETWEEN(1, COUNTA(event_table!$A$2:$A$69)))</f>
        <v>1640</v>
      </c>
      <c r="B578" s="6">
        <f t="array" ref="B578">IFERROR(INDEX(event_table!$E$1:$E3686,MATCH(A578,event_table!$A$1:$A3686,0)),"")
</f>
        <v>6</v>
      </c>
      <c r="C578" s="7">
        <f t="shared" si="1"/>
        <v>197</v>
      </c>
      <c r="D578" s="6" t="str">
        <f t="array" ref="D578">IFERROR(INDEX(user_table!$C$2:$C3686,MATCH(C578,user_table!$B$2:$B3686,0)),"")
</f>
        <v>Dian Sari</v>
      </c>
      <c r="E578" s="6" t="str">
        <f t="array" ref="E578">IFERROR(INDEX(user_table!$E$2:$E3686,MATCH(C578,user_table!$B$2:$B3686,0)),"")
</f>
        <v>6, 3</v>
      </c>
      <c r="F578" s="6" t="str">
        <f t="shared" si="2"/>
        <v>164046197</v>
      </c>
      <c r="G578" s="8">
        <v>4.0</v>
      </c>
      <c r="H578" s="9">
        <v>44758.0</v>
      </c>
      <c r="I578" s="10" t="s">
        <v>580</v>
      </c>
    </row>
    <row r="579">
      <c r="A579" s="5" t="str">
        <f t="array" ref="A579">INDEX(event_table!$A$2:$A$69, RANDBETWEEN(1, COUNTA(event_table!$A$2:$A$69)))</f>
        <v>1212</v>
      </c>
      <c r="B579" s="6">
        <f t="array" ref="B579">IFERROR(INDEX(event_table!$E$1:$E3686,MATCH(A579,event_table!$A$1:$A3686,0)),"")
</f>
        <v>2</v>
      </c>
      <c r="C579" s="7">
        <f t="shared" si="1"/>
        <v>184</v>
      </c>
      <c r="D579" s="6" t="str">
        <f t="array" ref="D579">IFERROR(INDEX(user_table!$C$2:$C3686,MATCH(C579,user_table!$B$2:$B3686,0)),"")
</f>
        <v>Dewi Hadiwijaya</v>
      </c>
      <c r="E579" s="6" t="str">
        <f t="array" ref="E579">IFERROR(INDEX(user_table!$E$2:$E3686,MATCH(C579,user_table!$B$2:$B3686,0)),"")
</f>
        <v>2, 1</v>
      </c>
      <c r="F579" s="6" t="str">
        <f t="shared" si="2"/>
        <v>121242184</v>
      </c>
      <c r="G579" s="8">
        <v>4.0</v>
      </c>
      <c r="H579" s="9">
        <v>44758.0</v>
      </c>
      <c r="I579" s="10" t="s">
        <v>581</v>
      </c>
    </row>
    <row r="580">
      <c r="A580" s="5" t="str">
        <f t="array" ref="A580">INDEX(event_table!$A$2:$A$69, RANDBETWEEN(1, COUNTA(event_table!$A$2:$A$69)))</f>
        <v>1531</v>
      </c>
      <c r="B580" s="6">
        <f t="array" ref="B580">IFERROR(INDEX(event_table!$E$1:$E3686,MATCH(A580,event_table!$A$1:$A3686,0)),"")
</f>
        <v>5</v>
      </c>
      <c r="C580" s="7">
        <f t="shared" si="1"/>
        <v>169</v>
      </c>
      <c r="D580" s="6" t="str">
        <f t="array" ref="D580">IFERROR(INDEX(user_table!$C$2:$C3686,MATCH(C580,user_table!$B$2:$B3686,0)),"")
</f>
        <v>Dian Saputra</v>
      </c>
      <c r="E580" s="6" t="str">
        <f t="array" ref="E580">IFERROR(INDEX(user_table!$E$2:$E3686,MATCH(C580,user_table!$B$2:$B3686,0)),"")
</f>
        <v>6, 1</v>
      </c>
      <c r="F580" s="6" t="str">
        <f t="shared" si="2"/>
        <v>153145169</v>
      </c>
      <c r="G580" s="8">
        <v>4.0</v>
      </c>
      <c r="H580" s="9">
        <v>44753.0</v>
      </c>
      <c r="I580" s="10" t="s">
        <v>582</v>
      </c>
    </row>
    <row r="581">
      <c r="A581" s="5" t="str">
        <f t="array" ref="A581">INDEX(event_table!$A$2:$A$69, RANDBETWEEN(1, COUNTA(event_table!$A$2:$A$69)))</f>
        <v>1110</v>
      </c>
      <c r="B581" s="6">
        <f t="array" ref="B581">IFERROR(INDEX(event_table!$E$1:$E3686,MATCH(A581,event_table!$A$1:$A3686,0)),"")
</f>
        <v>1</v>
      </c>
      <c r="C581" s="7">
        <f t="shared" si="1"/>
        <v>176</v>
      </c>
      <c r="D581" s="6" t="str">
        <f t="array" ref="D581">IFERROR(INDEX(user_table!$C$2:$C3686,MATCH(C581,user_table!$B$2:$B3686,0)),"")
</f>
        <v>Ani Hartono</v>
      </c>
      <c r="E581" s="6" t="str">
        <f t="array" ref="E581">IFERROR(INDEX(user_table!$E$2:$E3686,MATCH(C581,user_table!$B$2:$B3686,0)),"")
</f>
        <v>2, 3</v>
      </c>
      <c r="F581" s="6" t="str">
        <f t="shared" si="2"/>
        <v>111041176</v>
      </c>
      <c r="G581" s="8">
        <v>4.0</v>
      </c>
      <c r="H581" s="9">
        <v>44731.0</v>
      </c>
      <c r="I581" s="10" t="s">
        <v>583</v>
      </c>
    </row>
    <row r="582">
      <c r="A582" s="5" t="str">
        <f t="array" ref="A582">INDEX(event_table!$A$2:$A$69, RANDBETWEEN(1, COUNTA(event_table!$A$2:$A$69)))</f>
        <v>1420</v>
      </c>
      <c r="B582" s="6">
        <f t="array" ref="B582">IFERROR(INDEX(event_table!$E$1:$E3686,MATCH(A582,event_table!$A$1:$A3686,0)),"")
</f>
        <v>4</v>
      </c>
      <c r="C582" s="7">
        <f t="shared" si="1"/>
        <v>56</v>
      </c>
      <c r="D582" s="6" t="str">
        <f t="array" ref="D582">IFERROR(INDEX(user_table!$C$2:$C3686,MATCH(C582,user_table!$B$2:$B3686,0)),"")
</f>
        <v>Desi Putri</v>
      </c>
      <c r="E582" s="6" t="str">
        <f t="array" ref="E582">IFERROR(INDEX(user_table!$E$2:$E3686,MATCH(C582,user_table!$B$2:$B3686,0)),"")
</f>
        <v>1, 3</v>
      </c>
      <c r="F582" s="6" t="str">
        <f t="shared" si="2"/>
        <v>14204456</v>
      </c>
      <c r="G582" s="8">
        <v>4.0</v>
      </c>
      <c r="H582" s="9">
        <v>44726.0</v>
      </c>
      <c r="I582" s="10" t="s">
        <v>584</v>
      </c>
    </row>
    <row r="583">
      <c r="A583" s="5" t="str">
        <f t="array" ref="A583">INDEX(event_table!$A$2:$A$69, RANDBETWEEN(1, COUNTA(event_table!$A$2:$A$69)))</f>
        <v>113</v>
      </c>
      <c r="B583" s="6">
        <f t="array" ref="B583">IFERROR(INDEX(event_table!$E$1:$E3686,MATCH(A583,event_table!$A$1:$A3686,0)),"")
</f>
        <v>1</v>
      </c>
      <c r="C583" s="7">
        <f t="shared" si="1"/>
        <v>119</v>
      </c>
      <c r="D583" s="6" t="str">
        <f t="array" ref="D583">IFERROR(INDEX(user_table!$C$2:$C3686,MATCH(C583,user_table!$B$2:$B3686,0)),"")
</f>
        <v>Budi Rahayu</v>
      </c>
      <c r="E583" s="6" t="str">
        <f t="array" ref="E583">IFERROR(INDEX(user_table!$E$2:$E3686,MATCH(C583,user_table!$B$2:$B3686,0)),"")
</f>
        <v>1, 2</v>
      </c>
      <c r="F583" s="6" t="str">
        <f t="shared" si="2"/>
        <v>11341119</v>
      </c>
      <c r="G583" s="8">
        <v>4.0</v>
      </c>
      <c r="H583" s="9">
        <v>44697.0</v>
      </c>
      <c r="I583" s="10" t="s">
        <v>585</v>
      </c>
    </row>
    <row r="584">
      <c r="A584" s="5" t="str">
        <f t="array" ref="A584">INDEX(event_table!$A$2:$A$69, RANDBETWEEN(1, COUNTA(event_table!$A$2:$A$69)))</f>
        <v>1529</v>
      </c>
      <c r="B584" s="6">
        <f t="array" ref="B584">IFERROR(INDEX(event_table!$E$1:$E3686,MATCH(A584,event_table!$A$1:$A3686,0)),"")
</f>
        <v>5</v>
      </c>
      <c r="C584" s="7">
        <f t="shared" si="1"/>
        <v>180</v>
      </c>
      <c r="D584" s="6" t="str">
        <f t="array" ref="D584">IFERROR(INDEX(user_table!$C$2:$C3686,MATCH(C584,user_table!$B$2:$B3686,0)),"")
</f>
        <v>Andi Susanto</v>
      </c>
      <c r="E584" s="6" t="str">
        <f t="array" ref="E584">IFERROR(INDEX(user_table!$E$2:$E3686,MATCH(C584,user_table!$B$2:$B3686,0)),"")
</f>
        <v>6, 5</v>
      </c>
      <c r="F584" s="6" t="str">
        <f t="shared" si="2"/>
        <v>152945180</v>
      </c>
      <c r="G584" s="8">
        <v>4.0</v>
      </c>
      <c r="H584" s="9">
        <v>44689.0</v>
      </c>
      <c r="I584" s="10" t="s">
        <v>586</v>
      </c>
    </row>
    <row r="585">
      <c r="A585" s="5" t="str">
        <f t="array" ref="A585">INDEX(event_table!$A$2:$A$69, RANDBETWEEN(1, COUNTA(event_table!$A$2:$A$69)))</f>
        <v>1425</v>
      </c>
      <c r="B585" s="6">
        <f t="array" ref="B585">IFERROR(INDEX(event_table!$E$1:$E3686,MATCH(A585,event_table!$A$1:$A3686,0)),"")
</f>
        <v>4</v>
      </c>
      <c r="C585" s="7">
        <f t="shared" si="1"/>
        <v>46</v>
      </c>
      <c r="D585" s="6" t="str">
        <f t="array" ref="D585">IFERROR(INDEX(user_table!$C$2:$C3686,MATCH(C585,user_table!$B$2:$B3686,0)),"")
</f>
        <v>Dian Wijaya</v>
      </c>
      <c r="E585" s="6" t="str">
        <f t="array" ref="E585">IFERROR(INDEX(user_table!$E$2:$E3686,MATCH(C585,user_table!$B$2:$B3686,0)),"")
</f>
        <v>2, 2</v>
      </c>
      <c r="F585" s="6" t="str">
        <f t="shared" si="2"/>
        <v>14254446</v>
      </c>
      <c r="G585" s="8">
        <v>4.0</v>
      </c>
      <c r="H585" s="9">
        <v>45120.0</v>
      </c>
      <c r="I585" s="10" t="s">
        <v>587</v>
      </c>
    </row>
    <row r="586">
      <c r="A586" s="5" t="str">
        <f t="array" ref="A586">INDEX(event_table!$A$2:$A$69, RANDBETWEEN(1, COUNTA(event_table!$A$2:$A$69)))</f>
        <v>1528</v>
      </c>
      <c r="B586" s="6">
        <f t="array" ref="B586">IFERROR(INDEX(event_table!$E$1:$E3686,MATCH(A586,event_table!$A$1:$A3686,0)),"")
</f>
        <v>5</v>
      </c>
      <c r="C586" s="7">
        <f t="shared" si="1"/>
        <v>172</v>
      </c>
      <c r="D586" s="6" t="str">
        <f t="array" ref="D586">IFERROR(INDEX(user_table!$C$2:$C3686,MATCH(C586,user_table!$B$2:$B3686,0)),"")
</f>
        <v>Dian Kurniawan</v>
      </c>
      <c r="E586" s="6" t="str">
        <f t="array" ref="E586">IFERROR(INDEX(user_table!$E$2:$E3686,MATCH(C586,user_table!$B$2:$B3686,0)),"")
</f>
        <v>1, 2</v>
      </c>
      <c r="F586" s="6" t="str">
        <f t="shared" si="2"/>
        <v>152845172</v>
      </c>
      <c r="G586" s="8">
        <v>4.0</v>
      </c>
      <c r="H586" s="9">
        <v>45094.0</v>
      </c>
      <c r="I586" s="10" t="s">
        <v>588</v>
      </c>
    </row>
    <row r="587">
      <c r="A587" s="5" t="str">
        <f t="array" ref="A587">INDEX(event_table!$A$2:$A$69, RANDBETWEEN(1, COUNTA(event_table!$A$2:$A$69)))</f>
        <v>1333</v>
      </c>
      <c r="B587" s="6">
        <f t="array" ref="B587">IFERROR(INDEX(event_table!$E$1:$E3686,MATCH(A587,event_table!$A$1:$A3686,0)),"")
</f>
        <v>3</v>
      </c>
      <c r="C587" s="7">
        <f t="shared" si="1"/>
        <v>98</v>
      </c>
      <c r="D587" s="6" t="str">
        <f t="array" ref="D587">IFERROR(INDEX(user_table!$C$2:$C3686,MATCH(C587,user_table!$B$2:$B3686,0)),"")
</f>
        <v>Agus Hidayat</v>
      </c>
      <c r="E587" s="6" t="str">
        <f t="array" ref="E587">IFERROR(INDEX(user_table!$E$2:$E3686,MATCH(C587,user_table!$B$2:$B3686,0)),"")
</f>
        <v>3, 6</v>
      </c>
      <c r="F587" s="6" t="str">
        <f t="shared" si="2"/>
        <v>13334398</v>
      </c>
      <c r="G587" s="8">
        <v>4.0</v>
      </c>
      <c r="H587" s="9">
        <v>44745.0</v>
      </c>
      <c r="I587" s="10" t="s">
        <v>589</v>
      </c>
    </row>
    <row r="588">
      <c r="A588" s="5" t="str">
        <f t="array" ref="A588">INDEX(event_table!$A$2:$A$69, RANDBETWEEN(1, COUNTA(event_table!$A$2:$A$69)))</f>
        <v>1421</v>
      </c>
      <c r="B588" s="6">
        <f t="array" ref="B588">IFERROR(INDEX(event_table!$E$1:$E3686,MATCH(A588,event_table!$A$1:$A3686,0)),"")
</f>
        <v>4</v>
      </c>
      <c r="C588" s="7">
        <f t="shared" si="1"/>
        <v>30</v>
      </c>
      <c r="D588" s="6" t="str">
        <f t="array" ref="D588">IFERROR(INDEX(user_table!$C$2:$C3686,MATCH(C588,user_table!$B$2:$B3686,0)),"")
</f>
        <v>Fajar Kurniawan</v>
      </c>
      <c r="E588" s="6" t="str">
        <f t="array" ref="E588">IFERROR(INDEX(user_table!$E$2:$E3686,MATCH(C588,user_table!$B$2:$B3686,0)),"")
</f>
        <v>5, 3</v>
      </c>
      <c r="F588" s="6" t="str">
        <f t="shared" si="2"/>
        <v>14213430</v>
      </c>
      <c r="G588" s="8">
        <v>3.0</v>
      </c>
      <c r="H588" s="9">
        <v>44722.0</v>
      </c>
      <c r="I588" s="10" t="s">
        <v>590</v>
      </c>
    </row>
    <row r="589">
      <c r="A589" s="5" t="str">
        <f t="array" ref="A589">INDEX(event_table!$A$2:$A$69, RANDBETWEEN(1, COUNTA(event_table!$A$2:$A$69)))</f>
        <v>1212</v>
      </c>
      <c r="B589" s="6">
        <f t="array" ref="B589">IFERROR(INDEX(event_table!$E$1:$E3686,MATCH(A589,event_table!$A$1:$A3686,0)),"")
</f>
        <v>2</v>
      </c>
      <c r="C589" s="7">
        <f t="shared" si="1"/>
        <v>82</v>
      </c>
      <c r="D589" s="6" t="str">
        <f t="array" ref="D589">IFERROR(INDEX(user_table!$C$2:$C3686,MATCH(C589,user_table!$B$2:$B3686,0)),"")
</f>
        <v>Fandi Nurhayati</v>
      </c>
      <c r="E589" s="6" t="str">
        <f t="array" ref="E589">IFERROR(INDEX(user_table!$E$2:$E3686,MATCH(C589,user_table!$B$2:$B3686,0)),"")
</f>
        <v>3, 2</v>
      </c>
      <c r="F589" s="6" t="str">
        <f t="shared" si="2"/>
        <v>12123282</v>
      </c>
      <c r="G589" s="8">
        <v>3.0</v>
      </c>
      <c r="H589" s="9">
        <v>44709.0</v>
      </c>
      <c r="I589" s="10" t="s">
        <v>591</v>
      </c>
    </row>
    <row r="590">
      <c r="A590" s="5" t="str">
        <f t="array" ref="A590">INDEX(event_table!$A$2:$A$69, RANDBETWEEN(1, COUNTA(event_table!$A$2:$A$69)))</f>
        <v>1335</v>
      </c>
      <c r="B590" s="6">
        <f t="array" ref="B590">IFERROR(INDEX(event_table!$E$1:$E3686,MATCH(A590,event_table!$A$1:$A3686,0)),"")
</f>
        <v>3</v>
      </c>
      <c r="C590" s="7">
        <f t="shared" si="1"/>
        <v>180</v>
      </c>
      <c r="D590" s="6" t="str">
        <f t="array" ref="D590">IFERROR(INDEX(user_table!$C$2:$C3686,MATCH(C590,user_table!$B$2:$B3686,0)),"")
</f>
        <v>Andi Susanto</v>
      </c>
      <c r="E590" s="6" t="str">
        <f t="array" ref="E590">IFERROR(INDEX(user_table!$E$2:$E3686,MATCH(C590,user_table!$B$2:$B3686,0)),"")
</f>
        <v>6, 5</v>
      </c>
      <c r="F590" s="6" t="str">
        <f t="shared" si="2"/>
        <v>133533180</v>
      </c>
      <c r="G590" s="8">
        <v>3.0</v>
      </c>
      <c r="H590" s="9">
        <v>45183.0</v>
      </c>
      <c r="I590" s="10" t="s">
        <v>592</v>
      </c>
    </row>
    <row r="591">
      <c r="A591" s="5" t="str">
        <f t="array" ref="A591">INDEX(event_table!$A$2:$A$69, RANDBETWEEN(1, COUNTA(event_table!$A$2:$A$69)))</f>
        <v>1650</v>
      </c>
      <c r="B591" s="6">
        <f t="array" ref="B591">IFERROR(INDEX(event_table!$E$1:$E3686,MATCH(A591,event_table!$A$1:$A3686,0)),"")
</f>
        <v>6</v>
      </c>
      <c r="C591" s="7">
        <f t="shared" si="1"/>
        <v>50</v>
      </c>
      <c r="D591" s="6" t="str">
        <f t="array" ref="D591">IFERROR(INDEX(user_table!$C$2:$C3686,MATCH(C591,user_table!$B$2:$B3686,0)),"")
</f>
        <v>Hadi Santoso</v>
      </c>
      <c r="E591" s="6" t="str">
        <f t="array" ref="E591">IFERROR(INDEX(user_table!$E$2:$E3686,MATCH(C591,user_table!$B$2:$B3686,0)),"")
</f>
        <v>5, 4</v>
      </c>
      <c r="F591" s="6" t="str">
        <f t="shared" si="2"/>
        <v>16503650</v>
      </c>
      <c r="G591" s="8">
        <v>3.0</v>
      </c>
      <c r="H591" s="9">
        <v>45151.0</v>
      </c>
      <c r="I591" s="10" t="s">
        <v>593</v>
      </c>
    </row>
    <row r="592">
      <c r="A592" s="5" t="str">
        <f t="array" ref="A592">INDEX(event_table!$A$2:$A$69, RANDBETWEEN(1, COUNTA(event_table!$A$2:$A$69)))</f>
        <v>115</v>
      </c>
      <c r="B592" s="6">
        <f t="array" ref="B592">IFERROR(INDEX(event_table!$E$1:$E3686,MATCH(A592,event_table!$A$1:$A3686,0)),"")
</f>
        <v>1</v>
      </c>
      <c r="C592" s="7">
        <f t="shared" si="1"/>
        <v>42</v>
      </c>
      <c r="D592" s="6" t="str">
        <f t="array" ref="D592">IFERROR(INDEX(user_table!$C$2:$C3686,MATCH(C592,user_table!$B$2:$B3686,0)),"")
</f>
        <v>Desi Putri</v>
      </c>
      <c r="E592" s="6" t="str">
        <f t="array" ref="E592">IFERROR(INDEX(user_table!$E$2:$E3686,MATCH(C592,user_table!$B$2:$B3686,0)),"")
</f>
        <v>4, 6</v>
      </c>
      <c r="F592" s="6" t="str">
        <f t="shared" si="2"/>
        <v>1153142</v>
      </c>
      <c r="G592" s="8">
        <v>3.0</v>
      </c>
      <c r="H592" s="9">
        <v>45127.0</v>
      </c>
      <c r="I592" s="10" t="s">
        <v>594</v>
      </c>
    </row>
    <row r="593">
      <c r="A593" s="5" t="str">
        <f t="array" ref="A593">INDEX(event_table!$A$2:$A$69, RANDBETWEEN(1, COUNTA(event_table!$A$2:$A$69)))</f>
        <v>1424</v>
      </c>
      <c r="B593" s="6">
        <f t="array" ref="B593">IFERROR(INDEX(event_table!$E$1:$E3686,MATCH(A593,event_table!$A$1:$A3686,0)),"")
</f>
        <v>4</v>
      </c>
      <c r="C593" s="7">
        <f t="shared" si="1"/>
        <v>11</v>
      </c>
      <c r="D593" s="6" t="str">
        <f t="array" ref="D593">IFERROR(INDEX(user_table!$C$2:$C3686,MATCH(C593,user_table!$B$2:$B3686,0)),"")
</f>
        <v>Arif Sari</v>
      </c>
      <c r="E593" s="6" t="str">
        <f t="array" ref="E593">IFERROR(INDEX(user_table!$E$2:$E3686,MATCH(C593,user_table!$B$2:$B3686,0)),"")
</f>
        <v>5, 2</v>
      </c>
      <c r="F593" s="6" t="str">
        <f t="shared" si="2"/>
        <v>14243411</v>
      </c>
      <c r="G593" s="8">
        <v>3.0</v>
      </c>
      <c r="H593" s="9">
        <v>45111.0</v>
      </c>
      <c r="I593" s="10" t="s">
        <v>595</v>
      </c>
    </row>
    <row r="594">
      <c r="A594" s="5" t="str">
        <f t="array" ref="A594">INDEX(event_table!$A$2:$A$69, RANDBETWEEN(1, COUNTA(event_table!$A$2:$A$69)))</f>
        <v>1528</v>
      </c>
      <c r="B594" s="6">
        <f t="array" ref="B594">IFERROR(INDEX(event_table!$E$1:$E3686,MATCH(A594,event_table!$A$1:$A3686,0)),"")
</f>
        <v>5</v>
      </c>
      <c r="C594" s="7">
        <f t="shared" si="1"/>
        <v>91</v>
      </c>
      <c r="D594" s="6" t="str">
        <f t="array" ref="D594">IFERROR(INDEX(user_table!$C$2:$C3686,MATCH(C594,user_table!$B$2:$B3686,0)),"")
</f>
        <v>Bambang Wijaya</v>
      </c>
      <c r="E594" s="6" t="str">
        <f t="array" ref="E594">IFERROR(INDEX(user_table!$E$2:$E3686,MATCH(C594,user_table!$B$2:$B3686,0)),"")
</f>
        <v>1, 2</v>
      </c>
      <c r="F594" s="6" t="str">
        <f t="shared" si="2"/>
        <v>15282591</v>
      </c>
      <c r="G594" s="8">
        <v>2.0</v>
      </c>
      <c r="H594" s="9">
        <v>45076.0</v>
      </c>
      <c r="I594" s="10" t="s">
        <v>596</v>
      </c>
    </row>
    <row r="595">
      <c r="A595" s="5" t="str">
        <f t="array" ref="A595">INDEX(event_table!$A$2:$A$69, RANDBETWEEN(1, COUNTA(event_table!$A$2:$A$69)))</f>
        <v>3356</v>
      </c>
      <c r="B595" s="6">
        <f t="array" ref="B595">IFERROR(INDEX(event_table!$E$1:$E3686,MATCH(A595,event_table!$A$1:$A3686,0)),"")
</f>
        <v>3</v>
      </c>
      <c r="C595" s="7">
        <f t="shared" si="1"/>
        <v>170</v>
      </c>
      <c r="D595" s="6" t="str">
        <f t="array" ref="D595">IFERROR(INDEX(user_table!$C$2:$C3686,MATCH(C595,user_table!$B$2:$B3686,0)),"")
</f>
        <v>Andi Sari</v>
      </c>
      <c r="E595" s="6" t="str">
        <f t="array" ref="E595">IFERROR(INDEX(user_table!$E$2:$E3686,MATCH(C595,user_table!$B$2:$B3686,0)),"")
</f>
        <v>4, 6</v>
      </c>
      <c r="F595" s="6" t="str">
        <f t="shared" si="2"/>
        <v>335623170</v>
      </c>
      <c r="G595" s="8">
        <v>2.0</v>
      </c>
      <c r="H595" s="9">
        <v>44896.0</v>
      </c>
      <c r="I595" s="10" t="s">
        <v>597</v>
      </c>
    </row>
    <row r="596">
      <c r="A596" s="5" t="str">
        <f t="array" ref="A596">INDEX(event_table!$A$2:$A$69, RANDBETWEEN(1, COUNTA(event_table!$A$2:$A$69)))</f>
        <v>3168</v>
      </c>
      <c r="B596" s="6">
        <f t="array" ref="B596">IFERROR(INDEX(event_table!$E$1:$E3686,MATCH(A596,event_table!$A$1:$A3686,0)),"")
</f>
        <v>1</v>
      </c>
      <c r="C596" s="7">
        <f t="shared" si="1"/>
        <v>124</v>
      </c>
      <c r="D596" s="6" t="str">
        <f t="array" ref="D596">IFERROR(INDEX(user_table!$C$2:$C3686,MATCH(C596,user_table!$B$2:$B3686,0)),"")
</f>
        <v>Fandi Setiawan</v>
      </c>
      <c r="E596" s="6" t="str">
        <f t="array" ref="E596">IFERROR(INDEX(user_table!$E$2:$E3686,MATCH(C596,user_table!$B$2:$B3686,0)),"")
</f>
        <v>5, 4</v>
      </c>
      <c r="F596" s="6" t="str">
        <f t="shared" si="2"/>
        <v>316821124</v>
      </c>
      <c r="G596" s="8">
        <v>2.0</v>
      </c>
      <c r="H596" s="9">
        <v>44890.0</v>
      </c>
      <c r="I596" s="10" t="s">
        <v>598</v>
      </c>
    </row>
    <row r="597">
      <c r="A597" s="5" t="str">
        <f t="array" ref="A597">INDEX(event_table!$A$2:$A$69, RANDBETWEEN(1, COUNTA(event_table!$A$2:$A$69)))</f>
        <v>1421</v>
      </c>
      <c r="B597" s="6">
        <f t="array" ref="B597">IFERROR(INDEX(event_table!$E$1:$E3686,MATCH(A597,event_table!$A$1:$A3686,0)),"")
</f>
        <v>4</v>
      </c>
      <c r="C597" s="7">
        <f t="shared" si="1"/>
        <v>130</v>
      </c>
      <c r="D597" s="6" t="str">
        <f t="array" ref="D597">IFERROR(INDEX(user_table!$C$2:$C3686,MATCH(C597,user_table!$B$2:$B3686,0)),"")
</f>
        <v>Andi Putri</v>
      </c>
      <c r="E597" s="6" t="str">
        <f t="array" ref="E597">IFERROR(INDEX(user_table!$E$2:$E3686,MATCH(C597,user_table!$B$2:$B3686,0)),"")
</f>
        <v>2, 3</v>
      </c>
      <c r="F597" s="6" t="str">
        <f t="shared" si="2"/>
        <v>142124130</v>
      </c>
      <c r="G597" s="8">
        <v>2.0</v>
      </c>
      <c r="H597" s="9">
        <v>44725.0</v>
      </c>
      <c r="I597" s="10" t="s">
        <v>599</v>
      </c>
    </row>
    <row r="598">
      <c r="A598" s="5" t="str">
        <f t="array" ref="A598">INDEX(event_table!$A$2:$A$69, RANDBETWEEN(1, COUNTA(event_table!$A$2:$A$69)))</f>
        <v>1531</v>
      </c>
      <c r="B598" s="6">
        <f t="array" ref="B598">IFERROR(INDEX(event_table!$E$1:$E3686,MATCH(A598,event_table!$A$1:$A3686,0)),"")
</f>
        <v>5</v>
      </c>
      <c r="C598" s="7">
        <f t="shared" si="1"/>
        <v>166</v>
      </c>
      <c r="D598" s="6" t="str">
        <f t="array" ref="D598">IFERROR(INDEX(user_table!$C$2:$C3686,MATCH(C598,user_table!$B$2:$B3686,0)),"")
</f>
        <v>Fajar Nurhayati</v>
      </c>
      <c r="E598" s="6" t="str">
        <f t="array" ref="E598">IFERROR(INDEX(user_table!$E$2:$E3686,MATCH(C598,user_table!$B$2:$B3686,0)),"")
</f>
        <v>3, 5</v>
      </c>
      <c r="F598" s="6" t="str">
        <f t="shared" si="2"/>
        <v>153125166</v>
      </c>
      <c r="G598" s="8">
        <v>2.0</v>
      </c>
      <c r="H598" s="9">
        <v>44574.0</v>
      </c>
      <c r="I598" s="10" t="s">
        <v>600</v>
      </c>
    </row>
    <row r="599">
      <c r="A599" s="5" t="str">
        <f t="array" ref="A599">INDEX(event_table!$A$2:$A$69, RANDBETWEEN(1, COUNTA(event_table!$A$2:$A$69)))</f>
        <v>1212</v>
      </c>
      <c r="B599" s="6">
        <f t="array" ref="B599">IFERROR(INDEX(event_table!$E$1:$E3686,MATCH(A599,event_table!$A$1:$A3686,0)),"")
</f>
        <v>2</v>
      </c>
      <c r="C599" s="7">
        <f t="shared" si="1"/>
        <v>38</v>
      </c>
      <c r="D599" s="6" t="str">
        <f t="array" ref="D599">IFERROR(INDEX(user_table!$C$2:$C3686,MATCH(C599,user_table!$B$2:$B3686,0)),"")
</f>
        <v>Maya Utami</v>
      </c>
      <c r="E599" s="6" t="str">
        <f t="array" ref="E599">IFERROR(INDEX(user_table!$E$2:$E3686,MATCH(C599,user_table!$B$2:$B3686,0)),"")
</f>
        <v>2, 1</v>
      </c>
      <c r="F599" s="6" t="str">
        <f t="shared" si="2"/>
        <v>12122238</v>
      </c>
      <c r="G599" s="8">
        <v>2.0</v>
      </c>
      <c r="H599" s="9">
        <v>44543.0</v>
      </c>
      <c r="I599" s="10" t="s">
        <v>601</v>
      </c>
    </row>
    <row r="600">
      <c r="A600" s="5" t="str">
        <f t="array" ref="A600">INDEX(event_table!$A$2:$A$69, RANDBETWEEN(1, COUNTA(event_table!$A$2:$A$69)))</f>
        <v>1425</v>
      </c>
      <c r="B600" s="6">
        <f t="array" ref="B600">IFERROR(INDEX(event_table!$E$1:$E3686,MATCH(A600,event_table!$A$1:$A3686,0)),"")
</f>
        <v>4</v>
      </c>
      <c r="C600" s="7">
        <f t="shared" si="1"/>
        <v>90</v>
      </c>
      <c r="D600" s="6" t="str">
        <f t="array" ref="D600">IFERROR(INDEX(user_table!$C$2:$C3686,MATCH(C600,user_table!$B$2:$B3686,0)),"")
</f>
        <v>Dina Saputra</v>
      </c>
      <c r="E600" s="6" t="str">
        <f t="array" ref="E600">IFERROR(INDEX(user_table!$E$2:$E3686,MATCH(C600,user_table!$B$2:$B3686,0)),"")
</f>
        <v>1, 2</v>
      </c>
      <c r="F600" s="6" t="str">
        <f t="shared" si="2"/>
        <v>14252490</v>
      </c>
      <c r="G600" s="8">
        <v>2.0</v>
      </c>
      <c r="H600" s="9">
        <v>45158.0</v>
      </c>
      <c r="I600" s="10" t="s">
        <v>602</v>
      </c>
    </row>
    <row r="601">
      <c r="A601" s="5" t="str">
        <f t="array" ref="A601">INDEX(event_table!$A$2:$A$69, RANDBETWEEN(1, COUNTA(event_table!$A$2:$A$69)))</f>
        <v>1640</v>
      </c>
      <c r="B601" s="6">
        <f t="array" ref="B601">IFERROR(INDEX(event_table!$E$1:$E3686,MATCH(A601,event_table!$A$1:$A3686,0)),"")
</f>
        <v>6</v>
      </c>
      <c r="C601" s="7">
        <f t="shared" si="1"/>
        <v>76</v>
      </c>
      <c r="D601" s="6" t="str">
        <f t="array" ref="D601">IFERROR(INDEX(user_table!$C$2:$C3686,MATCH(C601,user_table!$B$2:$B3686,0)),"")
</f>
        <v>Sinta Hidayat</v>
      </c>
      <c r="E601" s="6" t="str">
        <f t="array" ref="E601">IFERROR(INDEX(user_table!$E$2:$E3686,MATCH(C601,user_table!$B$2:$B3686,0)),"")
</f>
        <v>3, 2</v>
      </c>
      <c r="F601" s="6" t="str">
        <f t="shared" si="2"/>
        <v>16402676</v>
      </c>
      <c r="G601" s="8">
        <v>2.0</v>
      </c>
      <c r="H601" s="9">
        <v>45133.0</v>
      </c>
      <c r="I601" s="10" t="s">
        <v>603</v>
      </c>
    </row>
    <row r="602">
      <c r="A602" s="5" t="str">
        <f t="array" ref="A602">INDEX(event_table!$A$2:$A$69, RANDBETWEEN(1, COUNTA(event_table!$A$2:$A$69)))</f>
        <v>1215</v>
      </c>
      <c r="B602" s="6">
        <f t="array" ref="B602">IFERROR(INDEX(event_table!$E$1:$E3686,MATCH(A602,event_table!$A$1:$A3686,0)),"")
</f>
        <v>2</v>
      </c>
      <c r="C602" s="7">
        <f t="shared" si="1"/>
        <v>50</v>
      </c>
      <c r="D602" s="6" t="str">
        <f t="array" ref="D602">IFERROR(INDEX(user_table!$C$2:$C3686,MATCH(C602,user_table!$B$2:$B3686,0)),"")
</f>
        <v>Hadi Santoso</v>
      </c>
      <c r="E602" s="6" t="str">
        <f t="array" ref="E602">IFERROR(INDEX(user_table!$E$2:$E3686,MATCH(C602,user_table!$B$2:$B3686,0)),"")
</f>
        <v>5, 4</v>
      </c>
      <c r="F602" s="6" t="str">
        <f t="shared" si="2"/>
        <v>12152250</v>
      </c>
      <c r="G602" s="8">
        <v>2.0</v>
      </c>
      <c r="H602" s="9">
        <v>45110.0</v>
      </c>
      <c r="I602" s="10" t="s">
        <v>604</v>
      </c>
    </row>
    <row r="603">
      <c r="A603" s="5" t="str">
        <f t="array" ref="A603">INDEX(event_table!$A$2:$A$69, RANDBETWEEN(1, COUNTA(event_table!$A$2:$A$69)))</f>
        <v>3166</v>
      </c>
      <c r="B603" s="6">
        <f t="array" ref="B603">IFERROR(INDEX(event_table!$E$1:$E3686,MATCH(A603,event_table!$A$1:$A3686,0)),"")
</f>
        <v>1</v>
      </c>
      <c r="C603" s="7">
        <f t="shared" si="1"/>
        <v>132</v>
      </c>
      <c r="D603" s="6" t="str">
        <f t="array" ref="D603">IFERROR(INDEX(user_table!$C$2:$C3686,MATCH(C603,user_table!$B$2:$B3686,0)),"")
</f>
        <v>Joko Hartono</v>
      </c>
      <c r="E603" s="6" t="str">
        <f t="array" ref="E603">IFERROR(INDEX(user_table!$E$2:$E3686,MATCH(C603,user_table!$B$2:$B3686,0)),"")
</f>
        <v>1, 3</v>
      </c>
      <c r="F603" s="6" t="str">
        <f t="shared" si="2"/>
        <v>316621132</v>
      </c>
      <c r="G603" s="8">
        <v>2.0</v>
      </c>
      <c r="H603" s="9">
        <v>45078.0</v>
      </c>
      <c r="I603" s="10" t="s">
        <v>605</v>
      </c>
    </row>
    <row r="604">
      <c r="A604" s="5" t="str">
        <f t="array" ref="A604">INDEX(event_table!$A$2:$A$69, RANDBETWEEN(1, COUNTA(event_table!$A$2:$A$69)))</f>
        <v>1212</v>
      </c>
      <c r="B604" s="6">
        <f t="array" ref="B604">IFERROR(INDEX(event_table!$E$1:$E3686,MATCH(A604,event_table!$A$1:$A3686,0)),"")
</f>
        <v>2</v>
      </c>
      <c r="C604" s="7">
        <f t="shared" si="1"/>
        <v>107</v>
      </c>
      <c r="D604" s="6" t="str">
        <f t="array" ref="D604">IFERROR(INDEX(user_table!$C$2:$C3686,MATCH(C604,user_table!$B$2:$B3686,0)),"")
</f>
        <v>Citra Rahayu</v>
      </c>
      <c r="E604" s="6" t="str">
        <f t="array" ref="E604">IFERROR(INDEX(user_table!$E$2:$E3686,MATCH(C604,user_table!$B$2:$B3686,0)),"")
</f>
        <v>1, 5</v>
      </c>
      <c r="F604" s="6" t="str">
        <f t="shared" si="2"/>
        <v>121222107</v>
      </c>
      <c r="G604" s="8">
        <v>2.0</v>
      </c>
      <c r="H604" s="9">
        <v>45044.0</v>
      </c>
      <c r="I604" s="10" t="s">
        <v>606</v>
      </c>
    </row>
    <row r="605">
      <c r="A605" s="5" t="str">
        <f t="array" ref="A605">INDEX(event_table!$A$2:$A$69, RANDBETWEEN(1, COUNTA(event_table!$A$2:$A$69)))</f>
        <v>1652</v>
      </c>
      <c r="B605" s="6">
        <f t="array" ref="B605">IFERROR(INDEX(event_table!$E$1:$E3686,MATCH(A605,event_table!$A$1:$A3686,0)),"")
</f>
        <v>6</v>
      </c>
      <c r="C605" s="7">
        <f t="shared" si="1"/>
        <v>102</v>
      </c>
      <c r="D605" s="6" t="str">
        <f t="array" ref="D605">IFERROR(INDEX(user_table!$C$2:$C3686,MATCH(C605,user_table!$B$2:$B3686,0)),"")
</f>
        <v>Lina Nurhayati</v>
      </c>
      <c r="E605" s="6" t="str">
        <f t="array" ref="E605">IFERROR(INDEX(user_table!$E$2:$E3686,MATCH(C605,user_table!$B$2:$B3686,0)),"")
</f>
        <v>1, 2</v>
      </c>
      <c r="F605" s="6" t="str">
        <f t="shared" si="2"/>
        <v>165216102</v>
      </c>
      <c r="G605" s="8">
        <v>1.0</v>
      </c>
      <c r="H605" s="9">
        <v>45205.0</v>
      </c>
      <c r="I605" s="10" t="s">
        <v>607</v>
      </c>
    </row>
    <row r="606">
      <c r="A606" s="5" t="str">
        <f t="array" ref="A606">INDEX(event_table!$A$2:$A$69, RANDBETWEEN(1, COUNTA(event_table!$A$2:$A$69)))</f>
        <v>1648</v>
      </c>
      <c r="B606" s="6">
        <f t="array" ref="B606">IFERROR(INDEX(event_table!$E$1:$E3686,MATCH(A606,event_table!$A$1:$A3686,0)),"")
</f>
        <v>6</v>
      </c>
      <c r="C606" s="7">
        <f t="shared" si="1"/>
        <v>75</v>
      </c>
      <c r="D606" s="6" t="str">
        <f t="array" ref="D606">IFERROR(INDEX(user_table!$C$2:$C3686,MATCH(C606,user_table!$B$2:$B3686,0)),"")
</f>
        <v>Citra Sari</v>
      </c>
      <c r="E606" s="6" t="str">
        <f t="array" ref="E606">IFERROR(INDEX(user_table!$E$2:$E3686,MATCH(C606,user_table!$B$2:$B3686,0)),"")
</f>
        <v>2, 5</v>
      </c>
      <c r="F606" s="6" t="str">
        <f t="shared" si="2"/>
        <v>16481675</v>
      </c>
      <c r="G606" s="8">
        <v>1.0</v>
      </c>
      <c r="H606" s="9">
        <v>45191.0</v>
      </c>
      <c r="I606" s="10" t="s">
        <v>608</v>
      </c>
    </row>
    <row r="607">
      <c r="A607" s="5" t="str">
        <f t="array" ref="A607">INDEX(event_table!$A$2:$A$69, RANDBETWEEN(1, COUNTA(event_table!$A$2:$A$69)))</f>
        <v>118</v>
      </c>
      <c r="B607" s="6">
        <f t="array" ref="B607">IFERROR(INDEX(event_table!$E$1:$E3686,MATCH(A607,event_table!$A$1:$A3686,0)),"")
</f>
        <v>1</v>
      </c>
      <c r="C607" s="7">
        <f t="shared" si="1"/>
        <v>166</v>
      </c>
      <c r="D607" s="6" t="str">
        <f t="array" ref="D607">IFERROR(INDEX(user_table!$C$2:$C3686,MATCH(C607,user_table!$B$2:$B3686,0)),"")
</f>
        <v>Fajar Nurhayati</v>
      </c>
      <c r="E607" s="6" t="str">
        <f t="array" ref="E607">IFERROR(INDEX(user_table!$E$2:$E3686,MATCH(C607,user_table!$B$2:$B3686,0)),"")
</f>
        <v>3, 5</v>
      </c>
      <c r="F607" s="6" t="str">
        <f t="shared" si="2"/>
        <v>11811166</v>
      </c>
      <c r="G607" s="8">
        <v>1.0</v>
      </c>
      <c r="H607" s="9">
        <v>45194.0</v>
      </c>
      <c r="I607" s="10" t="s">
        <v>609</v>
      </c>
    </row>
    <row r="608">
      <c r="A608" s="5" t="str">
        <f t="array" ref="A608">INDEX(event_table!$A$2:$A$69, RANDBETWEEN(1, COUNTA(event_table!$A$2:$A$69)))</f>
        <v>1637</v>
      </c>
      <c r="B608" s="6">
        <f t="array" ref="B608">IFERROR(INDEX(event_table!$E$1:$E3686,MATCH(A608,event_table!$A$1:$A3686,0)),"")
</f>
        <v>6</v>
      </c>
      <c r="C608" s="7">
        <f t="shared" si="1"/>
        <v>164</v>
      </c>
      <c r="D608" s="6" t="str">
        <f t="array" ref="D608">IFERROR(INDEX(user_table!$C$2:$C3686,MATCH(C608,user_table!$B$2:$B3686,0)),"")
</f>
        <v>Bambang Purnama</v>
      </c>
      <c r="E608" s="6" t="str">
        <f t="array" ref="E608">IFERROR(INDEX(user_table!$E$2:$E3686,MATCH(C608,user_table!$B$2:$B3686,0)),"")
</f>
        <v>2, 3</v>
      </c>
      <c r="F608" s="6" t="str">
        <f t="shared" si="2"/>
        <v>163716164</v>
      </c>
      <c r="G608" s="8">
        <v>1.0</v>
      </c>
      <c r="H608" s="9">
        <v>45184.0</v>
      </c>
      <c r="I608" s="10" t="s">
        <v>610</v>
      </c>
    </row>
    <row r="609">
      <c r="A609" s="5" t="str">
        <f t="array" ref="A609">INDEX(event_table!$A$2:$A$69, RANDBETWEEN(1, COUNTA(event_table!$A$2:$A$69)))</f>
        <v>1420</v>
      </c>
      <c r="B609" s="6">
        <f t="array" ref="B609">IFERROR(INDEX(event_table!$E$1:$E3686,MATCH(A609,event_table!$A$1:$A3686,0)),"")
</f>
        <v>4</v>
      </c>
      <c r="C609" s="7">
        <f t="shared" si="1"/>
        <v>55</v>
      </c>
      <c r="D609" s="6" t="str">
        <f t="array" ref="D609">IFERROR(INDEX(user_table!$C$2:$C3686,MATCH(C609,user_table!$B$2:$B3686,0)),"")
</f>
        <v>Joko Sari</v>
      </c>
      <c r="E609" s="6" t="str">
        <f t="array" ref="E609">IFERROR(INDEX(user_table!$E$2:$E3686,MATCH(C609,user_table!$B$2:$B3686,0)),"")
</f>
        <v>6, 6</v>
      </c>
      <c r="F609" s="6" t="str">
        <f t="shared" si="2"/>
        <v>14201455</v>
      </c>
      <c r="G609" s="8">
        <v>1.0</v>
      </c>
      <c r="H609" s="9">
        <v>45225.0</v>
      </c>
      <c r="I609" s="10" t="s">
        <v>611</v>
      </c>
    </row>
    <row r="610">
      <c r="A610" s="5" t="str">
        <f t="array" ref="A610">INDEX(event_table!$A$2:$A$69, RANDBETWEEN(1, COUNTA(event_table!$A$2:$A$69)))</f>
        <v>113</v>
      </c>
      <c r="B610" s="6">
        <f t="array" ref="B610">IFERROR(INDEX(event_table!$E$1:$E3686,MATCH(A610,event_table!$A$1:$A3686,0)),"")
</f>
        <v>1</v>
      </c>
      <c r="C610" s="7">
        <f t="shared" si="1"/>
        <v>89</v>
      </c>
      <c r="D610" s="6" t="str">
        <f t="array" ref="D610">IFERROR(INDEX(user_table!$C$2:$C3686,MATCH(C610,user_table!$B$2:$B3686,0)),"")
</f>
        <v>Hadi Wijaya</v>
      </c>
      <c r="E610" s="6" t="str">
        <f t="array" ref="E610">IFERROR(INDEX(user_table!$E$2:$E3686,MATCH(C610,user_table!$B$2:$B3686,0)),"")
</f>
        <v>6, 4</v>
      </c>
      <c r="F610" s="6" t="str">
        <f t="shared" si="2"/>
        <v>1131189</v>
      </c>
      <c r="G610" s="8">
        <v>1.0</v>
      </c>
      <c r="H610" s="9">
        <v>45186.0</v>
      </c>
      <c r="I610" s="10" t="s">
        <v>612</v>
      </c>
    </row>
    <row r="611">
      <c r="A611" s="5" t="str">
        <f t="array" ref="A611">INDEX(event_table!$A$2:$A$69, RANDBETWEEN(1, COUNTA(event_table!$A$2:$A$69)))</f>
        <v>3657</v>
      </c>
      <c r="B611" s="6">
        <f t="array" ref="B611">IFERROR(INDEX(event_table!$E$1:$E3686,MATCH(A611,event_table!$A$1:$A3686,0)),"")
</f>
        <v>6</v>
      </c>
      <c r="C611" s="7">
        <f t="shared" si="1"/>
        <v>110</v>
      </c>
      <c r="D611" s="6" t="str">
        <f t="array" ref="D611">IFERROR(INDEX(user_table!$C$2:$C3686,MATCH(C611,user_table!$B$2:$B3686,0)),"")
</f>
        <v>Fajar Wijaya</v>
      </c>
      <c r="E611" s="6" t="str">
        <f t="array" ref="E611">IFERROR(INDEX(user_table!$E$2:$E3686,MATCH(C611,user_table!$B$2:$B3686,0)),"")
</f>
        <v>3, 6</v>
      </c>
      <c r="F611" s="6" t="str">
        <f t="shared" si="2"/>
        <v>365716110</v>
      </c>
      <c r="G611" s="8">
        <v>1.0</v>
      </c>
      <c r="H611" s="9">
        <v>45201.0</v>
      </c>
      <c r="I611" s="10" t="s">
        <v>613</v>
      </c>
    </row>
    <row r="612">
      <c r="A612" s="5" t="str">
        <f t="array" ref="A612">INDEX(event_table!$A$2:$A$69, RANDBETWEEN(1, COUNTA(event_table!$A$2:$A$69)))</f>
        <v>116</v>
      </c>
      <c r="B612" s="6">
        <f t="array" ref="B612">IFERROR(INDEX(event_table!$E$1:$E3686,MATCH(A612,event_table!$A$1:$A3686,0)),"")
</f>
        <v>1</v>
      </c>
      <c r="C612" s="7">
        <f t="shared" si="1"/>
        <v>5</v>
      </c>
      <c r="D612" s="6" t="str">
        <f t="array" ref="D612">IFERROR(INDEX(user_table!$C$2:$C3686,MATCH(C612,user_table!$B$2:$B3686,0)),"")
</f>
        <v>Hadi Nurhayati</v>
      </c>
      <c r="E612" s="6" t="str">
        <f t="array" ref="E612">IFERROR(INDEX(user_table!$E$2:$E3686,MATCH(C612,user_table!$B$2:$B3686,0)),"")
</f>
        <v>1, 5</v>
      </c>
      <c r="F612" s="6" t="str">
        <f t="shared" si="2"/>
        <v>116115</v>
      </c>
      <c r="G612" s="8">
        <v>1.0</v>
      </c>
      <c r="H612" s="9">
        <v>45152.0</v>
      </c>
      <c r="I612" s="10" t="s">
        <v>614</v>
      </c>
    </row>
    <row r="613">
      <c r="A613" s="5" t="str">
        <f t="array" ref="A613">INDEX(event_table!$A$2:$A$69, RANDBETWEEN(1, COUNTA(event_table!$A$2:$A$69)))</f>
        <v>3163</v>
      </c>
      <c r="B613" s="6">
        <f t="array" ref="B613">IFERROR(INDEX(event_table!$E$1:$E3686,MATCH(A613,event_table!$A$1:$A3686,0)),"")
</f>
        <v>1</v>
      </c>
      <c r="C613" s="7">
        <f t="shared" si="1"/>
        <v>80</v>
      </c>
      <c r="D613" s="6" t="str">
        <f t="array" ref="D613">IFERROR(INDEX(user_table!$C$2:$C3686,MATCH(C613,user_table!$B$2:$B3686,0)),"")
</f>
        <v>Sinta Susanto</v>
      </c>
      <c r="E613" s="6" t="str">
        <f t="array" ref="E613">IFERROR(INDEX(user_table!$E$2:$E3686,MATCH(C613,user_table!$B$2:$B3686,0)),"")
</f>
        <v>5, 2</v>
      </c>
      <c r="F613" s="6" t="str">
        <f t="shared" si="2"/>
        <v>31631180</v>
      </c>
      <c r="G613" s="8">
        <v>1.0</v>
      </c>
      <c r="H613" s="9">
        <v>45144.0</v>
      </c>
      <c r="I613" s="10" t="s">
        <v>615</v>
      </c>
    </row>
    <row r="614">
      <c r="A614" s="5" t="str">
        <f t="array" ref="A614">INDEX(event_table!$A$2:$A$69, RANDBETWEEN(1, COUNTA(event_table!$A$2:$A$69)))</f>
        <v>1424</v>
      </c>
      <c r="B614" s="6">
        <f t="array" ref="B614">IFERROR(INDEX(event_table!$E$1:$E3686,MATCH(A614,event_table!$A$1:$A3686,0)),"")
</f>
        <v>4</v>
      </c>
      <c r="C614" s="7">
        <f t="shared" si="1"/>
        <v>106</v>
      </c>
      <c r="D614" s="6" t="str">
        <f t="array" ref="D614">IFERROR(INDEX(user_table!$C$2:$C3686,MATCH(C614,user_table!$B$2:$B3686,0)),"")
</f>
        <v>Budi Hidayat</v>
      </c>
      <c r="E614" s="6" t="str">
        <f t="array" ref="E614">IFERROR(INDEX(user_table!$E$2:$E3686,MATCH(C614,user_table!$B$2:$B3686,0)),"")
</f>
        <v>2, 6</v>
      </c>
      <c r="F614" s="6" t="str">
        <f t="shared" si="2"/>
        <v>142414106</v>
      </c>
      <c r="G614" s="8">
        <v>1.0</v>
      </c>
      <c r="H614" s="9">
        <v>45081.0</v>
      </c>
      <c r="I614" s="10" t="s">
        <v>616</v>
      </c>
    </row>
    <row r="615">
      <c r="A615" s="5" t="str">
        <f t="array" ref="A615">INDEX(event_table!$A$2:$A$69, RANDBETWEEN(1, COUNTA(event_table!$A$2:$A$69)))</f>
        <v>1418</v>
      </c>
      <c r="B615" s="6">
        <f t="array" ref="B615">IFERROR(INDEX(event_table!$E$1:$E3686,MATCH(A615,event_table!$A$1:$A3686,0)),"")
</f>
        <v>4</v>
      </c>
      <c r="C615" s="7">
        <f t="shared" si="1"/>
        <v>195</v>
      </c>
      <c r="D615" s="6" t="str">
        <f t="array" ref="D615">IFERROR(INDEX(user_table!$C$2:$C3686,MATCH(C615,user_table!$B$2:$B3686,0)),"")
</f>
        <v>Rudi Purnama</v>
      </c>
      <c r="E615" s="6" t="str">
        <f t="array" ref="E615">IFERROR(INDEX(user_table!$E$2:$E3686,MATCH(C615,user_table!$B$2:$B3686,0)),"")
</f>
        <v>2, 4</v>
      </c>
      <c r="F615" s="6" t="str">
        <f t="shared" si="2"/>
        <v>141814195</v>
      </c>
      <c r="G615" s="8">
        <v>1.0</v>
      </c>
      <c r="H615" s="9">
        <v>45043.0</v>
      </c>
      <c r="I615" s="10" t="s">
        <v>617</v>
      </c>
    </row>
    <row r="616">
      <c r="A616" s="5" t="str">
        <f t="array" ref="A616">INDEX(event_table!$A$2:$A$69, RANDBETWEEN(1, COUNTA(event_table!$A$2:$A$69)))</f>
        <v>1212</v>
      </c>
      <c r="B616" s="6">
        <f t="array" ref="B616">IFERROR(INDEX(event_table!$E$1:$E3686,MATCH(A616,event_table!$A$1:$A3686,0)),"")
</f>
        <v>2</v>
      </c>
      <c r="C616" s="7">
        <f t="shared" si="1"/>
        <v>166</v>
      </c>
      <c r="D616" s="6" t="str">
        <f t="array" ref="D616">IFERROR(INDEX(user_table!$C$2:$C3686,MATCH(C616,user_table!$B$2:$B3686,0)),"")
</f>
        <v>Fajar Nurhayati</v>
      </c>
      <c r="E616" s="6" t="str">
        <f t="array" ref="E616">IFERROR(INDEX(user_table!$E$2:$E3686,MATCH(C616,user_table!$B$2:$B3686,0)),"")
</f>
        <v>3, 5</v>
      </c>
      <c r="F616" s="6" t="str">
        <f t="shared" si="2"/>
        <v>121212166</v>
      </c>
      <c r="G616" s="8">
        <v>1.0</v>
      </c>
      <c r="H616" s="9">
        <v>45041.0</v>
      </c>
      <c r="I616" s="10" t="s">
        <v>618</v>
      </c>
    </row>
    <row r="617">
      <c r="A617" s="5" t="str">
        <f t="array" ref="A617">INDEX(event_table!$A$2:$A$69, RANDBETWEEN(1, COUNTA(event_table!$A$2:$A$69)))</f>
        <v>1418</v>
      </c>
      <c r="B617" s="6">
        <f t="array" ref="B617">IFERROR(INDEX(event_table!$E$1:$E3686,MATCH(A617,event_table!$A$1:$A3686,0)),"")
</f>
        <v>4</v>
      </c>
      <c r="C617" s="7">
        <f t="shared" si="1"/>
        <v>127</v>
      </c>
      <c r="D617" s="6" t="str">
        <f t="array" ref="D617">IFERROR(INDEX(user_table!$C$2:$C3686,MATCH(C617,user_table!$B$2:$B3686,0)),"")
</f>
        <v>Sinta Wijaya</v>
      </c>
      <c r="E617" s="6" t="str">
        <f t="array" ref="E617">IFERROR(INDEX(user_table!$E$2:$E3686,MATCH(C617,user_table!$B$2:$B3686,0)),"")
</f>
        <v>6, 4</v>
      </c>
      <c r="F617" s="6" t="str">
        <f t="shared" si="2"/>
        <v>141854127</v>
      </c>
      <c r="G617" s="8">
        <v>5.0</v>
      </c>
      <c r="H617" s="9">
        <v>44735.0</v>
      </c>
      <c r="I617" s="10" t="s">
        <v>619</v>
      </c>
    </row>
    <row r="618">
      <c r="A618" s="5" t="str">
        <f t="array" ref="A618">INDEX(event_table!$A$2:$A$69, RANDBETWEEN(1, COUNTA(event_table!$A$2:$A$69)))</f>
        <v>1640</v>
      </c>
      <c r="B618" s="6">
        <f t="array" ref="B618">IFERROR(INDEX(event_table!$E$1:$E3686,MATCH(A618,event_table!$A$1:$A3686,0)),"")
</f>
        <v>6</v>
      </c>
      <c r="C618" s="7">
        <f t="shared" si="1"/>
        <v>160</v>
      </c>
      <c r="D618" s="6" t="str">
        <f t="array" ref="D618">IFERROR(INDEX(user_table!$C$2:$C3686,MATCH(C618,user_table!$B$2:$B3686,0)),"")
</f>
        <v>Hadi Hadiwijaya</v>
      </c>
      <c r="E618" s="6" t="str">
        <f t="array" ref="E618">IFERROR(INDEX(user_table!$E$2:$E3686,MATCH(C618,user_table!$B$2:$B3686,0)),"")
</f>
        <v>2, 4</v>
      </c>
      <c r="F618" s="6" t="str">
        <f t="shared" si="2"/>
        <v>164056160</v>
      </c>
      <c r="G618" s="8">
        <v>5.0</v>
      </c>
      <c r="H618" s="9">
        <v>44716.0</v>
      </c>
      <c r="I618" s="10" t="s">
        <v>620</v>
      </c>
    </row>
    <row r="619">
      <c r="A619" s="5" t="str">
        <f t="array" ref="A619">INDEX(event_table!$A$2:$A$69, RANDBETWEEN(1, COUNTA(event_table!$A$2:$A$69)))</f>
        <v>1641</v>
      </c>
      <c r="B619" s="6">
        <f t="array" ref="B619">IFERROR(INDEX(event_table!$E$1:$E3686,MATCH(A619,event_table!$A$1:$A3686,0)),"")
</f>
        <v>6</v>
      </c>
      <c r="C619" s="7">
        <f t="shared" si="1"/>
        <v>117</v>
      </c>
      <c r="D619" s="6" t="str">
        <f t="array" ref="D619">IFERROR(INDEX(user_table!$C$2:$C3686,MATCH(C619,user_table!$B$2:$B3686,0)),"")
</f>
        <v>Wahyu Sari</v>
      </c>
      <c r="E619" s="6" t="str">
        <f t="array" ref="E619">IFERROR(INDEX(user_table!$E$2:$E3686,MATCH(C619,user_table!$B$2:$B3686,0)),"")
</f>
        <v>4, 2</v>
      </c>
      <c r="F619" s="6" t="str">
        <f t="shared" si="2"/>
        <v>164156117</v>
      </c>
      <c r="G619" s="8">
        <v>5.0</v>
      </c>
      <c r="H619" s="9">
        <v>44716.0</v>
      </c>
      <c r="I619" s="10" t="s">
        <v>621</v>
      </c>
    </row>
    <row r="620">
      <c r="A620" s="5" t="str">
        <f t="array" ref="A620">INDEX(event_table!$A$2:$A$69, RANDBETWEEN(1, COUNTA(event_table!$A$2:$A$69)))</f>
        <v>1424</v>
      </c>
      <c r="B620" s="6">
        <f t="array" ref="B620">IFERROR(INDEX(event_table!$E$1:$E3686,MATCH(A620,event_table!$A$1:$A3686,0)),"")
</f>
        <v>4</v>
      </c>
      <c r="C620" s="7">
        <f t="shared" si="1"/>
        <v>124</v>
      </c>
      <c r="D620" s="6" t="str">
        <f t="array" ref="D620">IFERROR(INDEX(user_table!$C$2:$C3686,MATCH(C620,user_table!$B$2:$B3686,0)),"")
</f>
        <v>Fandi Setiawan</v>
      </c>
      <c r="E620" s="6" t="str">
        <f t="array" ref="E620">IFERROR(INDEX(user_table!$E$2:$E3686,MATCH(C620,user_table!$B$2:$B3686,0)),"")
</f>
        <v>5, 4</v>
      </c>
      <c r="F620" s="6" t="str">
        <f t="shared" si="2"/>
        <v>142454124</v>
      </c>
      <c r="G620" s="8">
        <v>5.0</v>
      </c>
      <c r="H620" s="9">
        <v>44703.0</v>
      </c>
      <c r="I620" s="10" t="s">
        <v>622</v>
      </c>
    </row>
    <row r="621">
      <c r="A621" s="5" t="str">
        <f t="array" ref="A621">INDEX(event_table!$A$2:$A$69, RANDBETWEEN(1, COUNTA(event_table!$A$2:$A$69)))</f>
        <v>114</v>
      </c>
      <c r="B621" s="6">
        <f t="array" ref="B621">IFERROR(INDEX(event_table!$E$1:$E3686,MATCH(A621,event_table!$A$1:$A3686,0)),"")
</f>
        <v>1</v>
      </c>
      <c r="C621" s="7">
        <f t="shared" si="1"/>
        <v>62</v>
      </c>
      <c r="D621" s="6" t="str">
        <f t="array" ref="D621">IFERROR(INDEX(user_table!$C$2:$C3686,MATCH(C621,user_table!$B$2:$B3686,0)),"")
</f>
        <v>Joko Sari</v>
      </c>
      <c r="E621" s="6" t="str">
        <f t="array" ref="E621">IFERROR(INDEX(user_table!$E$2:$E3686,MATCH(C621,user_table!$B$2:$B3686,0)),"")
</f>
        <v>6, 1</v>
      </c>
      <c r="F621" s="6" t="str">
        <f t="shared" si="2"/>
        <v>1145162</v>
      </c>
      <c r="G621" s="8">
        <v>5.0</v>
      </c>
      <c r="H621" s="9">
        <v>44695.0</v>
      </c>
      <c r="I621" s="10" t="s">
        <v>623</v>
      </c>
    </row>
    <row r="622">
      <c r="A622" s="5" t="str">
        <f t="array" ref="A622">INDEX(event_table!$A$2:$A$69, RANDBETWEEN(1, COUNTA(event_table!$A$2:$A$69)))</f>
        <v>3455</v>
      </c>
      <c r="B622" s="6">
        <f t="array" ref="B622">IFERROR(INDEX(event_table!$E$1:$E3686,MATCH(A622,event_table!$A$1:$A3686,0)),"")
</f>
        <v>4</v>
      </c>
      <c r="C622" s="7">
        <f t="shared" si="1"/>
        <v>53</v>
      </c>
      <c r="D622" s="6" t="str">
        <f t="array" ref="D622">IFERROR(INDEX(user_table!$C$2:$C3686,MATCH(C622,user_table!$B$2:$B3686,0)),"")
</f>
        <v>Wahyu Santoso</v>
      </c>
      <c r="E622" s="6" t="str">
        <f t="array" ref="E622">IFERROR(INDEX(user_table!$E$2:$E3686,MATCH(C622,user_table!$B$2:$B3686,0)),"")
</f>
        <v>4, 5</v>
      </c>
      <c r="F622" s="6" t="str">
        <f t="shared" si="2"/>
        <v>34555453</v>
      </c>
      <c r="G622" s="8">
        <v>5.0</v>
      </c>
      <c r="H622" s="9">
        <v>44689.0</v>
      </c>
      <c r="I622" s="10" t="s">
        <v>624</v>
      </c>
    </row>
    <row r="623">
      <c r="A623" s="5" t="str">
        <f t="array" ref="A623">INDEX(event_table!$A$2:$A$69, RANDBETWEEN(1, COUNTA(event_table!$A$2:$A$69)))</f>
        <v>1640</v>
      </c>
      <c r="B623" s="6">
        <f t="array" ref="B623">IFERROR(INDEX(event_table!$E$1:$E3686,MATCH(A623,event_table!$A$1:$A3686,0)),"")
</f>
        <v>6</v>
      </c>
      <c r="C623" s="7">
        <f t="shared" si="1"/>
        <v>28</v>
      </c>
      <c r="D623" s="6" t="str">
        <f t="array" ref="D623">IFERROR(INDEX(user_table!$C$2:$C3686,MATCH(C623,user_table!$B$2:$B3686,0)),"")
</f>
        <v>Fandi Putri</v>
      </c>
      <c r="E623" s="6" t="str">
        <f t="array" ref="E623">IFERROR(INDEX(user_table!$E$2:$E3686,MATCH(C623,user_table!$B$2:$B3686,0)),"")
</f>
        <v>5, 1</v>
      </c>
      <c r="F623" s="6" t="str">
        <f t="shared" si="2"/>
        <v>16405628</v>
      </c>
      <c r="G623" s="8">
        <v>5.0</v>
      </c>
      <c r="H623" s="9">
        <v>44686.0</v>
      </c>
      <c r="I623" s="10" t="s">
        <v>625</v>
      </c>
    </row>
    <row r="624">
      <c r="A624" s="5" t="str">
        <f t="array" ref="A624">INDEX(event_table!$A$2:$A$69, RANDBETWEEN(1, COUNTA(event_table!$A$2:$A$69)))</f>
        <v>118</v>
      </c>
      <c r="B624" s="6">
        <f t="array" ref="B624">IFERROR(INDEX(event_table!$E$1:$E3686,MATCH(A624,event_table!$A$1:$A3686,0)),"")
</f>
        <v>1</v>
      </c>
      <c r="C624" s="7">
        <f t="shared" si="1"/>
        <v>164</v>
      </c>
      <c r="D624" s="6" t="str">
        <f t="array" ref="D624">IFERROR(INDEX(user_table!$C$2:$C3686,MATCH(C624,user_table!$B$2:$B3686,0)),"")
</f>
        <v>Bambang Purnama</v>
      </c>
      <c r="E624" s="6" t="str">
        <f t="array" ref="E624">IFERROR(INDEX(user_table!$E$2:$E3686,MATCH(C624,user_table!$B$2:$B3686,0)),"")
</f>
        <v>2, 3</v>
      </c>
      <c r="F624" s="6" t="str">
        <f t="shared" si="2"/>
        <v>11851164</v>
      </c>
      <c r="G624" s="8">
        <v>5.0</v>
      </c>
      <c r="H624" s="9">
        <v>44686.0</v>
      </c>
      <c r="I624" s="10" t="s">
        <v>626</v>
      </c>
    </row>
    <row r="625">
      <c r="A625" s="5" t="str">
        <f t="array" ref="A625">INDEX(event_table!$A$2:$A$69, RANDBETWEEN(1, COUNTA(event_table!$A$2:$A$69)))</f>
        <v>1334</v>
      </c>
      <c r="B625" s="6">
        <f t="array" ref="B625">IFERROR(INDEX(event_table!$E$1:$E3686,MATCH(A625,event_table!$A$1:$A3686,0)),"")
</f>
        <v>3</v>
      </c>
      <c r="C625" s="7">
        <f t="shared" si="1"/>
        <v>135</v>
      </c>
      <c r="D625" s="6" t="str">
        <f t="array" ref="D625">IFERROR(INDEX(user_table!$C$2:$C3686,MATCH(C625,user_table!$B$2:$B3686,0)),"")
</f>
        <v>Sinta Hermawan</v>
      </c>
      <c r="E625" s="6" t="str">
        <f t="array" ref="E625">IFERROR(INDEX(user_table!$E$2:$E3686,MATCH(C625,user_table!$B$2:$B3686,0)),"")
</f>
        <v>1, 5</v>
      </c>
      <c r="F625" s="6" t="str">
        <f t="shared" si="2"/>
        <v>133453135</v>
      </c>
      <c r="G625" s="8">
        <v>5.0</v>
      </c>
      <c r="H625" s="9">
        <v>45153.0</v>
      </c>
      <c r="I625" s="10" t="s">
        <v>627</v>
      </c>
    </row>
    <row r="626">
      <c r="A626" s="5" t="str">
        <f t="array" ref="A626">INDEX(event_table!$A$2:$A$69, RANDBETWEEN(1, COUNTA(event_table!$A$2:$A$69)))</f>
        <v>1648</v>
      </c>
      <c r="B626" s="6">
        <f t="array" ref="B626">IFERROR(INDEX(event_table!$E$1:$E3686,MATCH(A626,event_table!$A$1:$A3686,0)),"")
</f>
        <v>6</v>
      </c>
      <c r="C626" s="7">
        <f t="shared" si="1"/>
        <v>17</v>
      </c>
      <c r="D626" s="6" t="str">
        <f t="array" ref="D626">IFERROR(INDEX(user_table!$C$2:$C3686,MATCH(C626,user_table!$B$2:$B3686,0)),"")
</f>
        <v>Fajar Wijaya</v>
      </c>
      <c r="E626" s="6" t="str">
        <f t="array" ref="E626">IFERROR(INDEX(user_table!$E$2:$E3686,MATCH(C626,user_table!$B$2:$B3686,0)),"")
</f>
        <v>1, 1</v>
      </c>
      <c r="F626" s="6" t="str">
        <f t="shared" si="2"/>
        <v>16485617</v>
      </c>
      <c r="G626" s="8">
        <v>5.0</v>
      </c>
      <c r="H626" s="9">
        <v>45124.0</v>
      </c>
      <c r="I626" s="10" t="s">
        <v>628</v>
      </c>
    </row>
    <row r="627">
      <c r="A627" s="5" t="str">
        <f t="array" ref="A627">INDEX(event_table!$A$2:$A$69, RANDBETWEEN(1, COUNTA(event_table!$A$2:$A$69)))</f>
        <v>1642</v>
      </c>
      <c r="B627" s="6">
        <f t="array" ref="B627">IFERROR(INDEX(event_table!$E$1:$E3686,MATCH(A627,event_table!$A$1:$A3686,0)),"")
</f>
        <v>6</v>
      </c>
      <c r="C627" s="7">
        <f t="shared" si="1"/>
        <v>128</v>
      </c>
      <c r="D627" s="6" t="str">
        <f t="array" ref="D627">IFERROR(INDEX(user_table!$C$2:$C3686,MATCH(C627,user_table!$B$2:$B3686,0)),"")
</f>
        <v>Bambang Utami</v>
      </c>
      <c r="E627" s="6" t="str">
        <f t="array" ref="E627">IFERROR(INDEX(user_table!$E$2:$E3686,MATCH(C627,user_table!$B$2:$B3686,0)),"")
</f>
        <v>3, 6</v>
      </c>
      <c r="F627" s="6" t="str">
        <f t="shared" si="2"/>
        <v>164256128</v>
      </c>
      <c r="G627" s="8">
        <v>5.0</v>
      </c>
      <c r="H627" s="9">
        <v>45096.0</v>
      </c>
      <c r="I627" s="10" t="s">
        <v>629</v>
      </c>
    </row>
    <row r="628">
      <c r="A628" s="5" t="str">
        <f t="array" ref="A628">INDEX(event_table!$A$2:$A$69, RANDBETWEEN(1, COUNTA(event_table!$A$2:$A$69)))</f>
        <v>1636</v>
      </c>
      <c r="B628" s="6">
        <f t="array" ref="B628">IFERROR(INDEX(event_table!$E$1:$E3686,MATCH(A628,event_table!$A$1:$A3686,0)),"")
</f>
        <v>6</v>
      </c>
      <c r="C628" s="7">
        <f t="shared" si="1"/>
        <v>173</v>
      </c>
      <c r="D628" s="6" t="str">
        <f t="array" ref="D628">IFERROR(INDEX(user_table!$C$2:$C3686,MATCH(C628,user_table!$B$2:$B3686,0)),"")
</f>
        <v>Fajar Putri</v>
      </c>
      <c r="E628" s="6" t="str">
        <f t="array" ref="E628">IFERROR(INDEX(user_table!$E$2:$E3686,MATCH(C628,user_table!$B$2:$B3686,0)),"")
</f>
        <v>2, 6</v>
      </c>
      <c r="F628" s="6" t="str">
        <f t="shared" si="2"/>
        <v>163656173</v>
      </c>
      <c r="G628" s="8">
        <v>5.0</v>
      </c>
      <c r="H628" s="9">
        <v>45070.0</v>
      </c>
      <c r="I628" s="10" t="s">
        <v>630</v>
      </c>
    </row>
    <row r="629">
      <c r="A629" s="5" t="str">
        <f t="array" ref="A629">INDEX(event_table!$A$2:$A$69, RANDBETWEEN(1, COUNTA(event_table!$A$2:$A$69)))</f>
        <v>1417</v>
      </c>
      <c r="B629" s="6">
        <f t="array" ref="B629">IFERROR(INDEX(event_table!$E$1:$E3686,MATCH(A629,event_table!$A$1:$A3686,0)),"")
</f>
        <v>4</v>
      </c>
      <c r="C629" s="7">
        <f t="shared" si="1"/>
        <v>14</v>
      </c>
      <c r="D629" s="6" t="str">
        <f t="array" ref="D629">IFERROR(INDEX(user_table!$C$2:$C3686,MATCH(C629,user_table!$B$2:$B3686,0)),"")
</f>
        <v>Ani Purnama</v>
      </c>
      <c r="E629" s="6" t="str">
        <f t="array" ref="E629">IFERROR(INDEX(user_table!$E$2:$E3686,MATCH(C629,user_table!$B$2:$B3686,0)),"")
</f>
        <v>6, 2</v>
      </c>
      <c r="F629" s="6" t="str">
        <f t="shared" si="2"/>
        <v>14175414</v>
      </c>
      <c r="G629" s="8">
        <v>5.0</v>
      </c>
      <c r="H629" s="9">
        <v>44905.0</v>
      </c>
      <c r="I629" s="10" t="s">
        <v>631</v>
      </c>
    </row>
    <row r="630">
      <c r="A630" s="5" t="str">
        <f t="array" ref="A630">INDEX(event_table!$A$2:$A$69, RANDBETWEEN(1, COUNTA(event_table!$A$2:$A$69)))</f>
        <v>1646</v>
      </c>
      <c r="B630" s="6">
        <f t="array" ref="B630">IFERROR(INDEX(event_table!$E$1:$E3686,MATCH(A630,event_table!$A$1:$A3686,0)),"")
</f>
        <v>6</v>
      </c>
      <c r="C630" s="7">
        <f t="shared" si="1"/>
        <v>21</v>
      </c>
      <c r="D630" s="6" t="str">
        <f t="array" ref="D630">IFERROR(INDEX(user_table!$C$2:$C3686,MATCH(C630,user_table!$B$2:$B3686,0)),"")
</f>
        <v>Budi Santoso</v>
      </c>
      <c r="E630" s="6" t="str">
        <f t="array" ref="E630">IFERROR(INDEX(user_table!$E$2:$E3686,MATCH(C630,user_table!$B$2:$B3686,0)),"")
</f>
        <v>6, 1</v>
      </c>
      <c r="F630" s="6" t="str">
        <f t="shared" si="2"/>
        <v>16465621</v>
      </c>
      <c r="G630" s="8">
        <v>5.0</v>
      </c>
      <c r="H630" s="9">
        <v>44822.0</v>
      </c>
      <c r="I630" s="10" t="s">
        <v>632</v>
      </c>
    </row>
    <row r="631">
      <c r="A631" s="5" t="str">
        <f t="array" ref="A631">INDEX(event_table!$A$2:$A$69, RANDBETWEEN(1, COUNTA(event_table!$A$2:$A$69)))</f>
        <v>118</v>
      </c>
      <c r="B631" s="6">
        <f t="array" ref="B631">IFERROR(INDEX(event_table!$E$1:$E3686,MATCH(A631,event_table!$A$1:$A3686,0)),"")
</f>
        <v>1</v>
      </c>
      <c r="C631" s="7">
        <f t="shared" si="1"/>
        <v>135</v>
      </c>
      <c r="D631" s="6" t="str">
        <f t="array" ref="D631">IFERROR(INDEX(user_table!$C$2:$C3686,MATCH(C631,user_table!$B$2:$B3686,0)),"")
</f>
        <v>Sinta Hermawan</v>
      </c>
      <c r="E631" s="6" t="str">
        <f t="array" ref="E631">IFERROR(INDEX(user_table!$E$2:$E3686,MATCH(C631,user_table!$B$2:$B3686,0)),"")
</f>
        <v>1, 5</v>
      </c>
      <c r="F631" s="6" t="str">
        <f t="shared" si="2"/>
        <v>11851135</v>
      </c>
      <c r="G631" s="8">
        <v>5.0</v>
      </c>
      <c r="H631" s="9">
        <v>44820.0</v>
      </c>
      <c r="I631" s="10" t="s">
        <v>633</v>
      </c>
    </row>
    <row r="632">
      <c r="A632" s="5" t="str">
        <f t="array" ref="A632">INDEX(event_table!$A$2:$A$69, RANDBETWEEN(1, COUNTA(event_table!$A$2:$A$69)))</f>
        <v>1212</v>
      </c>
      <c r="B632" s="6">
        <f t="array" ref="B632">IFERROR(INDEX(event_table!$E$1:$E3686,MATCH(A632,event_table!$A$1:$A3686,0)),"")
</f>
        <v>2</v>
      </c>
      <c r="C632" s="7">
        <f t="shared" si="1"/>
        <v>142</v>
      </c>
      <c r="D632" s="6" t="str">
        <f t="array" ref="D632">IFERROR(INDEX(user_table!$C$2:$C3686,MATCH(C632,user_table!$B$2:$B3686,0)),"")
</f>
        <v>Siti Rahayu</v>
      </c>
      <c r="E632" s="6" t="str">
        <f t="array" ref="E632">IFERROR(INDEX(user_table!$E$2:$E3686,MATCH(C632,user_table!$B$2:$B3686,0)),"")
</f>
        <v>6, 3</v>
      </c>
      <c r="F632" s="6" t="str">
        <f t="shared" si="2"/>
        <v>121252142</v>
      </c>
      <c r="G632" s="8">
        <v>5.0</v>
      </c>
      <c r="H632" s="9">
        <v>44780.0</v>
      </c>
      <c r="I632" s="10" t="s">
        <v>634</v>
      </c>
    </row>
    <row r="633">
      <c r="A633" s="5" t="str">
        <f t="array" ref="A633">INDEX(event_table!$A$2:$A$69, RANDBETWEEN(1, COUNTA(event_table!$A$2:$A$69)))</f>
        <v>1416</v>
      </c>
      <c r="B633" s="6">
        <f t="array" ref="B633">IFERROR(INDEX(event_table!$E$1:$E3686,MATCH(A633,event_table!$A$1:$A3686,0)),"")
</f>
        <v>4</v>
      </c>
      <c r="C633" s="7">
        <f t="shared" si="1"/>
        <v>54</v>
      </c>
      <c r="D633" s="6" t="str">
        <f t="array" ref="D633">IFERROR(INDEX(user_table!$C$2:$C3686,MATCH(C633,user_table!$B$2:$B3686,0)),"")
</f>
        <v>Andi Kurniawan</v>
      </c>
      <c r="E633" s="6" t="str">
        <f t="array" ref="E633">IFERROR(INDEX(user_table!$E$2:$E3686,MATCH(C633,user_table!$B$2:$B3686,0)),"")
</f>
        <v>4, 4</v>
      </c>
      <c r="F633" s="6" t="str">
        <f t="shared" si="2"/>
        <v>14165454</v>
      </c>
      <c r="G633" s="8">
        <v>5.0</v>
      </c>
      <c r="H633" s="9">
        <v>44737.0</v>
      </c>
      <c r="I633" s="10" t="s">
        <v>635</v>
      </c>
    </row>
    <row r="634">
      <c r="A634" s="5" t="str">
        <f t="array" ref="A634">INDEX(event_table!$A$2:$A$69, RANDBETWEEN(1, COUNTA(event_table!$A$2:$A$69)))</f>
        <v>1637</v>
      </c>
      <c r="B634" s="6">
        <f t="array" ref="B634">IFERROR(INDEX(event_table!$E$1:$E3686,MATCH(A634,event_table!$A$1:$A3686,0)),"")
</f>
        <v>6</v>
      </c>
      <c r="C634" s="7">
        <f t="shared" si="1"/>
        <v>198</v>
      </c>
      <c r="D634" s="6" t="str">
        <f t="array" ref="D634">IFERROR(INDEX(user_table!$C$2:$C3686,MATCH(C634,user_table!$B$2:$B3686,0)),"")
</f>
        <v>Siti Nugroho</v>
      </c>
      <c r="E634" s="6" t="str">
        <f t="array" ref="E634">IFERROR(INDEX(user_table!$E$2:$E3686,MATCH(C634,user_table!$B$2:$B3686,0)),"")
</f>
        <v>5, 2</v>
      </c>
      <c r="F634" s="6" t="str">
        <f t="shared" si="2"/>
        <v>163756198</v>
      </c>
      <c r="G634" s="8">
        <v>5.0</v>
      </c>
      <c r="H634" s="9">
        <v>44687.0</v>
      </c>
      <c r="I634" s="10" t="s">
        <v>636</v>
      </c>
    </row>
    <row r="635">
      <c r="A635" s="5" t="str">
        <f t="array" ref="A635">INDEX(event_table!$A$2:$A$69, RANDBETWEEN(1, COUNTA(event_table!$A$2:$A$69)))</f>
        <v>1334</v>
      </c>
      <c r="B635" s="6">
        <f t="array" ref="B635">IFERROR(INDEX(event_table!$E$1:$E3686,MATCH(A635,event_table!$A$1:$A3686,0)),"")
</f>
        <v>3</v>
      </c>
      <c r="C635" s="7">
        <f t="shared" si="1"/>
        <v>88</v>
      </c>
      <c r="D635" s="6" t="str">
        <f t="array" ref="D635">IFERROR(INDEX(user_table!$C$2:$C3686,MATCH(C635,user_table!$B$2:$B3686,0)),"")
</f>
        <v>Fajar Hadiwijaya</v>
      </c>
      <c r="E635" s="6" t="str">
        <f t="array" ref="E635">IFERROR(INDEX(user_table!$E$2:$E3686,MATCH(C635,user_table!$B$2:$B3686,0)),"")
</f>
        <v>2, 6</v>
      </c>
      <c r="F635" s="6" t="str">
        <f t="shared" si="2"/>
        <v>13344388</v>
      </c>
      <c r="G635" s="8">
        <v>4.0</v>
      </c>
      <c r="H635" s="9">
        <v>44974.0</v>
      </c>
      <c r="I635" s="10" t="s">
        <v>637</v>
      </c>
    </row>
    <row r="636">
      <c r="A636" s="5" t="str">
        <f t="array" ref="A636">INDEX(event_table!$A$2:$A$69, RANDBETWEEN(1, COUNTA(event_table!$A$2:$A$69)))</f>
        <v>1648</v>
      </c>
      <c r="B636" s="6">
        <f t="array" ref="B636">IFERROR(INDEX(event_table!$E$1:$E3686,MATCH(A636,event_table!$A$1:$A3686,0)),"")
</f>
        <v>6</v>
      </c>
      <c r="C636" s="7">
        <f t="shared" si="1"/>
        <v>3</v>
      </c>
      <c r="D636" s="6" t="str">
        <f t="array" ref="D636">IFERROR(INDEX(user_table!$C$2:$C3686,MATCH(C636,user_table!$B$2:$B3686,0)),"")
</f>
        <v>Fandi Wijaya</v>
      </c>
      <c r="E636" s="6" t="str">
        <f t="array" ref="E636">IFERROR(INDEX(user_table!$E$2:$E3686,MATCH(C636,user_table!$B$2:$B3686,0)),"")
</f>
        <v>6, 1</v>
      </c>
      <c r="F636" s="6" t="str">
        <f t="shared" si="2"/>
        <v>1648463</v>
      </c>
      <c r="G636" s="8">
        <v>4.0</v>
      </c>
      <c r="H636" s="9">
        <v>44930.0</v>
      </c>
      <c r="I636" s="10" t="s">
        <v>638</v>
      </c>
    </row>
    <row r="637">
      <c r="A637" s="5" t="str">
        <f t="array" ref="A637">INDEX(event_table!$A$2:$A$69, RANDBETWEEN(1, COUNTA(event_table!$A$2:$A$69)))</f>
        <v>3162</v>
      </c>
      <c r="B637" s="6">
        <f t="array" ref="B637">IFERROR(INDEX(event_table!$E$1:$E3686,MATCH(A637,event_table!$A$1:$A3686,0)),"")
</f>
        <v>1</v>
      </c>
      <c r="C637" s="7">
        <f t="shared" si="1"/>
        <v>21</v>
      </c>
      <c r="D637" s="6" t="str">
        <f t="array" ref="D637">IFERROR(INDEX(user_table!$C$2:$C3686,MATCH(C637,user_table!$B$2:$B3686,0)),"")
</f>
        <v>Budi Santoso</v>
      </c>
      <c r="E637" s="6" t="str">
        <f t="array" ref="E637">IFERROR(INDEX(user_table!$E$2:$E3686,MATCH(C637,user_table!$B$2:$B3686,0)),"")
</f>
        <v>6, 1</v>
      </c>
      <c r="F637" s="6" t="str">
        <f t="shared" si="2"/>
        <v>31624121</v>
      </c>
      <c r="G637" s="8">
        <v>4.0</v>
      </c>
      <c r="H637" s="9">
        <v>44927.0</v>
      </c>
      <c r="I637" s="10" t="s">
        <v>639</v>
      </c>
    </row>
    <row r="638">
      <c r="A638" s="5" t="str">
        <f t="array" ref="A638">INDEX(event_table!$A$2:$A$69, RANDBETWEEN(1, COUNTA(event_table!$A$2:$A$69)))</f>
        <v>3163</v>
      </c>
      <c r="B638" s="6">
        <f t="array" ref="B638">IFERROR(INDEX(event_table!$E$1:$E3686,MATCH(A638,event_table!$A$1:$A3686,0)),"")
</f>
        <v>1</v>
      </c>
      <c r="C638" s="7">
        <f t="shared" si="1"/>
        <v>180</v>
      </c>
      <c r="D638" s="6" t="str">
        <f t="array" ref="D638">IFERROR(INDEX(user_table!$C$2:$C3686,MATCH(C638,user_table!$B$2:$B3686,0)),"")
</f>
        <v>Andi Susanto</v>
      </c>
      <c r="E638" s="6" t="str">
        <f t="array" ref="E638">IFERROR(INDEX(user_table!$E$2:$E3686,MATCH(C638,user_table!$B$2:$B3686,0)),"")
</f>
        <v>6, 5</v>
      </c>
      <c r="F638" s="6" t="str">
        <f t="shared" si="2"/>
        <v>316341180</v>
      </c>
      <c r="G638" s="8">
        <v>4.0</v>
      </c>
      <c r="H638" s="9">
        <v>44755.0</v>
      </c>
      <c r="I638" s="10" t="s">
        <v>640</v>
      </c>
    </row>
    <row r="639">
      <c r="A639" s="5" t="str">
        <f t="array" ref="A639">INDEX(event_table!$A$2:$A$69, RANDBETWEEN(1, COUNTA(event_table!$A$2:$A$69)))</f>
        <v>3165</v>
      </c>
      <c r="B639" s="6">
        <f t="array" ref="B639">IFERROR(INDEX(event_table!$E$1:$E3686,MATCH(A639,event_table!$A$1:$A3686,0)),"")
</f>
        <v>1</v>
      </c>
      <c r="C639" s="7">
        <f t="shared" si="1"/>
        <v>83</v>
      </c>
      <c r="D639" s="6" t="str">
        <f t="array" ref="D639">IFERROR(INDEX(user_table!$C$2:$C3686,MATCH(C639,user_table!$B$2:$B3686,0)),"")
</f>
        <v>Sinta Nurhayati</v>
      </c>
      <c r="E639" s="6" t="str">
        <f t="array" ref="E639">IFERROR(INDEX(user_table!$E$2:$E3686,MATCH(C639,user_table!$B$2:$B3686,0)),"")
</f>
        <v>5, 5</v>
      </c>
      <c r="F639" s="6" t="str">
        <f t="shared" si="2"/>
        <v>31653183</v>
      </c>
      <c r="G639" s="8">
        <v>3.0</v>
      </c>
      <c r="H639" s="9">
        <v>45085.0</v>
      </c>
      <c r="I639" s="10" t="s">
        <v>641</v>
      </c>
    </row>
    <row r="640">
      <c r="A640" s="5" t="str">
        <f t="array" ref="A640">INDEX(event_table!$A$2:$A$69, RANDBETWEEN(1, COUNTA(event_table!$A$2:$A$69)))</f>
        <v>1114</v>
      </c>
      <c r="B640" s="6">
        <f t="array" ref="B640">IFERROR(INDEX(event_table!$E$1:$E3686,MATCH(A640,event_table!$A$1:$A3686,0)),"")
</f>
        <v>1</v>
      </c>
      <c r="C640" s="7">
        <f t="shared" si="1"/>
        <v>17</v>
      </c>
      <c r="D640" s="6" t="str">
        <f t="array" ref="D640">IFERROR(INDEX(user_table!$C$2:$C3686,MATCH(C640,user_table!$B$2:$B3686,0)),"")
</f>
        <v>Fajar Wijaya</v>
      </c>
      <c r="E640" s="6" t="str">
        <f t="array" ref="E640">IFERROR(INDEX(user_table!$E$2:$E3686,MATCH(C640,user_table!$B$2:$B3686,0)),"")
</f>
        <v>1, 1</v>
      </c>
      <c r="F640" s="6" t="str">
        <f t="shared" si="2"/>
        <v>11143117</v>
      </c>
      <c r="G640" s="8">
        <v>3.0</v>
      </c>
      <c r="H640" s="9">
        <v>44689.0</v>
      </c>
      <c r="I640" s="10" t="s">
        <v>642</v>
      </c>
    </row>
    <row r="641">
      <c r="A641" s="5" t="str">
        <f t="array" ref="A641">INDEX(event_table!$A$2:$A$69, RANDBETWEEN(1, COUNTA(event_table!$A$2:$A$69)))</f>
        <v>1333</v>
      </c>
      <c r="B641" s="6">
        <f t="array" ref="B641">IFERROR(INDEX(event_table!$E$1:$E3686,MATCH(A641,event_table!$A$1:$A3686,0)),"")
</f>
        <v>3</v>
      </c>
      <c r="C641" s="7">
        <f t="shared" si="1"/>
        <v>100</v>
      </c>
      <c r="D641" s="6" t="str">
        <f t="array" ref="D641">IFERROR(INDEX(user_table!$C$2:$C3686,MATCH(C641,user_table!$B$2:$B3686,0)),"")
</f>
        <v>Lina Rahayu</v>
      </c>
      <c r="E641" s="6" t="str">
        <f t="array" ref="E641">IFERROR(INDEX(user_table!$E$2:$E3686,MATCH(C641,user_table!$B$2:$B3686,0)),"")
</f>
        <v>6, 2</v>
      </c>
      <c r="F641" s="6" t="str">
        <f t="shared" si="2"/>
        <v>133333100</v>
      </c>
      <c r="G641" s="8">
        <v>3.0</v>
      </c>
      <c r="H641" s="9">
        <v>45225.0</v>
      </c>
      <c r="I641" s="10" t="s">
        <v>643</v>
      </c>
    </row>
    <row r="642">
      <c r="A642" s="5" t="str">
        <f t="array" ref="A642">INDEX(event_table!$A$2:$A$69, RANDBETWEEN(1, COUNTA(event_table!$A$2:$A$69)))</f>
        <v>3356</v>
      </c>
      <c r="B642" s="6">
        <f t="array" ref="B642">IFERROR(INDEX(event_table!$E$1:$E3686,MATCH(A642,event_table!$A$1:$A3686,0)),"")
</f>
        <v>3</v>
      </c>
      <c r="C642" s="7">
        <f t="shared" si="1"/>
        <v>111</v>
      </c>
      <c r="D642" s="6" t="str">
        <f t="array" ref="D642">IFERROR(INDEX(user_table!$C$2:$C3686,MATCH(C642,user_table!$B$2:$B3686,0)),"")
</f>
        <v>Hadi Kurniawan</v>
      </c>
      <c r="E642" s="6" t="str">
        <f t="array" ref="E642">IFERROR(INDEX(user_table!$E$2:$E3686,MATCH(C642,user_table!$B$2:$B3686,0)),"")
</f>
        <v>3, 4</v>
      </c>
      <c r="F642" s="6" t="str">
        <f t="shared" si="2"/>
        <v>335633111</v>
      </c>
      <c r="G642" s="8">
        <v>3.0</v>
      </c>
      <c r="H642" s="9">
        <v>45137.0</v>
      </c>
      <c r="I642" s="10" t="s">
        <v>644</v>
      </c>
    </row>
    <row r="643">
      <c r="A643" s="5" t="str">
        <f t="array" ref="A643">INDEX(event_table!$A$2:$A$69, RANDBETWEEN(1, COUNTA(event_table!$A$2:$A$69)))</f>
        <v>122</v>
      </c>
      <c r="B643" s="6">
        <f t="array" ref="B643">IFERROR(INDEX(event_table!$E$1:$E3686,MATCH(A643,event_table!$A$1:$A3686,0)),"")
</f>
        <v>2</v>
      </c>
      <c r="C643" s="7">
        <f t="shared" si="1"/>
        <v>31</v>
      </c>
      <c r="D643" s="6" t="str">
        <f t="array" ref="D643">IFERROR(INDEX(user_table!$C$2:$C3686,MATCH(C643,user_table!$B$2:$B3686,0)),"")
</f>
        <v>Dian Hidayat</v>
      </c>
      <c r="E643" s="6" t="str">
        <f t="array" ref="E643">IFERROR(INDEX(user_table!$E$2:$E3686,MATCH(C643,user_table!$B$2:$B3686,0)),"")
</f>
        <v>3, 5</v>
      </c>
      <c r="F643" s="6" t="str">
        <f t="shared" si="2"/>
        <v>1222231</v>
      </c>
      <c r="G643" s="8">
        <v>2.0</v>
      </c>
      <c r="H643" s="9">
        <v>44653.0</v>
      </c>
      <c r="I643" s="10" t="s">
        <v>645</v>
      </c>
    </row>
    <row r="644">
      <c r="A644" s="5" t="str">
        <f t="array" ref="A644">INDEX(event_table!$A$2:$A$69, RANDBETWEEN(1, COUNTA(event_table!$A$2:$A$69)))</f>
        <v>3165</v>
      </c>
      <c r="B644" s="6">
        <f t="array" ref="B644">IFERROR(INDEX(event_table!$E$1:$E3686,MATCH(A644,event_table!$A$1:$A3686,0)),"")
</f>
        <v>1</v>
      </c>
      <c r="C644" s="7">
        <f t="shared" si="1"/>
        <v>158</v>
      </c>
      <c r="D644" s="6" t="str">
        <f t="array" ref="D644">IFERROR(INDEX(user_table!$C$2:$C3686,MATCH(C644,user_table!$B$2:$B3686,0)),"")
</f>
        <v>Maya Wijaya</v>
      </c>
      <c r="E644" s="6" t="str">
        <f t="array" ref="E644">IFERROR(INDEX(user_table!$E$2:$E3686,MATCH(C644,user_table!$B$2:$B3686,0)),"")
</f>
        <v>3, 4</v>
      </c>
      <c r="F644" s="6" t="str">
        <f t="shared" si="2"/>
        <v>316521158</v>
      </c>
      <c r="G644" s="8">
        <v>2.0</v>
      </c>
      <c r="H644" s="9">
        <v>44442.0</v>
      </c>
      <c r="I644" s="10" t="s">
        <v>646</v>
      </c>
    </row>
    <row r="645">
      <c r="A645" s="5" t="str">
        <f t="array" ref="A645">INDEX(event_table!$A$2:$A$69, RANDBETWEEN(1, COUNTA(event_table!$A$2:$A$69)))</f>
        <v>1526</v>
      </c>
      <c r="B645" s="6">
        <f t="array" ref="B645">IFERROR(INDEX(event_table!$E$1:$E3686,MATCH(A645,event_table!$A$1:$A3686,0)),"")
</f>
        <v>5</v>
      </c>
      <c r="C645" s="7">
        <f t="shared" si="1"/>
        <v>37</v>
      </c>
      <c r="D645" s="6" t="str">
        <f t="array" ref="D645">IFERROR(INDEX(user_table!$C$2:$C3686,MATCH(C645,user_table!$B$2:$B3686,0)),"")
</f>
        <v>Lina Susanto</v>
      </c>
      <c r="E645" s="6" t="str">
        <f t="array" ref="E645">IFERROR(INDEX(user_table!$E$2:$E3686,MATCH(C645,user_table!$B$2:$B3686,0)),"")
</f>
        <v>2, 2</v>
      </c>
      <c r="F645" s="6" t="str">
        <f t="shared" si="2"/>
        <v>15262537</v>
      </c>
      <c r="G645" s="8">
        <v>2.0</v>
      </c>
      <c r="H645" s="9">
        <v>44314.0</v>
      </c>
      <c r="I645" s="10" t="s">
        <v>647</v>
      </c>
    </row>
    <row r="646">
      <c r="A646" s="5" t="str">
        <f t="array" ref="A646">INDEX(event_table!$A$2:$A$69, RANDBETWEEN(1, COUNTA(event_table!$A$2:$A$69)))</f>
        <v>1646</v>
      </c>
      <c r="B646" s="6">
        <f t="array" ref="B646">IFERROR(INDEX(event_table!$E$1:$E3686,MATCH(A646,event_table!$A$1:$A3686,0)),"")
</f>
        <v>6</v>
      </c>
      <c r="C646" s="7">
        <f t="shared" si="1"/>
        <v>196</v>
      </c>
      <c r="D646" s="6" t="str">
        <f t="array" ref="D646">IFERROR(INDEX(user_table!$C$2:$C3686,MATCH(C646,user_table!$B$2:$B3686,0)),"")
</f>
        <v>Dewi Susanto</v>
      </c>
      <c r="E646" s="6" t="str">
        <f t="array" ref="E646">IFERROR(INDEX(user_table!$E$2:$E3686,MATCH(C646,user_table!$B$2:$B3686,0)),"")
</f>
        <v>2, 1</v>
      </c>
      <c r="F646" s="6" t="str">
        <f t="shared" si="2"/>
        <v>164626196</v>
      </c>
      <c r="G646" s="8">
        <v>2.0</v>
      </c>
      <c r="H646" s="9">
        <v>45107.0</v>
      </c>
      <c r="I646" s="10" t="s">
        <v>648</v>
      </c>
    </row>
    <row r="647">
      <c r="A647" s="5" t="str">
        <f t="array" ref="A647">INDEX(event_table!$A$2:$A$69, RANDBETWEEN(1, COUNTA(event_table!$A$2:$A$69)))</f>
        <v>3657</v>
      </c>
      <c r="B647" s="6">
        <f t="array" ref="B647">IFERROR(INDEX(event_table!$E$1:$E3686,MATCH(A647,event_table!$A$1:$A3686,0)),"")
</f>
        <v>6</v>
      </c>
      <c r="C647" s="7">
        <f t="shared" si="1"/>
        <v>11</v>
      </c>
      <c r="D647" s="6" t="str">
        <f t="array" ref="D647">IFERROR(INDEX(user_table!$C$2:$C3686,MATCH(C647,user_table!$B$2:$B3686,0)),"")
</f>
        <v>Arif Sari</v>
      </c>
      <c r="E647" s="6" t="str">
        <f t="array" ref="E647">IFERROR(INDEX(user_table!$E$2:$E3686,MATCH(C647,user_table!$B$2:$B3686,0)),"")
</f>
        <v>5, 2</v>
      </c>
      <c r="F647" s="6" t="str">
        <f t="shared" si="2"/>
        <v>36572611</v>
      </c>
      <c r="G647" s="8">
        <v>2.0</v>
      </c>
      <c r="H647" s="9">
        <v>45083.0</v>
      </c>
      <c r="I647" s="10" t="s">
        <v>649</v>
      </c>
    </row>
    <row r="648">
      <c r="A648" s="5" t="str">
        <f t="array" ref="A648">INDEX(event_table!$A$2:$A$69, RANDBETWEEN(1, COUNTA(event_table!$A$2:$A$69)))</f>
        <v>3455</v>
      </c>
      <c r="B648" s="6">
        <f t="array" ref="B648">IFERROR(INDEX(event_table!$E$1:$E3686,MATCH(A648,event_table!$A$1:$A3686,0)),"")
</f>
        <v>4</v>
      </c>
      <c r="C648" s="7">
        <f t="shared" si="1"/>
        <v>159</v>
      </c>
      <c r="D648" s="6" t="str">
        <f t="array" ref="D648">IFERROR(INDEX(user_table!$C$2:$C3686,MATCH(C648,user_table!$B$2:$B3686,0)),"")
</f>
        <v>Rudi Santoso</v>
      </c>
      <c r="E648" s="6" t="str">
        <f t="array" ref="E648">IFERROR(INDEX(user_table!$E$2:$E3686,MATCH(C648,user_table!$B$2:$B3686,0)),"")
</f>
        <v>5, 1</v>
      </c>
      <c r="F648" s="6" t="str">
        <f t="shared" si="2"/>
        <v>345524159</v>
      </c>
      <c r="G648" s="8">
        <v>2.0</v>
      </c>
      <c r="H648" s="9">
        <v>45080.0</v>
      </c>
      <c r="I648" s="10" t="s">
        <v>650</v>
      </c>
    </row>
    <row r="649">
      <c r="A649" s="5" t="str">
        <f t="array" ref="A649">INDEX(event_table!$A$2:$A$69, RANDBETWEEN(1, COUNTA(event_table!$A$2:$A$69)))</f>
        <v>3168</v>
      </c>
      <c r="B649" s="6">
        <f t="array" ref="B649">IFERROR(INDEX(event_table!$E$1:$E3686,MATCH(A649,event_table!$A$1:$A3686,0)),"")
</f>
        <v>1</v>
      </c>
      <c r="C649" s="7">
        <f t="shared" si="1"/>
        <v>15</v>
      </c>
      <c r="D649" s="6" t="str">
        <f t="array" ref="D649">IFERROR(INDEX(user_table!$C$2:$C3686,MATCH(C649,user_table!$B$2:$B3686,0)),"")
</f>
        <v>Arif Kurniawan</v>
      </c>
      <c r="E649" s="6" t="str">
        <f t="array" ref="E649">IFERROR(INDEX(user_table!$E$2:$E3686,MATCH(C649,user_table!$B$2:$B3686,0)),"")
</f>
        <v>3, 1</v>
      </c>
      <c r="F649" s="6" t="str">
        <f t="shared" si="2"/>
        <v>31681115</v>
      </c>
      <c r="G649" s="8">
        <v>1.0</v>
      </c>
      <c r="H649" s="9">
        <v>45261.0</v>
      </c>
      <c r="I649" s="10" t="s">
        <v>651</v>
      </c>
    </row>
    <row r="650">
      <c r="A650" s="5" t="str">
        <f t="array" ref="A650">INDEX(event_table!$A$2:$A$69, RANDBETWEEN(1, COUNTA(event_table!$A$2:$A$69)))</f>
        <v>1637</v>
      </c>
      <c r="B650" s="6">
        <f t="array" ref="B650">IFERROR(INDEX(event_table!$E$1:$E3686,MATCH(A650,event_table!$A$1:$A3686,0)),"")
</f>
        <v>6</v>
      </c>
      <c r="C650" s="7">
        <f t="shared" si="1"/>
        <v>83</v>
      </c>
      <c r="D650" s="6" t="str">
        <f t="array" ref="D650">IFERROR(INDEX(user_table!$C$2:$C3686,MATCH(C650,user_table!$B$2:$B3686,0)),"")
</f>
        <v>Sinta Nurhayati</v>
      </c>
      <c r="E650" s="6" t="str">
        <f t="array" ref="E650">IFERROR(INDEX(user_table!$E$2:$E3686,MATCH(C650,user_table!$B$2:$B3686,0)),"")
</f>
        <v>5, 5</v>
      </c>
      <c r="F650" s="6" t="str">
        <f t="shared" si="2"/>
        <v>16371683</v>
      </c>
      <c r="G650" s="8">
        <v>1.0</v>
      </c>
      <c r="H650" s="9">
        <v>45111.0</v>
      </c>
      <c r="I650" s="10" t="s">
        <v>652</v>
      </c>
    </row>
    <row r="651">
      <c r="A651" s="5" t="str">
        <f t="array" ref="A651">INDEX(event_table!$A$2:$A$69, RANDBETWEEN(1, COUNTA(event_table!$A$2:$A$69)))</f>
        <v>122</v>
      </c>
      <c r="B651" s="6">
        <f t="array" ref="B651">IFERROR(INDEX(event_table!$E$1:$E3686,MATCH(A651,event_table!$A$1:$A3686,0)),"")
</f>
        <v>2</v>
      </c>
      <c r="C651" s="7">
        <f t="shared" si="1"/>
        <v>169</v>
      </c>
      <c r="D651" s="6" t="str">
        <f t="array" ref="D651">IFERROR(INDEX(user_table!$C$2:$C3686,MATCH(C651,user_table!$B$2:$B3686,0)),"")
</f>
        <v>Dian Saputra</v>
      </c>
      <c r="E651" s="6" t="str">
        <f t="array" ref="E651">IFERROR(INDEX(user_table!$E$2:$E3686,MATCH(C651,user_table!$B$2:$B3686,0)),"")
</f>
        <v>6, 1</v>
      </c>
      <c r="F651" s="6" t="str">
        <f t="shared" si="2"/>
        <v>12212169</v>
      </c>
      <c r="G651" s="8">
        <v>1.0</v>
      </c>
      <c r="H651" s="9">
        <v>45174.0</v>
      </c>
      <c r="I651" s="10" t="s">
        <v>653</v>
      </c>
    </row>
    <row r="652">
      <c r="A652" s="5" t="str">
        <f t="array" ref="A652">INDEX(event_table!$A$2:$A$69, RANDBETWEEN(1, COUNTA(event_table!$A$2:$A$69)))</f>
        <v>3163</v>
      </c>
      <c r="B652" s="6">
        <f t="array" ref="B652">IFERROR(INDEX(event_table!$E$1:$E3686,MATCH(A652,event_table!$A$1:$A3686,0)),"")
</f>
        <v>1</v>
      </c>
      <c r="C652" s="7">
        <f t="shared" si="1"/>
        <v>138</v>
      </c>
      <c r="D652" s="6" t="str">
        <f t="array" ref="D652">IFERROR(INDEX(user_table!$C$2:$C3686,MATCH(C652,user_table!$B$2:$B3686,0)),"")
</f>
        <v>Joko Hermawan</v>
      </c>
      <c r="E652" s="6" t="str">
        <f t="array" ref="E652">IFERROR(INDEX(user_table!$E$2:$E3686,MATCH(C652,user_table!$B$2:$B3686,0)),"")
</f>
        <v>4, 1</v>
      </c>
      <c r="F652" s="6" t="str">
        <f t="shared" si="2"/>
        <v>316311138</v>
      </c>
      <c r="G652" s="8">
        <v>1.0</v>
      </c>
      <c r="H652" s="9">
        <v>45238.0</v>
      </c>
      <c r="I652" s="10" t="s">
        <v>654</v>
      </c>
    </row>
    <row r="653">
      <c r="A653" s="5" t="str">
        <f t="array" ref="A653">INDEX(event_table!$A$2:$A$69, RANDBETWEEN(1, COUNTA(event_table!$A$2:$A$69)))</f>
        <v>1416</v>
      </c>
      <c r="B653" s="6">
        <f t="array" ref="B653">IFERROR(INDEX(event_table!$E$1:$E3686,MATCH(A653,event_table!$A$1:$A3686,0)),"")
</f>
        <v>4</v>
      </c>
      <c r="C653" s="7">
        <f t="shared" si="1"/>
        <v>196</v>
      </c>
      <c r="D653" s="6" t="str">
        <f t="array" ref="D653">IFERROR(INDEX(user_table!$C$2:$C3686,MATCH(C653,user_table!$B$2:$B3686,0)),"")
</f>
        <v>Dewi Susanto</v>
      </c>
      <c r="E653" s="6" t="str">
        <f t="array" ref="E653">IFERROR(INDEX(user_table!$E$2:$E3686,MATCH(C653,user_table!$B$2:$B3686,0)),"")
</f>
        <v>2, 1</v>
      </c>
      <c r="F653" s="6" t="str">
        <f t="shared" si="2"/>
        <v>141614196</v>
      </c>
      <c r="G653" s="8">
        <v>1.0</v>
      </c>
      <c r="H653" s="9">
        <v>45144.0</v>
      </c>
      <c r="I653" s="10" t="s">
        <v>655</v>
      </c>
    </row>
    <row r="654">
      <c r="A654" s="5" t="str">
        <f t="array" ref="A654">INDEX(event_table!$A$2:$A$69, RANDBETWEEN(1, COUNTA(event_table!$A$2:$A$69)))</f>
        <v>3454</v>
      </c>
      <c r="B654" s="6">
        <f t="array" ref="B654">IFERROR(INDEX(event_table!$E$1:$E3686,MATCH(A654,event_table!$A$1:$A3686,0)),"")
</f>
        <v>4</v>
      </c>
      <c r="C654" s="7">
        <f t="shared" si="1"/>
        <v>31</v>
      </c>
      <c r="D654" s="6" t="str">
        <f t="array" ref="D654">IFERROR(INDEX(user_table!$C$2:$C3686,MATCH(C654,user_table!$B$2:$B3686,0)),"")
</f>
        <v>Dian Hidayat</v>
      </c>
      <c r="E654" s="6" t="str">
        <f t="array" ref="E654">IFERROR(INDEX(user_table!$E$2:$E3686,MATCH(C654,user_table!$B$2:$B3686,0)),"")
</f>
        <v>3, 5</v>
      </c>
      <c r="F654" s="6" t="str">
        <f t="shared" si="2"/>
        <v>34541431</v>
      </c>
      <c r="G654" s="8">
        <v>1.0</v>
      </c>
      <c r="H654" s="9">
        <v>45143.0</v>
      </c>
      <c r="I654" s="10" t="s">
        <v>656</v>
      </c>
    </row>
    <row r="655">
      <c r="A655" s="5" t="str">
        <f t="array" ref="A655">INDEX(event_table!$A$2:$A$69, RANDBETWEEN(1, COUNTA(event_table!$A$2:$A$69)))</f>
        <v>1650</v>
      </c>
      <c r="B655" s="6">
        <f t="array" ref="B655">IFERROR(INDEX(event_table!$E$1:$E3686,MATCH(A655,event_table!$A$1:$A3686,0)),"")
</f>
        <v>6</v>
      </c>
      <c r="C655" s="7">
        <f t="shared" si="1"/>
        <v>111</v>
      </c>
      <c r="D655" s="6" t="str">
        <f t="array" ref="D655">IFERROR(INDEX(user_table!$C$2:$C3686,MATCH(C655,user_table!$B$2:$B3686,0)),"")
</f>
        <v>Hadi Kurniawan</v>
      </c>
      <c r="E655" s="6" t="str">
        <f t="array" ref="E655">IFERROR(INDEX(user_table!$E$2:$E3686,MATCH(C655,user_table!$B$2:$B3686,0)),"")
</f>
        <v>3, 4</v>
      </c>
      <c r="F655" s="6" t="str">
        <f t="shared" si="2"/>
        <v>165016111</v>
      </c>
      <c r="G655" s="8">
        <v>1.0</v>
      </c>
      <c r="H655" s="9">
        <v>45113.0</v>
      </c>
      <c r="I655" s="10" t="s">
        <v>657</v>
      </c>
    </row>
    <row r="656">
      <c r="A656" s="5" t="str">
        <f t="array" ref="A656">INDEX(event_table!$A$2:$A$69, RANDBETWEEN(1, COUNTA(event_table!$A$2:$A$69)))</f>
        <v>3164</v>
      </c>
      <c r="B656" s="6">
        <f t="array" ref="B656">IFERROR(INDEX(event_table!$E$1:$E3686,MATCH(A656,event_table!$A$1:$A3686,0)),"")
</f>
        <v>1</v>
      </c>
      <c r="C656" s="7">
        <f t="shared" si="1"/>
        <v>122</v>
      </c>
      <c r="D656" s="6" t="str">
        <f t="array" ref="D656">IFERROR(INDEX(user_table!$C$2:$C3686,MATCH(C656,user_table!$B$2:$B3686,0)),"")
</f>
        <v>Maya Setiawan</v>
      </c>
      <c r="E656" s="6" t="str">
        <f t="array" ref="E656">IFERROR(INDEX(user_table!$E$2:$E3686,MATCH(C656,user_table!$B$2:$B3686,0)),"")
</f>
        <v>2, 3</v>
      </c>
      <c r="F656" s="6" t="str">
        <f t="shared" si="2"/>
        <v>316411122</v>
      </c>
      <c r="G656" s="8">
        <v>1.0</v>
      </c>
      <c r="H656" s="9">
        <v>45111.0</v>
      </c>
      <c r="I656" s="10" t="s">
        <v>658</v>
      </c>
    </row>
    <row r="657">
      <c r="A657" s="5" t="str">
        <f t="array" ref="A657">INDEX(event_table!$A$2:$A$69, RANDBETWEEN(1, COUNTA(event_table!$A$2:$A$69)))</f>
        <v>1427</v>
      </c>
      <c r="B657" s="6">
        <f t="array" ref="B657">IFERROR(INDEX(event_table!$E$1:$E3686,MATCH(A657,event_table!$A$1:$A3686,0)),"")
</f>
        <v>4</v>
      </c>
      <c r="C657" s="7">
        <f t="shared" si="1"/>
        <v>103</v>
      </c>
      <c r="D657" s="6" t="str">
        <f t="array" ref="D657">IFERROR(INDEX(user_table!$C$2:$C3686,MATCH(C657,user_table!$B$2:$B3686,0)),"")
</f>
        <v>Hadi Sari</v>
      </c>
      <c r="E657" s="6" t="str">
        <f t="array" ref="E657">IFERROR(INDEX(user_table!$E$2:$E3686,MATCH(C657,user_table!$B$2:$B3686,0)),"")
</f>
        <v>3, 1</v>
      </c>
      <c r="F657" s="6" t="str">
        <f t="shared" si="2"/>
        <v>142714103</v>
      </c>
      <c r="G657" s="8">
        <v>1.0</v>
      </c>
      <c r="H657" s="9">
        <v>45103.0</v>
      </c>
      <c r="I657" s="10" t="s">
        <v>659</v>
      </c>
    </row>
    <row r="658">
      <c r="A658" s="5" t="str">
        <f t="array" ref="A658">INDEX(event_table!$A$2:$A$69, RANDBETWEEN(1, COUNTA(event_table!$A$2:$A$69)))</f>
        <v>1416</v>
      </c>
      <c r="B658" s="6">
        <f t="array" ref="B658">IFERROR(INDEX(event_table!$E$1:$E3686,MATCH(A658,event_table!$A$1:$A3686,0)),"")
</f>
        <v>4</v>
      </c>
      <c r="C658" s="7">
        <f t="shared" si="1"/>
        <v>96</v>
      </c>
      <c r="D658" s="6" t="str">
        <f t="array" ref="D658">IFERROR(INDEX(user_table!$C$2:$C3686,MATCH(C658,user_table!$B$2:$B3686,0)),"")
</f>
        <v>Budi Sari</v>
      </c>
      <c r="E658" s="6" t="str">
        <f t="array" ref="E658">IFERROR(INDEX(user_table!$E$2:$E3686,MATCH(C658,user_table!$B$2:$B3686,0)),"")
</f>
        <v>3, 2</v>
      </c>
      <c r="F658" s="6" t="str">
        <f t="shared" si="2"/>
        <v>14161496</v>
      </c>
      <c r="G658" s="8">
        <v>1.0</v>
      </c>
      <c r="H658" s="9">
        <v>45085.0</v>
      </c>
      <c r="I658" s="10" t="s">
        <v>660</v>
      </c>
    </row>
    <row r="659">
      <c r="A659" s="5" t="str">
        <f t="array" ref="A659">INDEX(event_table!$A$2:$A$69, RANDBETWEEN(1, COUNTA(event_table!$A$2:$A$69)))</f>
        <v>1110</v>
      </c>
      <c r="B659" s="6">
        <f t="array" ref="B659">IFERROR(INDEX(event_table!$E$1:$E3686,MATCH(A659,event_table!$A$1:$A3686,0)),"")
</f>
        <v>1</v>
      </c>
      <c r="C659" s="7">
        <f t="shared" si="1"/>
        <v>46</v>
      </c>
      <c r="D659" s="6" t="str">
        <f t="array" ref="D659">IFERROR(INDEX(user_table!$C$2:$C3686,MATCH(C659,user_table!$B$2:$B3686,0)),"")
</f>
        <v>Dian Wijaya</v>
      </c>
      <c r="E659" s="6" t="str">
        <f t="array" ref="E659">IFERROR(INDEX(user_table!$E$2:$E3686,MATCH(C659,user_table!$B$2:$B3686,0)),"")
</f>
        <v>2, 2</v>
      </c>
      <c r="F659" s="6" t="str">
        <f t="shared" si="2"/>
        <v>11101146</v>
      </c>
      <c r="G659" s="8">
        <v>1.0</v>
      </c>
      <c r="H659" s="9">
        <v>45021.0</v>
      </c>
      <c r="I659" s="10" t="s">
        <v>661</v>
      </c>
    </row>
    <row r="660">
      <c r="A660" s="5" t="str">
        <f t="array" ref="A660">INDEX(event_table!$A$2:$A$69, RANDBETWEEN(1, COUNTA(event_table!$A$2:$A$69)))</f>
        <v>1215</v>
      </c>
      <c r="B660" s="6">
        <f t="array" ref="B660">IFERROR(INDEX(event_table!$E$1:$E3686,MATCH(A660,event_table!$A$1:$A3686,0)),"")
</f>
        <v>2</v>
      </c>
      <c r="C660" s="7">
        <f t="shared" si="1"/>
        <v>89</v>
      </c>
      <c r="D660" s="6" t="str">
        <f t="array" ref="D660">IFERROR(INDEX(user_table!$C$2:$C3686,MATCH(C660,user_table!$B$2:$B3686,0)),"")
</f>
        <v>Hadi Wijaya</v>
      </c>
      <c r="E660" s="6" t="str">
        <f t="array" ref="E660">IFERROR(INDEX(user_table!$E$2:$E3686,MATCH(C660,user_table!$B$2:$B3686,0)),"")
</f>
        <v>6, 4</v>
      </c>
      <c r="F660" s="6" t="str">
        <f t="shared" si="2"/>
        <v>12155289</v>
      </c>
      <c r="G660" s="8">
        <v>5.0</v>
      </c>
      <c r="H660" s="9">
        <v>44747.0</v>
      </c>
      <c r="I660" s="10" t="s">
        <v>662</v>
      </c>
    </row>
    <row r="661">
      <c r="A661" s="5" t="str">
        <f t="array" ref="A661">INDEX(event_table!$A$2:$A$69, RANDBETWEEN(1, COUNTA(event_table!$A$2:$A$69)))</f>
        <v>1646</v>
      </c>
      <c r="B661" s="6">
        <f t="array" ref="B661">IFERROR(INDEX(event_table!$E$1:$E3686,MATCH(A661,event_table!$A$1:$A3686,0)),"")
</f>
        <v>6</v>
      </c>
      <c r="C661" s="7">
        <f t="shared" si="1"/>
        <v>88</v>
      </c>
      <c r="D661" s="6" t="str">
        <f t="array" ref="D661">IFERROR(INDEX(user_table!$C$2:$C3686,MATCH(C661,user_table!$B$2:$B3686,0)),"")
</f>
        <v>Fajar Hadiwijaya</v>
      </c>
      <c r="E661" s="6" t="str">
        <f t="array" ref="E661">IFERROR(INDEX(user_table!$E$2:$E3686,MATCH(C661,user_table!$B$2:$B3686,0)),"")
</f>
        <v>2, 6</v>
      </c>
      <c r="F661" s="6" t="str">
        <f t="shared" si="2"/>
        <v>16465688</v>
      </c>
      <c r="G661" s="8">
        <v>5.0</v>
      </c>
      <c r="H661" s="9">
        <v>44732.0</v>
      </c>
      <c r="I661" s="10" t="s">
        <v>663</v>
      </c>
    </row>
    <row r="662">
      <c r="A662" s="5" t="str">
        <f t="array" ref="A662">INDEX(event_table!$A$2:$A$69, RANDBETWEEN(1, COUNTA(event_table!$A$2:$A$69)))</f>
        <v>1333</v>
      </c>
      <c r="B662" s="6">
        <f t="array" ref="B662">IFERROR(INDEX(event_table!$E$1:$E3686,MATCH(A662,event_table!$A$1:$A3686,0)),"")
</f>
        <v>3</v>
      </c>
      <c r="C662" s="7">
        <f t="shared" si="1"/>
        <v>45</v>
      </c>
      <c r="D662" s="6" t="str">
        <f t="array" ref="D662">IFERROR(INDEX(user_table!$C$2:$C3686,MATCH(C662,user_table!$B$2:$B3686,0)),"")
</f>
        <v>Siti Kurniawan</v>
      </c>
      <c r="E662" s="6" t="str">
        <f t="array" ref="E662">IFERROR(INDEX(user_table!$E$2:$E3686,MATCH(C662,user_table!$B$2:$B3686,0)),"")
</f>
        <v>1, 1</v>
      </c>
      <c r="F662" s="6" t="str">
        <f t="shared" si="2"/>
        <v>13335345</v>
      </c>
      <c r="G662" s="8">
        <v>5.0</v>
      </c>
      <c r="H662" s="9">
        <v>44692.0</v>
      </c>
      <c r="I662" s="10" t="s">
        <v>664</v>
      </c>
    </row>
    <row r="663">
      <c r="A663" s="5" t="str">
        <f t="array" ref="A663">INDEX(event_table!$A$2:$A$69, RANDBETWEEN(1, COUNTA(event_table!$A$2:$A$69)))</f>
        <v>1636</v>
      </c>
      <c r="B663" s="6">
        <f t="array" ref="B663">IFERROR(INDEX(event_table!$E$1:$E3686,MATCH(A663,event_table!$A$1:$A3686,0)),"")
</f>
        <v>6</v>
      </c>
      <c r="C663" s="7">
        <f t="shared" si="1"/>
        <v>32</v>
      </c>
      <c r="D663" s="6" t="str">
        <f t="array" ref="D663">IFERROR(INDEX(user_table!$C$2:$C3686,MATCH(C663,user_table!$B$2:$B3686,0)),"")
</f>
        <v>Ani Setiawan</v>
      </c>
      <c r="E663" s="6" t="str">
        <f t="array" ref="E663">IFERROR(INDEX(user_table!$E$2:$E3686,MATCH(C663,user_table!$B$2:$B3686,0)),"")
</f>
        <v>6, 3</v>
      </c>
      <c r="F663" s="6" t="str">
        <f t="shared" si="2"/>
        <v>16365632</v>
      </c>
      <c r="G663" s="8">
        <v>5.0</v>
      </c>
      <c r="H663" s="9">
        <v>44689.0</v>
      </c>
      <c r="I663" s="10" t="s">
        <v>665</v>
      </c>
    </row>
    <row r="664">
      <c r="A664" s="5" t="str">
        <f t="array" ref="A664">INDEX(event_table!$A$2:$A$69, RANDBETWEEN(1, COUNTA(event_table!$A$2:$A$69)))</f>
        <v>1333</v>
      </c>
      <c r="B664" s="6">
        <f t="array" ref="B664">IFERROR(INDEX(event_table!$E$1:$E3686,MATCH(A664,event_table!$A$1:$A3686,0)),"")
</f>
        <v>3</v>
      </c>
      <c r="C664" s="7">
        <f t="shared" si="1"/>
        <v>135</v>
      </c>
      <c r="D664" s="6" t="str">
        <f t="array" ref="D664">IFERROR(INDEX(user_table!$C$2:$C3686,MATCH(C664,user_table!$B$2:$B3686,0)),"")
</f>
        <v>Sinta Hermawan</v>
      </c>
      <c r="E664" s="6" t="str">
        <f t="array" ref="E664">IFERROR(INDEX(user_table!$E$2:$E3686,MATCH(C664,user_table!$B$2:$B3686,0)),"")
</f>
        <v>1, 5</v>
      </c>
      <c r="F664" s="6" t="str">
        <f t="shared" si="2"/>
        <v>133353135</v>
      </c>
      <c r="G664" s="8">
        <v>5.0</v>
      </c>
      <c r="H664" s="9">
        <v>45092.0</v>
      </c>
      <c r="I664" s="10" t="s">
        <v>666</v>
      </c>
    </row>
    <row r="665">
      <c r="A665" s="5" t="str">
        <f t="array" ref="A665">INDEX(event_table!$A$2:$A$69, RANDBETWEEN(1, COUNTA(event_table!$A$2:$A$69)))</f>
        <v>1111</v>
      </c>
      <c r="B665" s="6">
        <f t="array" ref="B665">IFERROR(INDEX(event_table!$E$1:$E3686,MATCH(A665,event_table!$A$1:$A3686,0)),"")
</f>
        <v>1</v>
      </c>
      <c r="C665" s="7">
        <f t="shared" si="1"/>
        <v>61</v>
      </c>
      <c r="D665" s="6" t="str">
        <f t="array" ref="D665">IFERROR(INDEX(user_table!$C$2:$C3686,MATCH(C665,user_table!$B$2:$B3686,0)),"")
</f>
        <v>Agus Setiawan</v>
      </c>
      <c r="E665" s="6" t="str">
        <f t="array" ref="E665">IFERROR(INDEX(user_table!$E$2:$E3686,MATCH(C665,user_table!$B$2:$B3686,0)),"")
</f>
        <v>4, 5</v>
      </c>
      <c r="F665" s="6" t="str">
        <f t="shared" si="2"/>
        <v>11115161</v>
      </c>
      <c r="G665" s="8">
        <v>5.0</v>
      </c>
      <c r="H665" s="9">
        <v>45065.0</v>
      </c>
      <c r="I665" s="10" t="s">
        <v>667</v>
      </c>
    </row>
    <row r="666">
      <c r="A666" s="5" t="str">
        <f t="array" ref="A666">INDEX(event_table!$A$2:$A$69, RANDBETWEEN(1, COUNTA(event_table!$A$2:$A$69)))</f>
        <v>1649</v>
      </c>
      <c r="B666" s="6">
        <f t="array" ref="B666">IFERROR(INDEX(event_table!$E$1:$E3686,MATCH(A666,event_table!$A$1:$A3686,0)),"")
</f>
        <v>6</v>
      </c>
      <c r="C666" s="7">
        <f t="shared" si="1"/>
        <v>155</v>
      </c>
      <c r="D666" s="6" t="str">
        <f t="array" ref="D666">IFERROR(INDEX(user_table!$C$2:$C3686,MATCH(C666,user_table!$B$2:$B3686,0)),"")
</f>
        <v>Sinta Saputra</v>
      </c>
      <c r="E666" s="6" t="str">
        <f t="array" ref="E666">IFERROR(INDEX(user_table!$E$2:$E3686,MATCH(C666,user_table!$B$2:$B3686,0)),"")
</f>
        <v>5, 2</v>
      </c>
      <c r="F666" s="6" t="str">
        <f t="shared" si="2"/>
        <v>164956155</v>
      </c>
      <c r="G666" s="8">
        <v>5.0</v>
      </c>
      <c r="H666" s="9">
        <v>45017.0</v>
      </c>
      <c r="I666" s="10" t="s">
        <v>668</v>
      </c>
    </row>
    <row r="667">
      <c r="A667" s="5" t="str">
        <f t="array" ref="A667">INDEX(event_table!$A$2:$A$69, RANDBETWEEN(1, COUNTA(event_table!$A$2:$A$69)))</f>
        <v>1648</v>
      </c>
      <c r="B667" s="6">
        <f t="array" ref="B667">IFERROR(INDEX(event_table!$E$1:$E3686,MATCH(A667,event_table!$A$1:$A3686,0)),"")
</f>
        <v>6</v>
      </c>
      <c r="C667" s="7">
        <f t="shared" si="1"/>
        <v>89</v>
      </c>
      <c r="D667" s="6" t="str">
        <f t="array" ref="D667">IFERROR(INDEX(user_table!$C$2:$C3686,MATCH(C667,user_table!$B$2:$B3686,0)),"")
</f>
        <v>Hadi Wijaya</v>
      </c>
      <c r="E667" s="6" t="str">
        <f t="array" ref="E667">IFERROR(INDEX(user_table!$E$2:$E3686,MATCH(C667,user_table!$B$2:$B3686,0)),"")
</f>
        <v>6, 4</v>
      </c>
      <c r="F667" s="6" t="str">
        <f t="shared" si="2"/>
        <v>16485689</v>
      </c>
      <c r="G667" s="8">
        <v>5.0</v>
      </c>
      <c r="H667" s="9">
        <v>44950.0</v>
      </c>
      <c r="I667" s="10" t="s">
        <v>669</v>
      </c>
    </row>
    <row r="668">
      <c r="A668" s="5" t="str">
        <f t="array" ref="A668">INDEX(event_table!$A$2:$A$69, RANDBETWEEN(1, COUNTA(event_table!$A$2:$A$69)))</f>
        <v>3657</v>
      </c>
      <c r="B668" s="6">
        <f t="array" ref="B668">IFERROR(INDEX(event_table!$E$1:$E3686,MATCH(A668,event_table!$A$1:$A3686,0)),"")
</f>
        <v>6</v>
      </c>
      <c r="C668" s="7">
        <f t="shared" si="1"/>
        <v>94</v>
      </c>
      <c r="D668" s="6" t="str">
        <f t="array" ref="D668">IFERROR(INDEX(user_table!$C$2:$C3686,MATCH(C668,user_table!$B$2:$B3686,0)),"")
</f>
        <v>Ani Susanto</v>
      </c>
      <c r="E668" s="6" t="str">
        <f t="array" ref="E668">IFERROR(INDEX(user_table!$E$2:$E3686,MATCH(C668,user_table!$B$2:$B3686,0)),"")
</f>
        <v>2, 4</v>
      </c>
      <c r="F668" s="6" t="str">
        <f t="shared" si="2"/>
        <v>36575694</v>
      </c>
      <c r="G668" s="8">
        <v>5.0</v>
      </c>
      <c r="H668" s="9">
        <v>44844.0</v>
      </c>
      <c r="I668" s="10" t="s">
        <v>576</v>
      </c>
    </row>
    <row r="669">
      <c r="A669" s="5" t="str">
        <f t="array" ref="A669">INDEX(event_table!$A$2:$A$69, RANDBETWEEN(1, COUNTA(event_table!$A$2:$A$69)))</f>
        <v>1526</v>
      </c>
      <c r="B669" s="6">
        <f t="array" ref="B669">IFERROR(INDEX(event_table!$E$1:$E3686,MATCH(A669,event_table!$A$1:$A3686,0)),"")
</f>
        <v>5</v>
      </c>
      <c r="C669" s="7">
        <f t="shared" si="1"/>
        <v>61</v>
      </c>
      <c r="D669" s="6" t="str">
        <f t="array" ref="D669">IFERROR(INDEX(user_table!$C$2:$C3686,MATCH(C669,user_table!$B$2:$B3686,0)),"")
</f>
        <v>Agus Setiawan</v>
      </c>
      <c r="E669" s="6" t="str">
        <f t="array" ref="E669">IFERROR(INDEX(user_table!$E$2:$E3686,MATCH(C669,user_table!$B$2:$B3686,0)),"")
</f>
        <v>4, 5</v>
      </c>
      <c r="F669" s="6" t="str">
        <f t="shared" si="2"/>
        <v>15265561</v>
      </c>
      <c r="G669" s="8">
        <v>5.0</v>
      </c>
      <c r="H669" s="9">
        <v>44823.0</v>
      </c>
      <c r="I669" s="10" t="s">
        <v>670</v>
      </c>
    </row>
    <row r="670">
      <c r="A670" s="5" t="str">
        <f t="array" ref="A670">INDEX(event_table!$A$2:$A$69, RANDBETWEEN(1, COUNTA(event_table!$A$2:$A$69)))</f>
        <v>3166</v>
      </c>
      <c r="B670" s="6">
        <f t="array" ref="B670">IFERROR(INDEX(event_table!$E$1:$E3686,MATCH(A670,event_table!$A$1:$A3686,0)),"")
</f>
        <v>1</v>
      </c>
      <c r="C670" s="7">
        <f t="shared" si="1"/>
        <v>197</v>
      </c>
      <c r="D670" s="6" t="str">
        <f t="array" ref="D670">IFERROR(INDEX(user_table!$C$2:$C3686,MATCH(C670,user_table!$B$2:$B3686,0)),"")
</f>
        <v>Dian Sari</v>
      </c>
      <c r="E670" s="6" t="str">
        <f t="array" ref="E670">IFERROR(INDEX(user_table!$E$2:$E3686,MATCH(C670,user_table!$B$2:$B3686,0)),"")
</f>
        <v>6, 3</v>
      </c>
      <c r="F670" s="6" t="str">
        <f t="shared" si="2"/>
        <v>316651197</v>
      </c>
      <c r="G670" s="8">
        <v>5.0</v>
      </c>
      <c r="H670" s="9">
        <v>44760.0</v>
      </c>
      <c r="I670" s="10" t="s">
        <v>671</v>
      </c>
    </row>
    <row r="671">
      <c r="A671" s="5" t="str">
        <f t="array" ref="A671">INDEX(event_table!$A$2:$A$69, RANDBETWEEN(1, COUNTA(event_table!$A$2:$A$69)))</f>
        <v>1423</v>
      </c>
      <c r="B671" s="6">
        <f t="array" ref="B671">IFERROR(INDEX(event_table!$E$1:$E3686,MATCH(A671,event_table!$A$1:$A3686,0)),"")
</f>
        <v>4</v>
      </c>
      <c r="C671" s="7">
        <f t="shared" si="1"/>
        <v>179</v>
      </c>
      <c r="D671" s="6" t="str">
        <f t="array" ref="D671">IFERROR(INDEX(user_table!$C$2:$C3686,MATCH(C671,user_table!$B$2:$B3686,0)),"")
</f>
        <v>Andi Susanto</v>
      </c>
      <c r="E671" s="6" t="str">
        <f t="array" ref="E671">IFERROR(INDEX(user_table!$E$2:$E3686,MATCH(C671,user_table!$B$2:$B3686,0)),"")
</f>
        <v>1, 6</v>
      </c>
      <c r="F671" s="6" t="str">
        <f t="shared" si="2"/>
        <v>142344179</v>
      </c>
      <c r="G671" s="8">
        <v>4.0</v>
      </c>
      <c r="H671" s="9">
        <v>45119.0</v>
      </c>
      <c r="I671" s="10" t="s">
        <v>672</v>
      </c>
    </row>
    <row r="672">
      <c r="A672" s="5" t="str">
        <f t="array" ref="A672">INDEX(event_table!$A$2:$A$69, RANDBETWEEN(1, COUNTA(event_table!$A$2:$A$69)))</f>
        <v>1647</v>
      </c>
      <c r="B672" s="6">
        <f t="array" ref="B672">IFERROR(INDEX(event_table!$E$1:$E3686,MATCH(A672,event_table!$A$1:$A3686,0)),"")
</f>
        <v>6</v>
      </c>
      <c r="C672" s="7">
        <f t="shared" si="1"/>
        <v>151</v>
      </c>
      <c r="D672" s="6" t="str">
        <f t="array" ref="D672">IFERROR(INDEX(user_table!$C$2:$C3686,MATCH(C672,user_table!$B$2:$B3686,0)),"")
</f>
        <v>Maya Hidayat</v>
      </c>
      <c r="E672" s="6" t="str">
        <f t="array" ref="E672">IFERROR(INDEX(user_table!$E$2:$E3686,MATCH(C672,user_table!$B$2:$B3686,0)),"")
</f>
        <v>2, 3</v>
      </c>
      <c r="F672" s="6" t="str">
        <f t="shared" si="2"/>
        <v>164746151</v>
      </c>
      <c r="G672" s="8">
        <v>4.0</v>
      </c>
      <c r="H672" s="9">
        <v>44748.0</v>
      </c>
      <c r="I672" s="10" t="s">
        <v>673</v>
      </c>
    </row>
    <row r="673">
      <c r="A673" s="5" t="str">
        <f t="array" ref="A673">INDEX(event_table!$A$2:$A$69, RANDBETWEEN(1, COUNTA(event_table!$A$2:$A$69)))</f>
        <v>114</v>
      </c>
      <c r="B673" s="6">
        <f t="array" ref="B673">IFERROR(INDEX(event_table!$E$1:$E3686,MATCH(A673,event_table!$A$1:$A3686,0)),"")
</f>
        <v>1</v>
      </c>
      <c r="C673" s="7">
        <f t="shared" si="1"/>
        <v>77</v>
      </c>
      <c r="D673" s="6" t="str">
        <f t="array" ref="D673">IFERROR(INDEX(user_table!$C$2:$C3686,MATCH(C673,user_table!$B$2:$B3686,0)),"")
</f>
        <v>Desi Wijaya</v>
      </c>
      <c r="E673" s="6" t="str">
        <f t="array" ref="E673">IFERROR(INDEX(user_table!$E$2:$E3686,MATCH(C673,user_table!$B$2:$B3686,0)),"")
</f>
        <v>3, 1</v>
      </c>
      <c r="F673" s="6" t="str">
        <f t="shared" si="2"/>
        <v>1144177</v>
      </c>
      <c r="G673" s="8">
        <v>4.0</v>
      </c>
      <c r="H673" s="9">
        <v>45120.0</v>
      </c>
      <c r="I673" s="10" t="s">
        <v>674</v>
      </c>
    </row>
    <row r="674">
      <c r="A674" s="5" t="str">
        <f t="array" ref="A674">INDEX(event_table!$A$2:$A$69, RANDBETWEEN(1, COUNTA(event_table!$A$2:$A$69)))</f>
        <v>1645</v>
      </c>
      <c r="B674" s="6">
        <f t="array" ref="B674">IFERROR(INDEX(event_table!$E$1:$E3686,MATCH(A674,event_table!$A$1:$A3686,0)),"")
</f>
        <v>6</v>
      </c>
      <c r="C674" s="7">
        <f t="shared" si="1"/>
        <v>124</v>
      </c>
      <c r="D674" s="6" t="str">
        <f t="array" ref="D674">IFERROR(INDEX(user_table!$C$2:$C3686,MATCH(C674,user_table!$B$2:$B3686,0)),"")
</f>
        <v>Fandi Setiawan</v>
      </c>
      <c r="E674" s="6" t="str">
        <f t="array" ref="E674">IFERROR(INDEX(user_table!$E$2:$E3686,MATCH(C674,user_table!$B$2:$B3686,0)),"")
</f>
        <v>5, 4</v>
      </c>
      <c r="F674" s="6" t="str">
        <f t="shared" si="2"/>
        <v>164546124</v>
      </c>
      <c r="G674" s="8">
        <v>4.0</v>
      </c>
      <c r="H674" s="9">
        <v>44715.0</v>
      </c>
      <c r="I674" s="10" t="s">
        <v>675</v>
      </c>
    </row>
    <row r="675">
      <c r="A675" s="5" t="str">
        <f t="array" ref="A675">INDEX(event_table!$A$2:$A$69, RANDBETWEEN(1, COUNTA(event_table!$A$2:$A$69)))</f>
        <v>1416</v>
      </c>
      <c r="B675" s="6">
        <f t="array" ref="B675">IFERROR(INDEX(event_table!$E$1:$E3686,MATCH(A675,event_table!$A$1:$A3686,0)),"")
</f>
        <v>4</v>
      </c>
      <c r="C675" s="7">
        <f t="shared" si="1"/>
        <v>157</v>
      </c>
      <c r="D675" s="6" t="str">
        <f t="array" ref="D675">IFERROR(INDEX(user_table!$C$2:$C3686,MATCH(C675,user_table!$B$2:$B3686,0)),"")
</f>
        <v>Ani Susanto</v>
      </c>
      <c r="E675" s="6" t="str">
        <f t="array" ref="E675">IFERROR(INDEX(user_table!$E$2:$E3686,MATCH(C675,user_table!$B$2:$B3686,0)),"")
</f>
        <v>4, 1</v>
      </c>
      <c r="F675" s="6" t="str">
        <f t="shared" si="2"/>
        <v>141644157</v>
      </c>
      <c r="G675" s="8">
        <v>4.0</v>
      </c>
      <c r="H675" s="9">
        <v>44929.0</v>
      </c>
      <c r="I675" s="10" t="s">
        <v>676</v>
      </c>
    </row>
    <row r="676">
      <c r="A676" s="5" t="str">
        <f t="array" ref="A676">INDEX(event_table!$A$2:$A$69, RANDBETWEEN(1, COUNTA(event_table!$A$2:$A$69)))</f>
        <v>1640</v>
      </c>
      <c r="B676" s="6">
        <f t="array" ref="B676">IFERROR(INDEX(event_table!$E$1:$E3686,MATCH(A676,event_table!$A$1:$A3686,0)),"")
</f>
        <v>6</v>
      </c>
      <c r="C676" s="7">
        <f t="shared" si="1"/>
        <v>95</v>
      </c>
      <c r="D676" s="6" t="str">
        <f t="array" ref="D676">IFERROR(INDEX(user_table!$C$2:$C3686,MATCH(C676,user_table!$B$2:$B3686,0)),"")
</f>
        <v>Ani Pratama</v>
      </c>
      <c r="E676" s="6" t="str">
        <f t="array" ref="E676">IFERROR(INDEX(user_table!$E$2:$E3686,MATCH(C676,user_table!$B$2:$B3686,0)),"")
</f>
        <v>3, 5</v>
      </c>
      <c r="F676" s="6" t="str">
        <f t="shared" si="2"/>
        <v>16404695</v>
      </c>
      <c r="G676" s="8">
        <v>4.0</v>
      </c>
      <c r="H676" s="9">
        <v>44712.0</v>
      </c>
      <c r="I676" s="10" t="s">
        <v>677</v>
      </c>
    </row>
    <row r="677">
      <c r="A677" s="5" t="str">
        <f t="array" ref="A677">INDEX(event_table!$A$2:$A$69, RANDBETWEEN(1, COUNTA(event_table!$A$2:$A$69)))</f>
        <v>1333</v>
      </c>
      <c r="B677" s="6">
        <f t="array" ref="B677">IFERROR(INDEX(event_table!$E$1:$E3686,MATCH(A677,event_table!$A$1:$A3686,0)),"")
</f>
        <v>3</v>
      </c>
      <c r="C677" s="7">
        <f t="shared" si="1"/>
        <v>51</v>
      </c>
      <c r="D677" s="6" t="str">
        <f t="array" ref="D677">IFERROR(INDEX(user_table!$C$2:$C3686,MATCH(C677,user_table!$B$2:$B3686,0)),"")
</f>
        <v>Fandi Pratama</v>
      </c>
      <c r="E677" s="6" t="str">
        <f t="array" ref="E677">IFERROR(INDEX(user_table!$E$2:$E3686,MATCH(C677,user_table!$B$2:$B3686,0)),"")
</f>
        <v>2, 1</v>
      </c>
      <c r="F677" s="6" t="str">
        <f t="shared" si="2"/>
        <v>13333351</v>
      </c>
      <c r="G677" s="8">
        <v>3.0</v>
      </c>
      <c r="H677" s="9">
        <v>45098.0</v>
      </c>
      <c r="I677" s="10" t="s">
        <v>678</v>
      </c>
    </row>
    <row r="678">
      <c r="A678" s="5" t="str">
        <f t="array" ref="A678">INDEX(event_table!$A$2:$A$69, RANDBETWEEN(1, COUNTA(event_table!$A$2:$A$69)))</f>
        <v>3658</v>
      </c>
      <c r="B678" s="6">
        <f t="array" ref="B678">IFERROR(INDEX(event_table!$E$1:$E3686,MATCH(A678,event_table!$A$1:$A3686,0)),"")
</f>
        <v>6</v>
      </c>
      <c r="C678" s="7">
        <f t="shared" si="1"/>
        <v>171</v>
      </c>
      <c r="D678" s="6" t="str">
        <f t="array" ref="D678">IFERROR(INDEX(user_table!$C$2:$C3686,MATCH(C678,user_table!$B$2:$B3686,0)),"")
</f>
        <v>Andi Santoso</v>
      </c>
      <c r="E678" s="6" t="str">
        <f t="array" ref="E678">IFERROR(INDEX(user_table!$E$2:$E3686,MATCH(C678,user_table!$B$2:$B3686,0)),"")
</f>
        <v>4, 3</v>
      </c>
      <c r="F678" s="6" t="str">
        <f t="shared" si="2"/>
        <v>365836171</v>
      </c>
      <c r="G678" s="8">
        <v>3.0</v>
      </c>
      <c r="H678" s="9">
        <v>45259.0</v>
      </c>
      <c r="I678" s="10" t="s">
        <v>679</v>
      </c>
    </row>
    <row r="679">
      <c r="A679" s="5" t="str">
        <f t="array" ref="A679">INDEX(event_table!$A$2:$A$69, RANDBETWEEN(1, COUNTA(event_table!$A$2:$A$69)))</f>
        <v>1424</v>
      </c>
      <c r="B679" s="6">
        <f t="array" ref="B679">IFERROR(INDEX(event_table!$E$1:$E3686,MATCH(A679,event_table!$A$1:$A3686,0)),"")
</f>
        <v>4</v>
      </c>
      <c r="C679" s="7">
        <f t="shared" si="1"/>
        <v>133</v>
      </c>
      <c r="D679" s="6" t="str">
        <f t="array" ref="D679">IFERROR(INDEX(user_table!$C$2:$C3686,MATCH(C679,user_table!$B$2:$B3686,0)),"")
</f>
        <v>Dewi Sari</v>
      </c>
      <c r="E679" s="6" t="str">
        <f t="array" ref="E679">IFERROR(INDEX(user_table!$E$2:$E3686,MATCH(C679,user_table!$B$2:$B3686,0)),"")
</f>
        <v>6, 5</v>
      </c>
      <c r="F679" s="6" t="str">
        <f t="shared" si="2"/>
        <v>142434133</v>
      </c>
      <c r="G679" s="8">
        <v>3.0</v>
      </c>
      <c r="H679" s="9">
        <v>45258.0</v>
      </c>
      <c r="I679" s="10" t="s">
        <v>680</v>
      </c>
    </row>
    <row r="680">
      <c r="A680" s="5" t="str">
        <f t="array" ref="A680">INDEX(event_table!$A$2:$A$69, RANDBETWEEN(1, COUNTA(event_table!$A$2:$A$69)))</f>
        <v>3166</v>
      </c>
      <c r="B680" s="6">
        <f t="array" ref="B680">IFERROR(INDEX(event_table!$E$1:$E3686,MATCH(A680,event_table!$A$1:$A3686,0)),"")
</f>
        <v>1</v>
      </c>
      <c r="C680" s="7">
        <f t="shared" si="1"/>
        <v>115</v>
      </c>
      <c r="D680" s="6" t="str">
        <f t="array" ref="D680">IFERROR(INDEX(user_table!$C$2:$C3686,MATCH(C680,user_table!$B$2:$B3686,0)),"")
</f>
        <v>Dewi Septiani</v>
      </c>
      <c r="E680" s="6" t="str">
        <f t="array" ref="E680">IFERROR(INDEX(user_table!$E$2:$E3686,MATCH(C680,user_table!$B$2:$B3686,0)),"")
</f>
        <v>6, 3</v>
      </c>
      <c r="F680" s="6" t="str">
        <f t="shared" si="2"/>
        <v>316631115</v>
      </c>
      <c r="G680" s="8">
        <v>3.0</v>
      </c>
      <c r="H680" s="9">
        <v>45157.0</v>
      </c>
      <c r="I680" s="10" t="s">
        <v>681</v>
      </c>
    </row>
    <row r="681">
      <c r="A681" s="5" t="str">
        <f t="array" ref="A681">INDEX(event_table!$A$2:$A$69, RANDBETWEEN(1, COUNTA(event_table!$A$2:$A$69)))</f>
        <v>1530</v>
      </c>
      <c r="B681" s="6">
        <f t="array" ref="B681">IFERROR(INDEX(event_table!$E$1:$E3686,MATCH(A681,event_table!$A$1:$A3686,0)),"")
</f>
        <v>5</v>
      </c>
      <c r="C681" s="7">
        <f t="shared" si="1"/>
        <v>134</v>
      </c>
      <c r="D681" s="6" t="str">
        <f t="array" ref="D681">IFERROR(INDEX(user_table!$C$2:$C3686,MATCH(C681,user_table!$B$2:$B3686,0)),"")
</f>
        <v>Maya Septiani</v>
      </c>
      <c r="E681" s="6" t="str">
        <f t="array" ref="E681">IFERROR(INDEX(user_table!$E$2:$E3686,MATCH(C681,user_table!$B$2:$B3686,0)),"")
</f>
        <v>2, 4</v>
      </c>
      <c r="F681" s="6" t="str">
        <f t="shared" si="2"/>
        <v>153035134</v>
      </c>
      <c r="G681" s="8">
        <v>3.0</v>
      </c>
      <c r="H681" s="9">
        <v>45138.0</v>
      </c>
      <c r="I681" s="10" t="s">
        <v>682</v>
      </c>
    </row>
    <row r="682">
      <c r="A682" s="5" t="str">
        <f t="array" ref="A682">INDEX(event_table!$A$2:$A$69, RANDBETWEEN(1, COUNTA(event_table!$A$2:$A$69)))</f>
        <v>1650</v>
      </c>
      <c r="B682" s="6">
        <f t="array" ref="B682">IFERROR(INDEX(event_table!$E$1:$E3686,MATCH(A682,event_table!$A$1:$A3686,0)),"")
</f>
        <v>6</v>
      </c>
      <c r="C682" s="7">
        <f t="shared" si="1"/>
        <v>73</v>
      </c>
      <c r="D682" s="6" t="str">
        <f t="array" ref="D682">IFERROR(INDEX(user_table!$C$2:$C3686,MATCH(C682,user_table!$B$2:$B3686,0)),"")
</f>
        <v>Hadi Santoso</v>
      </c>
      <c r="E682" s="6" t="str">
        <f t="array" ref="E682">IFERROR(INDEX(user_table!$E$2:$E3686,MATCH(C682,user_table!$B$2:$B3686,0)),"")
</f>
        <v>6, 3</v>
      </c>
      <c r="F682" s="6" t="str">
        <f t="shared" si="2"/>
        <v>16502673</v>
      </c>
      <c r="G682" s="8">
        <v>2.0</v>
      </c>
      <c r="H682" s="9">
        <v>45251.0</v>
      </c>
      <c r="I682" s="10" t="s">
        <v>683</v>
      </c>
    </row>
    <row r="683">
      <c r="A683" s="5" t="str">
        <f t="array" ref="A683">INDEX(event_table!$A$2:$A$69, RANDBETWEEN(1, COUNTA(event_table!$A$2:$A$69)))</f>
        <v>1528</v>
      </c>
      <c r="B683" s="6">
        <f t="array" ref="B683">IFERROR(INDEX(event_table!$E$1:$E3686,MATCH(A683,event_table!$A$1:$A3686,0)),"")
</f>
        <v>5</v>
      </c>
      <c r="C683" s="7">
        <f t="shared" si="1"/>
        <v>145</v>
      </c>
      <c r="D683" s="6" t="str">
        <f t="array" ref="D683">IFERROR(INDEX(user_table!$C$2:$C3686,MATCH(C683,user_table!$B$2:$B3686,0)),"")
</f>
        <v>Arif Nugroho</v>
      </c>
      <c r="E683" s="6" t="str">
        <f t="array" ref="E683">IFERROR(INDEX(user_table!$E$2:$E3686,MATCH(C683,user_table!$B$2:$B3686,0)),"")
</f>
        <v>1, 4</v>
      </c>
      <c r="F683" s="6" t="str">
        <f t="shared" si="2"/>
        <v>152825145</v>
      </c>
      <c r="G683" s="8">
        <v>2.0</v>
      </c>
      <c r="H683" s="9">
        <v>44806.0</v>
      </c>
      <c r="I683" s="10" t="s">
        <v>684</v>
      </c>
    </row>
    <row r="684">
      <c r="A684" s="5" t="str">
        <f t="array" ref="A684">INDEX(event_table!$A$2:$A$69, RANDBETWEEN(1, COUNTA(event_table!$A$2:$A$69)))</f>
        <v>111</v>
      </c>
      <c r="B684" s="6">
        <f t="array" ref="B684">IFERROR(INDEX(event_table!$E$1:$E3686,MATCH(A684,event_table!$A$1:$A3686,0)),"")
</f>
        <v>1</v>
      </c>
      <c r="C684" s="7">
        <f t="shared" si="1"/>
        <v>128</v>
      </c>
      <c r="D684" s="6" t="str">
        <f t="array" ref="D684">IFERROR(INDEX(user_table!$C$2:$C3686,MATCH(C684,user_table!$B$2:$B3686,0)),"")
</f>
        <v>Bambang Utami</v>
      </c>
      <c r="E684" s="6" t="str">
        <f t="array" ref="E684">IFERROR(INDEX(user_table!$E$2:$E3686,MATCH(C684,user_table!$B$2:$B3686,0)),"")
</f>
        <v>3, 6</v>
      </c>
      <c r="F684" s="6" t="str">
        <f t="shared" si="2"/>
        <v>11121128</v>
      </c>
      <c r="G684" s="8">
        <v>2.0</v>
      </c>
      <c r="H684" s="9">
        <v>45240.0</v>
      </c>
      <c r="I684" s="10" t="s">
        <v>685</v>
      </c>
    </row>
    <row r="685">
      <c r="A685" s="5" t="str">
        <f t="array" ref="A685">INDEX(event_table!$A$2:$A$69, RANDBETWEEN(1, COUNTA(event_table!$A$2:$A$69)))</f>
        <v>114</v>
      </c>
      <c r="B685" s="6">
        <f t="array" ref="B685">IFERROR(INDEX(event_table!$E$1:$E3686,MATCH(A685,event_table!$A$1:$A3686,0)),"")
</f>
        <v>1</v>
      </c>
      <c r="C685" s="7">
        <f t="shared" si="1"/>
        <v>101</v>
      </c>
      <c r="D685" s="6" t="str">
        <f t="array" ref="D685">IFERROR(INDEX(user_table!$C$2:$C3686,MATCH(C685,user_table!$B$2:$B3686,0)),"")
</f>
        <v>Maya Hadiwijaya</v>
      </c>
      <c r="E685" s="6" t="str">
        <f t="array" ref="E685">IFERROR(INDEX(user_table!$E$2:$E3686,MATCH(C685,user_table!$B$2:$B3686,0)),"")
</f>
        <v>5, 4</v>
      </c>
      <c r="F685" s="6" t="str">
        <f t="shared" si="2"/>
        <v>11421101</v>
      </c>
      <c r="G685" s="8">
        <v>2.0</v>
      </c>
      <c r="H685" s="9">
        <v>45060.0</v>
      </c>
      <c r="I685" s="10" t="s">
        <v>686</v>
      </c>
    </row>
    <row r="686">
      <c r="A686" s="5" t="str">
        <f t="array" ref="A686">INDEX(event_table!$A$2:$A$69, RANDBETWEEN(1, COUNTA(event_table!$A$2:$A$69)))</f>
        <v>116</v>
      </c>
      <c r="B686" s="6">
        <f t="array" ref="B686">IFERROR(INDEX(event_table!$E$1:$E3686,MATCH(A686,event_table!$A$1:$A3686,0)),"")
</f>
        <v>1</v>
      </c>
      <c r="C686" s="7">
        <f t="shared" si="1"/>
        <v>130</v>
      </c>
      <c r="D686" s="6" t="str">
        <f t="array" ref="D686">IFERROR(INDEX(user_table!$C$2:$C3686,MATCH(C686,user_table!$B$2:$B3686,0)),"")
</f>
        <v>Andi Putri</v>
      </c>
      <c r="E686" s="6" t="str">
        <f t="array" ref="E686">IFERROR(INDEX(user_table!$E$2:$E3686,MATCH(C686,user_table!$B$2:$B3686,0)),"")
</f>
        <v>2, 3</v>
      </c>
      <c r="F686" s="6" t="str">
        <f t="shared" si="2"/>
        <v>11621130</v>
      </c>
      <c r="G686" s="8">
        <v>2.0</v>
      </c>
      <c r="H686" s="9">
        <v>45048.0</v>
      </c>
      <c r="I686" s="10" t="s">
        <v>687</v>
      </c>
    </row>
    <row r="687">
      <c r="A687" s="5" t="str">
        <f t="array" ref="A687">INDEX(event_table!$A$2:$A$69, RANDBETWEEN(1, COUNTA(event_table!$A$2:$A$69)))</f>
        <v>1417</v>
      </c>
      <c r="B687" s="6">
        <f t="array" ref="B687">IFERROR(INDEX(event_table!$E$1:$E3686,MATCH(A687,event_table!$A$1:$A3686,0)),"")
</f>
        <v>4</v>
      </c>
      <c r="C687" s="7">
        <f t="shared" si="1"/>
        <v>47</v>
      </c>
      <c r="D687" s="6" t="str">
        <f t="array" ref="D687">IFERROR(INDEX(user_table!$C$2:$C3686,MATCH(C687,user_table!$B$2:$B3686,0)),"")
</f>
        <v>Fandi Kurniawan</v>
      </c>
      <c r="E687" s="6" t="str">
        <f t="array" ref="E687">IFERROR(INDEX(user_table!$E$2:$E3686,MATCH(C687,user_table!$B$2:$B3686,0)),"")
</f>
        <v>5, 6</v>
      </c>
      <c r="F687" s="6" t="str">
        <f t="shared" si="2"/>
        <v>14172447</v>
      </c>
      <c r="G687" s="8">
        <v>2.0</v>
      </c>
      <c r="H687" s="9">
        <v>45038.0</v>
      </c>
      <c r="I687" s="10" t="s">
        <v>688</v>
      </c>
    </row>
    <row r="688">
      <c r="A688" s="5" t="str">
        <f t="array" ref="A688">INDEX(event_table!$A$2:$A$69, RANDBETWEEN(1, COUNTA(event_table!$A$2:$A$69)))</f>
        <v>1641</v>
      </c>
      <c r="B688" s="6">
        <f t="array" ref="B688">IFERROR(INDEX(event_table!$E$1:$E3686,MATCH(A688,event_table!$A$1:$A3686,0)),"")
</f>
        <v>6</v>
      </c>
      <c r="C688" s="7">
        <f t="shared" si="1"/>
        <v>136</v>
      </c>
      <c r="D688" s="6" t="str">
        <f t="array" ref="D688">IFERROR(INDEX(user_table!$C$2:$C3686,MATCH(C688,user_table!$B$2:$B3686,0)),"")
</f>
        <v>Fandi Purnama</v>
      </c>
      <c r="E688" s="6" t="str">
        <f t="array" ref="E688">IFERROR(INDEX(user_table!$E$2:$E3686,MATCH(C688,user_table!$B$2:$B3686,0)),"")
</f>
        <v>5, 6</v>
      </c>
      <c r="F688" s="6" t="str">
        <f t="shared" si="2"/>
        <v>164116136</v>
      </c>
      <c r="G688" s="8">
        <v>1.0</v>
      </c>
      <c r="H688" s="9">
        <v>45222.0</v>
      </c>
      <c r="I688" s="10" t="s">
        <v>689</v>
      </c>
    </row>
    <row r="689">
      <c r="A689" s="5" t="str">
        <f t="array" ref="A689">INDEX(event_table!$A$2:$A$69, RANDBETWEEN(1, COUNTA(event_table!$A$2:$A$69)))</f>
        <v>1215</v>
      </c>
      <c r="B689" s="6">
        <f t="array" ref="B689">IFERROR(INDEX(event_table!$E$1:$E3686,MATCH(A689,event_table!$A$1:$A3686,0)),"")
</f>
        <v>2</v>
      </c>
      <c r="C689" s="7">
        <f t="shared" si="1"/>
        <v>93</v>
      </c>
      <c r="D689" s="6" t="str">
        <f t="array" ref="D689">IFERROR(INDEX(user_table!$C$2:$C3686,MATCH(C689,user_table!$B$2:$B3686,0)),"")
</f>
        <v>Hadi Putri</v>
      </c>
      <c r="E689" s="6" t="str">
        <f t="array" ref="E689">IFERROR(INDEX(user_table!$E$2:$E3686,MATCH(C689,user_table!$B$2:$B3686,0)),"")
</f>
        <v>5, 6</v>
      </c>
      <c r="F689" s="6" t="str">
        <f t="shared" si="2"/>
        <v>12151293</v>
      </c>
      <c r="G689" s="8">
        <v>1.0</v>
      </c>
      <c r="H689" s="9">
        <v>45235.0</v>
      </c>
      <c r="I689" s="10" t="s">
        <v>690</v>
      </c>
    </row>
    <row r="690">
      <c r="A690" s="5" t="str">
        <f t="array" ref="A690">INDEX(event_table!$A$2:$A$69, RANDBETWEEN(1, COUNTA(event_table!$A$2:$A$69)))</f>
        <v>3167</v>
      </c>
      <c r="B690" s="6">
        <f t="array" ref="B690">IFERROR(INDEX(event_table!$E$1:$E3686,MATCH(A690,event_table!$A$1:$A3686,0)),"")
</f>
        <v>1</v>
      </c>
      <c r="C690" s="7">
        <f t="shared" si="1"/>
        <v>63</v>
      </c>
      <c r="D690" s="6" t="str">
        <f t="array" ref="D690">IFERROR(INDEX(user_table!$C$2:$C3686,MATCH(C690,user_table!$B$2:$B3686,0)),"")
</f>
        <v>Desi Putri</v>
      </c>
      <c r="E690" s="6" t="str">
        <f t="array" ref="E690">IFERROR(INDEX(user_table!$E$2:$E3686,MATCH(C690,user_table!$B$2:$B3686,0)),"")
</f>
        <v>2, 5</v>
      </c>
      <c r="F690" s="6" t="str">
        <f t="shared" si="2"/>
        <v>31671163</v>
      </c>
      <c r="G690" s="8">
        <v>1.0</v>
      </c>
      <c r="H690" s="9">
        <v>45201.0</v>
      </c>
      <c r="I690" s="10" t="s">
        <v>691</v>
      </c>
    </row>
    <row r="691">
      <c r="A691" s="5" t="str">
        <f t="array" ref="A691">INDEX(event_table!$A$2:$A$69, RANDBETWEEN(1, COUNTA(event_table!$A$2:$A$69)))</f>
        <v>1424</v>
      </c>
      <c r="B691" s="6">
        <f t="array" ref="B691">IFERROR(INDEX(event_table!$E$1:$E3686,MATCH(A691,event_table!$A$1:$A3686,0)),"")
</f>
        <v>4</v>
      </c>
      <c r="C691" s="7">
        <f t="shared" si="1"/>
        <v>111</v>
      </c>
      <c r="D691" s="6" t="str">
        <f t="array" ref="D691">IFERROR(INDEX(user_table!$C$2:$C3686,MATCH(C691,user_table!$B$2:$B3686,0)),"")
</f>
        <v>Hadi Kurniawan</v>
      </c>
      <c r="E691" s="6" t="str">
        <f t="array" ref="E691">IFERROR(INDEX(user_table!$E$2:$E3686,MATCH(C691,user_table!$B$2:$B3686,0)),"")
</f>
        <v>3, 4</v>
      </c>
      <c r="F691" s="6" t="str">
        <f t="shared" si="2"/>
        <v>142414111</v>
      </c>
      <c r="G691" s="8">
        <v>1.0</v>
      </c>
      <c r="H691" s="9">
        <v>45150.0</v>
      </c>
      <c r="I691" s="10" t="s">
        <v>692</v>
      </c>
    </row>
    <row r="692">
      <c r="A692" s="5" t="str">
        <f t="array" ref="A692">INDEX(event_table!$A$2:$A$69, RANDBETWEEN(1, COUNTA(event_table!$A$2:$A$69)))</f>
        <v>122</v>
      </c>
      <c r="B692" s="6">
        <f t="array" ref="B692">IFERROR(INDEX(event_table!$E$1:$E3686,MATCH(A692,event_table!$A$1:$A3686,0)),"")
</f>
        <v>2</v>
      </c>
      <c r="C692" s="7">
        <f t="shared" si="1"/>
        <v>173</v>
      </c>
      <c r="D692" s="6" t="str">
        <f t="array" ref="D692">IFERROR(INDEX(user_table!$C$2:$C3686,MATCH(C692,user_table!$B$2:$B3686,0)),"")
</f>
        <v>Fajar Putri</v>
      </c>
      <c r="E692" s="6" t="str">
        <f t="array" ref="E692">IFERROR(INDEX(user_table!$E$2:$E3686,MATCH(C692,user_table!$B$2:$B3686,0)),"")
</f>
        <v>2, 6</v>
      </c>
      <c r="F692" s="6" t="str">
        <f t="shared" si="2"/>
        <v>12212173</v>
      </c>
      <c r="G692" s="8">
        <v>1.0</v>
      </c>
      <c r="H692" s="9">
        <v>45144.0</v>
      </c>
      <c r="I692" s="10" t="s">
        <v>693</v>
      </c>
    </row>
    <row r="693">
      <c r="A693" s="5" t="str">
        <f t="array" ref="A693">INDEX(event_table!$A$2:$A$69, RANDBETWEEN(1, COUNTA(event_table!$A$2:$A$69)))</f>
        <v>3165</v>
      </c>
      <c r="B693" s="6">
        <f t="array" ref="B693">IFERROR(INDEX(event_table!$E$1:$E3686,MATCH(A693,event_table!$A$1:$A3686,0)),"")
</f>
        <v>1</v>
      </c>
      <c r="C693" s="7">
        <f t="shared" si="1"/>
        <v>174</v>
      </c>
      <c r="D693" s="6" t="str">
        <f t="array" ref="D693">IFERROR(INDEX(user_table!$C$2:$C3686,MATCH(C693,user_table!$B$2:$B3686,0)),"")
</f>
        <v>Maya Hermawan</v>
      </c>
      <c r="E693" s="6" t="str">
        <f t="array" ref="E693">IFERROR(INDEX(user_table!$E$2:$E3686,MATCH(C693,user_table!$B$2:$B3686,0)),"")
</f>
        <v>5, 1</v>
      </c>
      <c r="F693" s="6" t="str">
        <f t="shared" si="2"/>
        <v>316511174</v>
      </c>
      <c r="G693" s="8">
        <v>1.0</v>
      </c>
      <c r="H693" s="9">
        <v>45136.0</v>
      </c>
      <c r="I693" s="10" t="s">
        <v>694</v>
      </c>
    </row>
    <row r="694">
      <c r="A694" s="5" t="str">
        <f t="array" ref="A694">INDEX(event_table!$A$2:$A$69, RANDBETWEEN(1, COUNTA(event_table!$A$2:$A$69)))</f>
        <v>3657</v>
      </c>
      <c r="B694" s="6">
        <f t="array" ref="B694">IFERROR(INDEX(event_table!$E$1:$E3686,MATCH(A694,event_table!$A$1:$A3686,0)),"")
</f>
        <v>6</v>
      </c>
      <c r="C694" s="7">
        <f t="shared" si="1"/>
        <v>18</v>
      </c>
      <c r="D694" s="6" t="str">
        <f t="array" ref="D694">IFERROR(INDEX(user_table!$C$2:$C3686,MATCH(C694,user_table!$B$2:$B3686,0)),"")
</f>
        <v>Rudi Santoso</v>
      </c>
      <c r="E694" s="6" t="str">
        <f t="array" ref="E694">IFERROR(INDEX(user_table!$E$2:$E3686,MATCH(C694,user_table!$B$2:$B3686,0)),"")
</f>
        <v>4, 2</v>
      </c>
      <c r="F694" s="6" t="str">
        <f t="shared" si="2"/>
        <v>36571618</v>
      </c>
      <c r="G694" s="8">
        <v>1.0</v>
      </c>
      <c r="H694" s="9">
        <v>45110.0</v>
      </c>
      <c r="I694" s="10" t="s">
        <v>695</v>
      </c>
    </row>
    <row r="695">
      <c r="A695" s="5" t="str">
        <f t="array" ref="A695">INDEX(event_table!$A$2:$A$69, RANDBETWEEN(1, COUNTA(event_table!$A$2:$A$69)))</f>
        <v>1332</v>
      </c>
      <c r="B695" s="6">
        <f t="array" ref="B695">IFERROR(INDEX(event_table!$E$1:$E3686,MATCH(A695,event_table!$A$1:$A3686,0)),"")
</f>
        <v>3</v>
      </c>
      <c r="C695" s="7">
        <f t="shared" si="1"/>
        <v>154</v>
      </c>
      <c r="D695" s="6" t="str">
        <f t="array" ref="D695">IFERROR(INDEX(user_table!$C$2:$C3686,MATCH(C695,user_table!$B$2:$B3686,0)),"")
</f>
        <v>Dian Nurhayati</v>
      </c>
      <c r="E695" s="6" t="str">
        <f t="array" ref="E695">IFERROR(INDEX(user_table!$E$2:$E3686,MATCH(C695,user_table!$B$2:$B3686,0)),"")
</f>
        <v>5, 3</v>
      </c>
      <c r="F695" s="6" t="str">
        <f t="shared" si="2"/>
        <v>133213154</v>
      </c>
      <c r="G695" s="8">
        <v>1.0</v>
      </c>
      <c r="H695" s="9">
        <v>45084.0</v>
      </c>
      <c r="I695" s="10" t="s">
        <v>696</v>
      </c>
    </row>
    <row r="696">
      <c r="A696" s="5" t="str">
        <f t="array" ref="A696">INDEX(event_table!$A$2:$A$69, RANDBETWEEN(1, COUNTA(event_table!$A$2:$A$69)))</f>
        <v>1642</v>
      </c>
      <c r="B696" s="6">
        <f t="array" ref="B696">IFERROR(INDEX(event_table!$E$1:$E3686,MATCH(A696,event_table!$A$1:$A3686,0)),"")
</f>
        <v>6</v>
      </c>
      <c r="C696" s="7">
        <f t="shared" si="1"/>
        <v>128</v>
      </c>
      <c r="D696" s="6" t="str">
        <f t="array" ref="D696">IFERROR(INDEX(user_table!$C$2:$C3686,MATCH(C696,user_table!$B$2:$B3686,0)),"")
</f>
        <v>Bambang Utami</v>
      </c>
      <c r="E696" s="6" t="str">
        <f t="array" ref="E696">IFERROR(INDEX(user_table!$E$2:$E3686,MATCH(C696,user_table!$B$2:$B3686,0)),"")
</f>
        <v>3, 6</v>
      </c>
      <c r="F696" s="6" t="str">
        <f t="shared" si="2"/>
        <v>164216128</v>
      </c>
      <c r="G696" s="8">
        <v>1.0</v>
      </c>
      <c r="H696" s="9">
        <v>45071.0</v>
      </c>
      <c r="I696" s="10" t="s">
        <v>697</v>
      </c>
    </row>
    <row r="697">
      <c r="A697" s="5" t="str">
        <f t="array" ref="A697">INDEX(event_table!$A$2:$A$69, RANDBETWEEN(1, COUNTA(event_table!$A$2:$A$69)))</f>
        <v>1519</v>
      </c>
      <c r="B697" s="6">
        <f t="array" ref="B697">IFERROR(INDEX(event_table!$E$1:$E3686,MATCH(A697,event_table!$A$1:$A3686,0)),"")
</f>
        <v>5</v>
      </c>
      <c r="C697" s="7">
        <f t="shared" si="1"/>
        <v>1</v>
      </c>
      <c r="D697" s="6" t="str">
        <f t="array" ref="D697">IFERROR(INDEX(user_table!$C$2:$C3686,MATCH(C697,user_table!$B$2:$B3686,0)),"")
</f>
        <v>Maya Putri</v>
      </c>
      <c r="E697" s="6" t="str">
        <f t="array" ref="E697">IFERROR(INDEX(user_table!$E$2:$E3686,MATCH(C697,user_table!$B$2:$B3686,0)),"")
</f>
        <v>5, 6</v>
      </c>
      <c r="F697" s="6" t="str">
        <f t="shared" si="2"/>
        <v>1519151</v>
      </c>
      <c r="G697" s="8">
        <v>1.0</v>
      </c>
      <c r="H697" s="9">
        <v>45052.0</v>
      </c>
      <c r="I697" s="10" t="s">
        <v>698</v>
      </c>
    </row>
    <row r="698">
      <c r="A698" s="5" t="str">
        <f t="array" ref="A698">INDEX(event_table!$A$2:$A$69, RANDBETWEEN(1, COUNTA(event_table!$A$2:$A$69)))</f>
        <v>1640</v>
      </c>
      <c r="B698" s="6">
        <f t="array" ref="B698">IFERROR(INDEX(event_table!$E$1:$E3686,MATCH(A698,event_table!$A$1:$A3686,0)),"")
</f>
        <v>6</v>
      </c>
      <c r="C698" s="7">
        <f t="shared" si="1"/>
        <v>124</v>
      </c>
      <c r="D698" s="6" t="str">
        <f t="array" ref="D698">IFERROR(INDEX(user_table!$C$2:$C3686,MATCH(C698,user_table!$B$2:$B3686,0)),"")
</f>
        <v>Fandi Setiawan</v>
      </c>
      <c r="E698" s="6" t="str">
        <f t="array" ref="E698">IFERROR(INDEX(user_table!$E$2:$E3686,MATCH(C698,user_table!$B$2:$B3686,0)),"")
</f>
        <v>5, 4</v>
      </c>
      <c r="F698" s="6" t="str">
        <f t="shared" si="2"/>
        <v>164056124</v>
      </c>
      <c r="G698" s="8">
        <v>5.0</v>
      </c>
      <c r="H698" s="9">
        <v>44725.0</v>
      </c>
      <c r="I698" s="10" t="s">
        <v>699</v>
      </c>
    </row>
    <row r="699">
      <c r="A699" s="5" t="str">
        <f t="array" ref="A699">INDEX(event_table!$A$2:$A$69, RANDBETWEEN(1, COUNTA(event_table!$A$2:$A$69)))</f>
        <v>1640</v>
      </c>
      <c r="B699" s="6">
        <f t="array" ref="B699">IFERROR(INDEX(event_table!$E$1:$E3686,MATCH(A699,event_table!$A$1:$A3686,0)),"")
</f>
        <v>6</v>
      </c>
      <c r="C699" s="7">
        <f t="shared" si="1"/>
        <v>100</v>
      </c>
      <c r="D699" s="6" t="str">
        <f t="array" ref="D699">IFERROR(INDEX(user_table!$C$2:$C3686,MATCH(C699,user_table!$B$2:$B3686,0)),"")
</f>
        <v>Lina Rahayu</v>
      </c>
      <c r="E699" s="6" t="str">
        <f t="array" ref="E699">IFERROR(INDEX(user_table!$E$2:$E3686,MATCH(C699,user_table!$B$2:$B3686,0)),"")
</f>
        <v>6, 2</v>
      </c>
      <c r="F699" s="6" t="str">
        <f t="shared" si="2"/>
        <v>164056100</v>
      </c>
      <c r="G699" s="8">
        <v>5.0</v>
      </c>
      <c r="H699" s="9">
        <v>44717.0</v>
      </c>
      <c r="I699" s="10" t="s">
        <v>700</v>
      </c>
    </row>
    <row r="700">
      <c r="A700" s="5" t="str">
        <f t="array" ref="A700">INDEX(event_table!$A$2:$A$69, RANDBETWEEN(1, COUNTA(event_table!$A$2:$A$69)))</f>
        <v>1648</v>
      </c>
      <c r="B700" s="6">
        <f t="array" ref="B700">IFERROR(INDEX(event_table!$E$1:$E3686,MATCH(A700,event_table!$A$1:$A3686,0)),"")
</f>
        <v>6</v>
      </c>
      <c r="C700" s="7">
        <f t="shared" si="1"/>
        <v>33</v>
      </c>
      <c r="D700" s="6" t="str">
        <f t="array" ref="D700">IFERROR(INDEX(user_table!$C$2:$C3686,MATCH(C700,user_table!$B$2:$B3686,0)),"")
</f>
        <v>Dewi Wijaya</v>
      </c>
      <c r="E700" s="6" t="str">
        <f t="array" ref="E700">IFERROR(INDEX(user_table!$E$2:$E3686,MATCH(C700,user_table!$B$2:$B3686,0)),"")
</f>
        <v>4, 2</v>
      </c>
      <c r="F700" s="6" t="str">
        <f t="shared" si="2"/>
        <v>16485633</v>
      </c>
      <c r="G700" s="8">
        <v>5.0</v>
      </c>
      <c r="H700" s="9">
        <v>44714.0</v>
      </c>
      <c r="I700" s="10" t="s">
        <v>701</v>
      </c>
    </row>
    <row r="701">
      <c r="A701" s="5" t="str">
        <f t="array" ref="A701">INDEX(event_table!$A$2:$A$69, RANDBETWEEN(1, COUNTA(event_table!$A$2:$A$69)))</f>
        <v>118</v>
      </c>
      <c r="B701" s="6">
        <f t="array" ref="B701">IFERROR(INDEX(event_table!$E$1:$E3686,MATCH(A701,event_table!$A$1:$A3686,0)),"")
</f>
        <v>1</v>
      </c>
      <c r="C701" s="7">
        <f t="shared" si="1"/>
        <v>116</v>
      </c>
      <c r="D701" s="6" t="str">
        <f t="array" ref="D701">IFERROR(INDEX(user_table!$C$2:$C3686,MATCH(C701,user_table!$B$2:$B3686,0)),"")
</f>
        <v>Fandi Hartono</v>
      </c>
      <c r="E701" s="6" t="str">
        <f t="array" ref="E701">IFERROR(INDEX(user_table!$E$2:$E3686,MATCH(C701,user_table!$B$2:$B3686,0)),"")
</f>
        <v>2, 1</v>
      </c>
      <c r="F701" s="6" t="str">
        <f t="shared" si="2"/>
        <v>11851116</v>
      </c>
      <c r="G701" s="8">
        <v>5.0</v>
      </c>
      <c r="H701" s="9">
        <v>44698.0</v>
      </c>
      <c r="I701" s="10" t="s">
        <v>702</v>
      </c>
    </row>
    <row r="702">
      <c r="A702" s="5" t="str">
        <f t="array" ref="A702">INDEX(event_table!$A$2:$A$69, RANDBETWEEN(1, COUNTA(event_table!$A$2:$A$69)))</f>
        <v>1111</v>
      </c>
      <c r="B702" s="6">
        <f t="array" ref="B702">IFERROR(INDEX(event_table!$E$1:$E3686,MATCH(A702,event_table!$A$1:$A3686,0)),"")
</f>
        <v>1</v>
      </c>
      <c r="C702" s="7">
        <f t="shared" si="1"/>
        <v>20</v>
      </c>
      <c r="D702" s="6" t="str">
        <f t="array" ref="D702">IFERROR(INDEX(user_table!$C$2:$C3686,MATCH(C702,user_table!$B$2:$B3686,0)),"")
</f>
        <v>Arif Septiani</v>
      </c>
      <c r="E702" s="6" t="str">
        <f t="array" ref="E702">IFERROR(INDEX(user_table!$E$2:$E3686,MATCH(C702,user_table!$B$2:$B3686,0)),"")
</f>
        <v>6, 3</v>
      </c>
      <c r="F702" s="6" t="str">
        <f t="shared" si="2"/>
        <v>11115120</v>
      </c>
      <c r="G702" s="8">
        <v>5.0</v>
      </c>
      <c r="H702" s="9">
        <v>44693.0</v>
      </c>
      <c r="I702" s="10" t="s">
        <v>703</v>
      </c>
    </row>
    <row r="703">
      <c r="A703" s="5" t="str">
        <f t="array" ref="A703">INDEX(event_table!$A$2:$A$69, RANDBETWEEN(1, COUNTA(event_table!$A$2:$A$69)))</f>
        <v>1640</v>
      </c>
      <c r="B703" s="6">
        <f t="array" ref="B703">IFERROR(INDEX(event_table!$E$1:$E3686,MATCH(A703,event_table!$A$1:$A3686,0)),"")
</f>
        <v>6</v>
      </c>
      <c r="C703" s="7">
        <f t="shared" si="1"/>
        <v>142</v>
      </c>
      <c r="D703" s="6" t="str">
        <f t="array" ref="D703">IFERROR(INDEX(user_table!$C$2:$C3686,MATCH(C703,user_table!$B$2:$B3686,0)),"")
</f>
        <v>Siti Rahayu</v>
      </c>
      <c r="E703" s="6" t="str">
        <f t="array" ref="E703">IFERROR(INDEX(user_table!$E$2:$E3686,MATCH(C703,user_table!$B$2:$B3686,0)),"")
</f>
        <v>6, 3</v>
      </c>
      <c r="F703" s="6" t="str">
        <f t="shared" si="2"/>
        <v>164056142</v>
      </c>
      <c r="G703" s="8">
        <v>5.0</v>
      </c>
      <c r="H703" s="9">
        <v>44690.0</v>
      </c>
      <c r="I703" s="10" t="s">
        <v>62</v>
      </c>
    </row>
    <row r="704">
      <c r="A704" s="5" t="str">
        <f t="array" ref="A704">INDEX(event_table!$A$2:$A$69, RANDBETWEEN(1, COUNTA(event_table!$A$2:$A$69)))</f>
        <v>3163</v>
      </c>
      <c r="B704" s="6">
        <f t="array" ref="B704">IFERROR(INDEX(event_table!$E$1:$E3686,MATCH(A704,event_table!$A$1:$A3686,0)),"")
</f>
        <v>1</v>
      </c>
      <c r="C704" s="7">
        <f t="shared" si="1"/>
        <v>112</v>
      </c>
      <c r="D704" s="6" t="str">
        <f t="array" ref="D704">IFERROR(INDEX(user_table!$C$2:$C3686,MATCH(C704,user_table!$B$2:$B3686,0)),"")
</f>
        <v>Ani Hadiwijaya</v>
      </c>
      <c r="E704" s="6" t="str">
        <f t="array" ref="E704">IFERROR(INDEX(user_table!$E$2:$E3686,MATCH(C704,user_table!$B$2:$B3686,0)),"")
</f>
        <v>3, 5</v>
      </c>
      <c r="F704" s="6" t="str">
        <f t="shared" si="2"/>
        <v>316351112</v>
      </c>
      <c r="G704" s="8">
        <v>5.0</v>
      </c>
      <c r="H704" s="9">
        <v>44689.0</v>
      </c>
      <c r="I704" s="10" t="s">
        <v>704</v>
      </c>
    </row>
    <row r="705">
      <c r="A705" s="5" t="str">
        <f t="array" ref="A705">INDEX(event_table!$A$2:$A$69, RANDBETWEEN(1, COUNTA(event_table!$A$2:$A$69)))</f>
        <v>1528</v>
      </c>
      <c r="B705" s="6">
        <f t="array" ref="B705">IFERROR(INDEX(event_table!$E$1:$E3686,MATCH(A705,event_table!$A$1:$A3686,0)),"")
</f>
        <v>5</v>
      </c>
      <c r="C705" s="7">
        <f t="shared" si="1"/>
        <v>90</v>
      </c>
      <c r="D705" s="6" t="str">
        <f t="array" ref="D705">IFERROR(INDEX(user_table!$C$2:$C3686,MATCH(C705,user_table!$B$2:$B3686,0)),"")
</f>
        <v>Dina Saputra</v>
      </c>
      <c r="E705" s="6" t="str">
        <f t="array" ref="E705">IFERROR(INDEX(user_table!$E$2:$E3686,MATCH(C705,user_table!$B$2:$B3686,0)),"")
</f>
        <v>1, 2</v>
      </c>
      <c r="F705" s="6" t="str">
        <f t="shared" si="2"/>
        <v>15285590</v>
      </c>
      <c r="G705" s="8">
        <v>5.0</v>
      </c>
      <c r="H705" s="9">
        <v>44687.0</v>
      </c>
      <c r="I705" s="10" t="s">
        <v>705</v>
      </c>
    </row>
    <row r="706">
      <c r="A706" s="5" t="str">
        <f t="array" ref="A706">INDEX(event_table!$A$2:$A$69, RANDBETWEEN(1, COUNTA(event_table!$A$2:$A$69)))</f>
        <v>1647</v>
      </c>
      <c r="B706" s="6">
        <f t="array" ref="B706">IFERROR(INDEX(event_table!$E$1:$E3686,MATCH(A706,event_table!$A$1:$A3686,0)),"")
</f>
        <v>6</v>
      </c>
      <c r="C706" s="7">
        <f t="shared" si="1"/>
        <v>46</v>
      </c>
      <c r="D706" s="6" t="str">
        <f t="array" ref="D706">IFERROR(INDEX(user_table!$C$2:$C3686,MATCH(C706,user_table!$B$2:$B3686,0)),"")
</f>
        <v>Dian Wijaya</v>
      </c>
      <c r="E706" s="6" t="str">
        <f t="array" ref="E706">IFERROR(INDEX(user_table!$E$2:$E3686,MATCH(C706,user_table!$B$2:$B3686,0)),"")
</f>
        <v>2, 2</v>
      </c>
      <c r="F706" s="6" t="str">
        <f t="shared" si="2"/>
        <v>16475646</v>
      </c>
      <c r="G706" s="8">
        <v>5.0</v>
      </c>
      <c r="H706" s="9">
        <v>45233.0</v>
      </c>
      <c r="I706" s="10" t="s">
        <v>706</v>
      </c>
    </row>
    <row r="707">
      <c r="A707" s="5" t="str">
        <f t="array" ref="A707">INDEX(event_table!$A$2:$A$69, RANDBETWEEN(1, COUNTA(event_table!$A$2:$A$69)))</f>
        <v>1215</v>
      </c>
      <c r="B707" s="6">
        <f t="array" ref="B707">IFERROR(INDEX(event_table!$E$1:$E3686,MATCH(A707,event_table!$A$1:$A3686,0)),"")
</f>
        <v>2</v>
      </c>
      <c r="C707" s="7">
        <f t="shared" si="1"/>
        <v>31</v>
      </c>
      <c r="D707" s="6" t="str">
        <f t="array" ref="D707">IFERROR(INDEX(user_table!$C$2:$C3686,MATCH(C707,user_table!$B$2:$B3686,0)),"")
</f>
        <v>Dian Hidayat</v>
      </c>
      <c r="E707" s="6" t="str">
        <f t="array" ref="E707">IFERROR(INDEX(user_table!$E$2:$E3686,MATCH(C707,user_table!$B$2:$B3686,0)),"")
</f>
        <v>3, 5</v>
      </c>
      <c r="F707" s="6" t="str">
        <f t="shared" si="2"/>
        <v>12155231</v>
      </c>
      <c r="G707" s="8">
        <v>5.0</v>
      </c>
      <c r="H707" s="9">
        <v>45095.0</v>
      </c>
      <c r="I707" s="10" t="s">
        <v>707</v>
      </c>
    </row>
    <row r="708">
      <c r="A708" s="5" t="str">
        <f t="array" ref="A708">INDEX(event_table!$A$2:$A$69, RANDBETWEEN(1, COUNTA(event_table!$A$2:$A$69)))</f>
        <v>1335</v>
      </c>
      <c r="B708" s="6">
        <f t="array" ref="B708">IFERROR(INDEX(event_table!$E$1:$E3686,MATCH(A708,event_table!$A$1:$A3686,0)),"")
</f>
        <v>3</v>
      </c>
      <c r="C708" s="7">
        <f t="shared" si="1"/>
        <v>24</v>
      </c>
      <c r="D708" s="6" t="str">
        <f t="array" ref="D708">IFERROR(INDEX(user_table!$C$2:$C3686,MATCH(C708,user_table!$B$2:$B3686,0)),"")
</f>
        <v>Andi Septiani</v>
      </c>
      <c r="E708" s="6" t="str">
        <f t="array" ref="E708">IFERROR(INDEX(user_table!$E$2:$E3686,MATCH(C708,user_table!$B$2:$B3686,0)),"")
</f>
        <v>2, 2</v>
      </c>
      <c r="F708" s="6" t="str">
        <f t="shared" si="2"/>
        <v>13355324</v>
      </c>
      <c r="G708" s="8">
        <v>5.0</v>
      </c>
      <c r="H708" s="9">
        <v>45060.0</v>
      </c>
      <c r="I708" s="10" t="s">
        <v>708</v>
      </c>
    </row>
    <row r="709">
      <c r="A709" s="5" t="str">
        <f t="array" ref="A709">INDEX(event_table!$A$2:$A$69, RANDBETWEEN(1, COUNTA(event_table!$A$2:$A$69)))</f>
        <v>1642</v>
      </c>
      <c r="B709" s="6">
        <f t="array" ref="B709">IFERROR(INDEX(event_table!$E$1:$E3686,MATCH(A709,event_table!$A$1:$A3686,0)),"")
</f>
        <v>6</v>
      </c>
      <c r="C709" s="7">
        <f t="shared" si="1"/>
        <v>83</v>
      </c>
      <c r="D709" s="6" t="str">
        <f t="array" ref="D709">IFERROR(INDEX(user_table!$C$2:$C3686,MATCH(C709,user_table!$B$2:$B3686,0)),"")
</f>
        <v>Sinta Nurhayati</v>
      </c>
      <c r="E709" s="6" t="str">
        <f t="array" ref="E709">IFERROR(INDEX(user_table!$E$2:$E3686,MATCH(C709,user_table!$B$2:$B3686,0)),"")
</f>
        <v>5, 5</v>
      </c>
      <c r="F709" s="6" t="str">
        <f t="shared" si="2"/>
        <v>16425683</v>
      </c>
      <c r="G709" s="8">
        <v>5.0</v>
      </c>
      <c r="H709" s="9">
        <v>44950.0</v>
      </c>
      <c r="I709" s="10" t="s">
        <v>709</v>
      </c>
    </row>
    <row r="710">
      <c r="A710" s="5" t="str">
        <f t="array" ref="A710">INDEX(event_table!$A$2:$A$69, RANDBETWEEN(1, COUNTA(event_table!$A$2:$A$69)))</f>
        <v>3163</v>
      </c>
      <c r="B710" s="6">
        <f t="array" ref="B710">IFERROR(INDEX(event_table!$E$1:$E3686,MATCH(A710,event_table!$A$1:$A3686,0)),"")
</f>
        <v>1</v>
      </c>
      <c r="C710" s="7">
        <f t="shared" si="1"/>
        <v>197</v>
      </c>
      <c r="D710" s="6" t="str">
        <f t="array" ref="D710">IFERROR(INDEX(user_table!$C$2:$C3686,MATCH(C710,user_table!$B$2:$B3686,0)),"")
</f>
        <v>Dian Sari</v>
      </c>
      <c r="E710" s="6" t="str">
        <f t="array" ref="E710">IFERROR(INDEX(user_table!$E$2:$E3686,MATCH(C710,user_table!$B$2:$B3686,0)),"")
</f>
        <v>6, 3</v>
      </c>
      <c r="F710" s="6" t="str">
        <f t="shared" si="2"/>
        <v>316351197</v>
      </c>
      <c r="G710" s="8">
        <v>5.0</v>
      </c>
      <c r="H710" s="9">
        <v>44880.0</v>
      </c>
      <c r="I710" s="10" t="s">
        <v>710</v>
      </c>
    </row>
    <row r="711">
      <c r="A711" s="5" t="str">
        <f t="array" ref="A711">INDEX(event_table!$A$2:$A$69, RANDBETWEEN(1, COUNTA(event_table!$A$2:$A$69)))</f>
        <v>1423</v>
      </c>
      <c r="B711" s="6">
        <f t="array" ref="B711">IFERROR(INDEX(event_table!$E$1:$E3686,MATCH(A711,event_table!$A$1:$A3686,0)),"")
</f>
        <v>4</v>
      </c>
      <c r="C711" s="7">
        <f t="shared" si="1"/>
        <v>29</v>
      </c>
      <c r="D711" s="6" t="str">
        <f t="array" ref="D711">IFERROR(INDEX(user_table!$C$2:$C3686,MATCH(C711,user_table!$B$2:$B3686,0)),"")
</f>
        <v>Bambang Putri</v>
      </c>
      <c r="E711" s="6" t="str">
        <f t="array" ref="E711">IFERROR(INDEX(user_table!$E$2:$E3686,MATCH(C711,user_table!$B$2:$B3686,0)),"")
</f>
        <v>3, 4</v>
      </c>
      <c r="F711" s="6" t="str">
        <f t="shared" si="2"/>
        <v>14235429</v>
      </c>
      <c r="G711" s="8">
        <v>5.0</v>
      </c>
      <c r="H711" s="9">
        <v>44846.0</v>
      </c>
      <c r="I711" s="10" t="s">
        <v>711</v>
      </c>
    </row>
    <row r="712">
      <c r="A712" s="5" t="str">
        <f t="array" ref="A712">INDEX(event_table!$A$2:$A$69, RANDBETWEEN(1, COUNTA(event_table!$A$2:$A$69)))</f>
        <v>1639</v>
      </c>
      <c r="B712" s="6">
        <f t="array" ref="B712">IFERROR(INDEX(event_table!$E$1:$E3686,MATCH(A712,event_table!$A$1:$A3686,0)),"")
</f>
        <v>6</v>
      </c>
      <c r="C712" s="7">
        <f t="shared" si="1"/>
        <v>33</v>
      </c>
      <c r="D712" s="6" t="str">
        <f t="array" ref="D712">IFERROR(INDEX(user_table!$C$2:$C3686,MATCH(C712,user_table!$B$2:$B3686,0)),"")
</f>
        <v>Dewi Wijaya</v>
      </c>
      <c r="E712" s="6" t="str">
        <f t="array" ref="E712">IFERROR(INDEX(user_table!$E$2:$E3686,MATCH(C712,user_table!$B$2:$B3686,0)),"")
</f>
        <v>4, 2</v>
      </c>
      <c r="F712" s="6" t="str">
        <f t="shared" si="2"/>
        <v>16395633</v>
      </c>
      <c r="G712" s="8">
        <v>5.0</v>
      </c>
      <c r="H712" s="9">
        <v>44823.0</v>
      </c>
      <c r="I712" s="10" t="s">
        <v>712</v>
      </c>
    </row>
    <row r="713">
      <c r="A713" s="5" t="str">
        <f t="array" ref="A713">INDEX(event_table!$A$2:$A$69, RANDBETWEEN(1, COUNTA(event_table!$A$2:$A$69)))</f>
        <v>3164</v>
      </c>
      <c r="B713" s="6">
        <f t="array" ref="B713">IFERROR(INDEX(event_table!$E$1:$E3686,MATCH(A713,event_table!$A$1:$A3686,0)),"")
</f>
        <v>1</v>
      </c>
      <c r="C713" s="7">
        <f t="shared" si="1"/>
        <v>13</v>
      </c>
      <c r="D713" s="6" t="str">
        <f t="array" ref="D713">IFERROR(INDEX(user_table!$C$2:$C3686,MATCH(C713,user_table!$B$2:$B3686,0)),"")
</f>
        <v>Hadi Kurniawan</v>
      </c>
      <c r="E713" s="6" t="str">
        <f t="array" ref="E713">IFERROR(INDEX(user_table!$E$2:$E3686,MATCH(C713,user_table!$B$2:$B3686,0)),"")
</f>
        <v>4, 3</v>
      </c>
      <c r="F713" s="6" t="str">
        <f t="shared" si="2"/>
        <v>31644113</v>
      </c>
      <c r="G713" s="8">
        <v>4.0</v>
      </c>
      <c r="H713" s="9">
        <v>44843.0</v>
      </c>
      <c r="I713" s="10" t="s">
        <v>713</v>
      </c>
    </row>
    <row r="714">
      <c r="A714" s="5" t="str">
        <f t="array" ref="A714">INDEX(event_table!$A$2:$A$69, RANDBETWEEN(1, COUNTA(event_table!$A$2:$A$69)))</f>
        <v>117</v>
      </c>
      <c r="B714" s="6">
        <f t="array" ref="B714">IFERROR(INDEX(event_table!$E$1:$E3686,MATCH(A714,event_table!$A$1:$A3686,0)),"")
</f>
        <v>1</v>
      </c>
      <c r="C714" s="7">
        <f t="shared" si="1"/>
        <v>39</v>
      </c>
      <c r="D714" s="6" t="str">
        <f t="array" ref="D714">IFERROR(INDEX(user_table!$C$2:$C3686,MATCH(C714,user_table!$B$2:$B3686,0)),"")
</f>
        <v>Desi Utami</v>
      </c>
      <c r="E714" s="6" t="str">
        <f t="array" ref="E714">IFERROR(INDEX(user_table!$E$2:$E3686,MATCH(C714,user_table!$B$2:$B3686,0)),"")
</f>
        <v>3, 1</v>
      </c>
      <c r="F714" s="6" t="str">
        <f t="shared" si="2"/>
        <v>1174139</v>
      </c>
      <c r="G714" s="8">
        <v>4.0</v>
      </c>
      <c r="H714" s="9">
        <v>45143.0</v>
      </c>
      <c r="I714" s="10" t="s">
        <v>714</v>
      </c>
    </row>
    <row r="715">
      <c r="A715" s="5" t="str">
        <f t="array" ref="A715">INDEX(event_table!$A$2:$A$69, RANDBETWEEN(1, COUNTA(event_table!$A$2:$A$69)))</f>
        <v>3166</v>
      </c>
      <c r="B715" s="6">
        <f t="array" ref="B715">IFERROR(INDEX(event_table!$E$1:$E3686,MATCH(A715,event_table!$A$1:$A3686,0)),"")
</f>
        <v>1</v>
      </c>
      <c r="C715" s="7">
        <f t="shared" si="1"/>
        <v>119</v>
      </c>
      <c r="D715" s="6" t="str">
        <f t="array" ref="D715">IFERROR(INDEX(user_table!$C$2:$C3686,MATCH(C715,user_table!$B$2:$B3686,0)),"")
</f>
        <v>Budi Rahayu</v>
      </c>
      <c r="E715" s="6" t="str">
        <f t="array" ref="E715">IFERROR(INDEX(user_table!$E$2:$E3686,MATCH(C715,user_table!$B$2:$B3686,0)),"")
</f>
        <v>1, 2</v>
      </c>
      <c r="F715" s="6" t="str">
        <f t="shared" si="2"/>
        <v>316641119</v>
      </c>
      <c r="G715" s="8">
        <v>4.0</v>
      </c>
      <c r="H715" s="9">
        <v>45103.0</v>
      </c>
      <c r="I715" s="10" t="s">
        <v>715</v>
      </c>
    </row>
    <row r="716">
      <c r="A716" s="5" t="str">
        <f t="array" ref="A716">INDEX(event_table!$A$2:$A$69, RANDBETWEEN(1, COUNTA(event_table!$A$2:$A$69)))</f>
        <v>3167</v>
      </c>
      <c r="B716" s="6">
        <f t="array" ref="B716">IFERROR(INDEX(event_table!$E$1:$E3686,MATCH(A716,event_table!$A$1:$A3686,0)),"")
</f>
        <v>1</v>
      </c>
      <c r="C716" s="7">
        <f t="shared" si="1"/>
        <v>196</v>
      </c>
      <c r="D716" s="6" t="str">
        <f t="array" ref="D716">IFERROR(INDEX(user_table!$C$2:$C3686,MATCH(C716,user_table!$B$2:$B3686,0)),"")
</f>
        <v>Dewi Susanto</v>
      </c>
      <c r="E716" s="6" t="str">
        <f t="array" ref="E716">IFERROR(INDEX(user_table!$E$2:$E3686,MATCH(C716,user_table!$B$2:$B3686,0)),"")
</f>
        <v>2, 1</v>
      </c>
      <c r="F716" s="6" t="str">
        <f t="shared" si="2"/>
        <v>316741196</v>
      </c>
      <c r="G716" s="8">
        <v>4.0</v>
      </c>
      <c r="H716" s="9">
        <v>44809.0</v>
      </c>
      <c r="I716" s="10" t="s">
        <v>716</v>
      </c>
    </row>
    <row r="717">
      <c r="A717" s="5" t="str">
        <f t="array" ref="A717">INDEX(event_table!$A$2:$A$69, RANDBETWEEN(1, COUNTA(event_table!$A$2:$A$69)))</f>
        <v>1416</v>
      </c>
      <c r="B717" s="6">
        <f t="array" ref="B717">IFERROR(INDEX(event_table!$E$1:$E3686,MATCH(A717,event_table!$A$1:$A3686,0)),"")
</f>
        <v>4</v>
      </c>
      <c r="C717" s="7">
        <f t="shared" si="1"/>
        <v>175</v>
      </c>
      <c r="D717" s="6" t="str">
        <f t="array" ref="D717">IFERROR(INDEX(user_table!$C$2:$C3686,MATCH(C717,user_table!$B$2:$B3686,0)),"")
</f>
        <v>Siti Septiani</v>
      </c>
      <c r="E717" s="6" t="str">
        <f t="array" ref="E717">IFERROR(INDEX(user_table!$E$2:$E3686,MATCH(C717,user_table!$B$2:$B3686,0)),"")
</f>
        <v>2, 5</v>
      </c>
      <c r="F717" s="6" t="str">
        <f t="shared" si="2"/>
        <v>141644175</v>
      </c>
      <c r="G717" s="8">
        <v>4.0</v>
      </c>
      <c r="H717" s="9">
        <v>44733.0</v>
      </c>
      <c r="I717" s="10" t="s">
        <v>717</v>
      </c>
    </row>
    <row r="718">
      <c r="A718" s="5" t="str">
        <f t="array" ref="A718">INDEX(event_table!$A$2:$A$69, RANDBETWEEN(1, COUNTA(event_table!$A$2:$A$69)))</f>
        <v>3454</v>
      </c>
      <c r="B718" s="6">
        <f t="array" ref="B718">IFERROR(INDEX(event_table!$E$1:$E3686,MATCH(A718,event_table!$A$1:$A3686,0)),"")
</f>
        <v>4</v>
      </c>
      <c r="C718" s="7">
        <f t="shared" si="1"/>
        <v>2</v>
      </c>
      <c r="D718" s="6" t="str">
        <f t="array" ref="D718">IFERROR(INDEX(user_table!$C$2:$C3686,MATCH(C718,user_table!$B$2:$B3686,0)),"")
</f>
        <v>Dian Putri</v>
      </c>
      <c r="E718" s="6" t="str">
        <f t="array" ref="E718">IFERROR(INDEX(user_table!$E$2:$E3686,MATCH(C718,user_table!$B$2:$B3686,0)),"")
</f>
        <v>1, 6</v>
      </c>
      <c r="F718" s="6" t="str">
        <f t="shared" si="2"/>
        <v>3454442</v>
      </c>
      <c r="G718" s="8">
        <v>4.0</v>
      </c>
      <c r="H718" s="9">
        <v>44713.0</v>
      </c>
      <c r="I718" s="10" t="s">
        <v>718</v>
      </c>
    </row>
    <row r="719">
      <c r="A719" s="5" t="str">
        <f t="array" ref="A719">INDEX(event_table!$A$2:$A$69, RANDBETWEEN(1, COUNTA(event_table!$A$2:$A$69)))</f>
        <v>1425</v>
      </c>
      <c r="B719" s="6">
        <f t="array" ref="B719">IFERROR(INDEX(event_table!$E$1:$E3686,MATCH(A719,event_table!$A$1:$A3686,0)),"")
</f>
        <v>4</v>
      </c>
      <c r="C719" s="7">
        <f t="shared" si="1"/>
        <v>194</v>
      </c>
      <c r="D719" s="6" t="str">
        <f t="array" ref="D719">IFERROR(INDEX(user_table!$C$2:$C3686,MATCH(C719,user_table!$B$2:$B3686,0)),"")
</f>
        <v>Andi Putri</v>
      </c>
      <c r="E719" s="6" t="str">
        <f t="array" ref="E719">IFERROR(INDEX(user_table!$E$2:$E3686,MATCH(C719,user_table!$B$2:$B3686,0)),"")
</f>
        <v>4, 4</v>
      </c>
      <c r="F719" s="6" t="str">
        <f t="shared" si="2"/>
        <v>142544194</v>
      </c>
      <c r="G719" s="8">
        <v>4.0</v>
      </c>
      <c r="H719" s="9">
        <v>44710.0</v>
      </c>
      <c r="I719" s="10" t="s">
        <v>719</v>
      </c>
    </row>
    <row r="720">
      <c r="A720" s="5" t="str">
        <f t="array" ref="A720">INDEX(event_table!$A$2:$A$69, RANDBETWEEN(1, COUNTA(event_table!$A$2:$A$69)))</f>
        <v>1422</v>
      </c>
      <c r="B720" s="6">
        <f t="array" ref="B720">IFERROR(INDEX(event_table!$E$1:$E3686,MATCH(A720,event_table!$A$1:$A3686,0)),"")
</f>
        <v>4</v>
      </c>
      <c r="C720" s="7">
        <f t="shared" si="1"/>
        <v>195</v>
      </c>
      <c r="D720" s="6" t="str">
        <f t="array" ref="D720">IFERROR(INDEX(user_table!$C$2:$C3686,MATCH(C720,user_table!$B$2:$B3686,0)),"")
</f>
        <v>Rudi Purnama</v>
      </c>
      <c r="E720" s="6" t="str">
        <f t="array" ref="E720">IFERROR(INDEX(user_table!$E$2:$E3686,MATCH(C720,user_table!$B$2:$B3686,0)),"")
</f>
        <v>2, 4</v>
      </c>
      <c r="F720" s="6" t="str">
        <f t="shared" si="2"/>
        <v>142244195</v>
      </c>
      <c r="G720" s="8">
        <v>4.0</v>
      </c>
      <c r="H720" s="9">
        <v>44738.0</v>
      </c>
      <c r="I720" s="10" t="s">
        <v>720</v>
      </c>
    </row>
    <row r="721">
      <c r="A721" s="5" t="str">
        <f t="array" ref="A721">INDEX(event_table!$A$2:$A$69, RANDBETWEEN(1, COUNTA(event_table!$A$2:$A$69)))</f>
        <v>115</v>
      </c>
      <c r="B721" s="6">
        <f t="array" ref="B721">IFERROR(INDEX(event_table!$E$1:$E3686,MATCH(A721,event_table!$A$1:$A3686,0)),"")
</f>
        <v>1</v>
      </c>
      <c r="C721" s="7">
        <f t="shared" si="1"/>
        <v>87</v>
      </c>
      <c r="D721" s="6" t="str">
        <f t="array" ref="D721">IFERROR(INDEX(user_table!$C$2:$C3686,MATCH(C721,user_table!$B$2:$B3686,0)),"")
</f>
        <v>Budi Setiawan</v>
      </c>
      <c r="E721" s="6" t="str">
        <f t="array" ref="E721">IFERROR(INDEX(user_table!$E$2:$E3686,MATCH(C721,user_table!$B$2:$B3686,0)),"")
</f>
        <v>3, 5</v>
      </c>
      <c r="F721" s="6" t="str">
        <f t="shared" si="2"/>
        <v>1153187</v>
      </c>
      <c r="G721" s="8">
        <v>3.0</v>
      </c>
      <c r="H721" s="9">
        <v>44843.0</v>
      </c>
      <c r="I721" s="10" t="s">
        <v>721</v>
      </c>
    </row>
    <row r="722">
      <c r="A722" s="5" t="str">
        <f t="array" ref="A722">INDEX(event_table!$A$2:$A$69, RANDBETWEEN(1, COUNTA(event_table!$A$2:$A$69)))</f>
        <v>1642</v>
      </c>
      <c r="B722" s="6">
        <f t="array" ref="B722">IFERROR(INDEX(event_table!$E$1:$E3686,MATCH(A722,event_table!$A$1:$A3686,0)),"")
</f>
        <v>6</v>
      </c>
      <c r="C722" s="7">
        <f t="shared" si="1"/>
        <v>181</v>
      </c>
      <c r="D722" s="6" t="str">
        <f t="array" ref="D722">IFERROR(INDEX(user_table!$C$2:$C3686,MATCH(C722,user_table!$B$2:$B3686,0)),"")
</f>
        <v>Andi Hadiwijaya</v>
      </c>
      <c r="E722" s="6" t="str">
        <f t="array" ref="E722">IFERROR(INDEX(user_table!$E$2:$E3686,MATCH(C722,user_table!$B$2:$B3686,0)),"")
</f>
        <v>3, 2</v>
      </c>
      <c r="F722" s="6" t="str">
        <f t="shared" si="2"/>
        <v>164236181</v>
      </c>
      <c r="G722" s="8">
        <v>3.0</v>
      </c>
      <c r="H722" s="9">
        <v>45188.0</v>
      </c>
      <c r="I722" s="10" t="s">
        <v>722</v>
      </c>
    </row>
    <row r="723">
      <c r="A723" s="5" t="str">
        <f t="array" ref="A723">INDEX(event_table!$A$2:$A$69, RANDBETWEEN(1, COUNTA(event_table!$A$2:$A$69)))</f>
        <v>3166</v>
      </c>
      <c r="B723" s="6">
        <f t="array" ref="B723">IFERROR(INDEX(event_table!$E$1:$E3686,MATCH(A723,event_table!$A$1:$A3686,0)),"")
</f>
        <v>1</v>
      </c>
      <c r="C723" s="7">
        <f t="shared" si="1"/>
        <v>104</v>
      </c>
      <c r="D723" s="6" t="str">
        <f t="array" ref="D723">IFERROR(INDEX(user_table!$C$2:$C3686,MATCH(C723,user_table!$B$2:$B3686,0)),"")
</f>
        <v>Fajar Utami</v>
      </c>
      <c r="E723" s="6" t="str">
        <f t="array" ref="E723">IFERROR(INDEX(user_table!$E$2:$E3686,MATCH(C723,user_table!$B$2:$B3686,0)),"")
</f>
        <v>2, 5</v>
      </c>
      <c r="F723" s="6" t="str">
        <f t="shared" si="2"/>
        <v>316621104</v>
      </c>
      <c r="G723" s="8">
        <v>2.0</v>
      </c>
      <c r="H723" s="9">
        <v>45013.0</v>
      </c>
      <c r="I723" s="10" t="s">
        <v>723</v>
      </c>
    </row>
    <row r="724">
      <c r="A724" s="5" t="str">
        <f t="array" ref="A724">INDEX(event_table!$A$2:$A$69, RANDBETWEEN(1, COUNTA(event_table!$A$2:$A$69)))</f>
        <v>3165</v>
      </c>
      <c r="B724" s="6">
        <f t="array" ref="B724">IFERROR(INDEX(event_table!$E$1:$E3686,MATCH(A724,event_table!$A$1:$A3686,0)),"")
</f>
        <v>1</v>
      </c>
      <c r="C724" s="7">
        <f t="shared" si="1"/>
        <v>166</v>
      </c>
      <c r="D724" s="6" t="str">
        <f t="array" ref="D724">IFERROR(INDEX(user_table!$C$2:$C3686,MATCH(C724,user_table!$B$2:$B3686,0)),"")
</f>
        <v>Fajar Nurhayati</v>
      </c>
      <c r="E724" s="6" t="str">
        <f t="array" ref="E724">IFERROR(INDEX(user_table!$E$2:$E3686,MATCH(C724,user_table!$B$2:$B3686,0)),"")
</f>
        <v>3, 5</v>
      </c>
      <c r="F724" s="6" t="str">
        <f t="shared" si="2"/>
        <v>316521166</v>
      </c>
      <c r="G724" s="8">
        <v>2.0</v>
      </c>
      <c r="H724" s="9">
        <v>44997.0</v>
      </c>
      <c r="I724" s="10" t="s">
        <v>724</v>
      </c>
    </row>
    <row r="725">
      <c r="A725" s="5" t="str">
        <f t="array" ref="A725">INDEX(event_table!$A$2:$A$69, RANDBETWEEN(1, COUNTA(event_table!$A$2:$A$69)))</f>
        <v>1334</v>
      </c>
      <c r="B725" s="6">
        <f t="array" ref="B725">IFERROR(INDEX(event_table!$E$1:$E3686,MATCH(A725,event_table!$A$1:$A3686,0)),"")
</f>
        <v>3</v>
      </c>
      <c r="C725" s="7">
        <f t="shared" si="1"/>
        <v>103</v>
      </c>
      <c r="D725" s="6" t="str">
        <f t="array" ref="D725">IFERROR(INDEX(user_table!$C$2:$C3686,MATCH(C725,user_table!$B$2:$B3686,0)),"")
</f>
        <v>Hadi Sari</v>
      </c>
      <c r="E725" s="6" t="str">
        <f t="array" ref="E725">IFERROR(INDEX(user_table!$E$2:$E3686,MATCH(C725,user_table!$B$2:$B3686,0)),"")
</f>
        <v>3, 1</v>
      </c>
      <c r="F725" s="6" t="str">
        <f t="shared" si="2"/>
        <v>133423103</v>
      </c>
      <c r="G725" s="8">
        <v>2.0</v>
      </c>
      <c r="H725" s="9">
        <v>44786.0</v>
      </c>
      <c r="I725" s="10" t="s">
        <v>725</v>
      </c>
    </row>
    <row r="726">
      <c r="A726" s="5" t="str">
        <f t="array" ref="A726">INDEX(event_table!$A$2:$A$69, RANDBETWEEN(1, COUNTA(event_table!$A$2:$A$69)))</f>
        <v>113</v>
      </c>
      <c r="B726" s="6">
        <f t="array" ref="B726">IFERROR(INDEX(event_table!$E$1:$E3686,MATCH(A726,event_table!$A$1:$A3686,0)),"")
</f>
        <v>1</v>
      </c>
      <c r="C726" s="7">
        <f t="shared" si="1"/>
        <v>200</v>
      </c>
      <c r="D726" s="6" t="str">
        <f t="array" ref="D726">IFERROR(INDEX(user_table!$C$2:$C3686,MATCH(C726,user_table!$B$2:$B3686,0)),"")
</f>
        <v>Dina Susanto</v>
      </c>
      <c r="E726" s="6" t="str">
        <f t="array" ref="E726">IFERROR(INDEX(user_table!$E$2:$E3686,MATCH(C726,user_table!$B$2:$B3686,0)),"")
</f>
        <v>5, 4</v>
      </c>
      <c r="F726" s="6" t="str">
        <f t="shared" si="2"/>
        <v>11321200</v>
      </c>
      <c r="G726" s="8">
        <v>2.0</v>
      </c>
      <c r="H726" s="9">
        <v>44707.0</v>
      </c>
      <c r="I726" s="10" t="s">
        <v>726</v>
      </c>
    </row>
    <row r="727">
      <c r="A727" s="5" t="str">
        <f t="array" ref="A727">INDEX(event_table!$A$2:$A$69, RANDBETWEEN(1, COUNTA(event_table!$A$2:$A$69)))</f>
        <v>1650</v>
      </c>
      <c r="B727" s="6">
        <f t="array" ref="B727">IFERROR(INDEX(event_table!$E$1:$E3686,MATCH(A727,event_table!$A$1:$A3686,0)),"")
</f>
        <v>6</v>
      </c>
      <c r="C727" s="7">
        <f t="shared" si="1"/>
        <v>95</v>
      </c>
      <c r="D727" s="6" t="str">
        <f t="array" ref="D727">IFERROR(INDEX(user_table!$C$2:$C3686,MATCH(C727,user_table!$B$2:$B3686,0)),"")
</f>
        <v>Ani Pratama</v>
      </c>
      <c r="E727" s="6" t="str">
        <f t="array" ref="E727">IFERROR(INDEX(user_table!$E$2:$E3686,MATCH(C727,user_table!$B$2:$B3686,0)),"")
</f>
        <v>3, 5</v>
      </c>
      <c r="F727" s="6" t="str">
        <f t="shared" si="2"/>
        <v>16502695</v>
      </c>
      <c r="G727" s="8">
        <v>2.0</v>
      </c>
      <c r="H727" s="9">
        <v>44546.0</v>
      </c>
      <c r="I727" s="10" t="s">
        <v>727</v>
      </c>
    </row>
    <row r="728">
      <c r="A728" s="5" t="str">
        <f t="array" ref="A728">INDEX(event_table!$A$2:$A$69, RANDBETWEEN(1, COUNTA(event_table!$A$2:$A$69)))</f>
        <v>1422</v>
      </c>
      <c r="B728" s="6">
        <f t="array" ref="B728">IFERROR(INDEX(event_table!$E$1:$E3686,MATCH(A728,event_table!$A$1:$A3686,0)),"")
</f>
        <v>4</v>
      </c>
      <c r="C728" s="7">
        <f t="shared" si="1"/>
        <v>58</v>
      </c>
      <c r="D728" s="6" t="str">
        <f t="array" ref="D728">IFERROR(INDEX(user_table!$C$2:$C3686,MATCH(C728,user_table!$B$2:$B3686,0)),"")
</f>
        <v>Joko Septiani</v>
      </c>
      <c r="E728" s="6" t="str">
        <f t="array" ref="E728">IFERROR(INDEX(user_table!$E$2:$E3686,MATCH(C728,user_table!$B$2:$B3686,0)),"")
</f>
        <v>2, 5</v>
      </c>
      <c r="F728" s="6" t="str">
        <f t="shared" si="2"/>
        <v>14222458</v>
      </c>
      <c r="G728" s="8">
        <v>2.0</v>
      </c>
      <c r="H728" s="9">
        <v>44508.0</v>
      </c>
      <c r="I728" s="10" t="s">
        <v>728</v>
      </c>
    </row>
    <row r="729">
      <c r="A729" s="5" t="str">
        <f t="array" ref="A729">INDEX(event_table!$A$2:$A$69, RANDBETWEEN(1, COUNTA(event_table!$A$2:$A$69)))</f>
        <v>1648</v>
      </c>
      <c r="B729" s="6">
        <f t="array" ref="B729">IFERROR(INDEX(event_table!$E$1:$E3686,MATCH(A729,event_table!$A$1:$A3686,0)),"")
</f>
        <v>6</v>
      </c>
      <c r="C729" s="7">
        <f t="shared" si="1"/>
        <v>187</v>
      </c>
      <c r="D729" s="6" t="str">
        <f t="array" ref="D729">IFERROR(INDEX(user_table!$C$2:$C3686,MATCH(C729,user_table!$B$2:$B3686,0)),"")
</f>
        <v>Bambang Saputra</v>
      </c>
      <c r="E729" s="6" t="str">
        <f t="array" ref="E729">IFERROR(INDEX(user_table!$E$2:$E3686,MATCH(C729,user_table!$B$2:$B3686,0)),"")
</f>
        <v>3, 1</v>
      </c>
      <c r="F729" s="6" t="str">
        <f t="shared" si="2"/>
        <v>164826187</v>
      </c>
      <c r="G729" s="8">
        <v>2.0</v>
      </c>
      <c r="H729" s="9">
        <v>44468.0</v>
      </c>
      <c r="I729" s="10" t="s">
        <v>729</v>
      </c>
    </row>
    <row r="730">
      <c r="A730" s="5" t="str">
        <f t="array" ref="A730">INDEX(event_table!$A$2:$A$69, RANDBETWEEN(1, COUNTA(event_table!$A$2:$A$69)))</f>
        <v>1530</v>
      </c>
      <c r="B730" s="6">
        <f t="array" ref="B730">IFERROR(INDEX(event_table!$E$1:$E3686,MATCH(A730,event_table!$A$1:$A3686,0)),"")
</f>
        <v>5</v>
      </c>
      <c r="C730" s="7">
        <f t="shared" si="1"/>
        <v>16</v>
      </c>
      <c r="D730" s="6" t="str">
        <f t="array" ref="D730">IFERROR(INDEX(user_table!$C$2:$C3686,MATCH(C730,user_table!$B$2:$B3686,0)),"")
</f>
        <v>Siti Utami</v>
      </c>
      <c r="E730" s="6" t="str">
        <f t="array" ref="E730">IFERROR(INDEX(user_table!$E$2:$E3686,MATCH(C730,user_table!$B$2:$B3686,0)),"")
</f>
        <v>1, 2</v>
      </c>
      <c r="F730" s="6" t="str">
        <f t="shared" si="2"/>
        <v>15302516</v>
      </c>
      <c r="G730" s="8">
        <v>2.0</v>
      </c>
      <c r="H730" s="9">
        <v>45258.0</v>
      </c>
      <c r="I730" s="10" t="s">
        <v>730</v>
      </c>
    </row>
    <row r="731">
      <c r="A731" s="5" t="str">
        <f t="array" ref="A731">INDEX(event_table!$A$2:$A$69, RANDBETWEEN(1, COUNTA(event_table!$A$2:$A$69)))</f>
        <v>115</v>
      </c>
      <c r="B731" s="6">
        <f t="array" ref="B731">IFERROR(INDEX(event_table!$E$1:$E3686,MATCH(A731,event_table!$A$1:$A3686,0)),"")
</f>
        <v>1</v>
      </c>
      <c r="C731" s="7">
        <f t="shared" si="1"/>
        <v>44</v>
      </c>
      <c r="D731" s="6" t="str">
        <f t="array" ref="D731">IFERROR(INDEX(user_table!$C$2:$C3686,MATCH(C731,user_table!$B$2:$B3686,0)),"")
</f>
        <v>Arif Sari</v>
      </c>
      <c r="E731" s="6" t="str">
        <f t="array" ref="E731">IFERROR(INDEX(user_table!$E$2:$E3686,MATCH(C731,user_table!$B$2:$B3686,0)),"")
</f>
        <v>2, 4</v>
      </c>
      <c r="F731" s="6" t="str">
        <f t="shared" si="2"/>
        <v>1152144</v>
      </c>
      <c r="G731" s="8">
        <v>2.0</v>
      </c>
      <c r="H731" s="9">
        <v>45118.0</v>
      </c>
      <c r="I731" s="10" t="s">
        <v>731</v>
      </c>
    </row>
    <row r="732">
      <c r="A732" s="5" t="str">
        <f t="array" ref="A732">INDEX(event_table!$A$2:$A$69, RANDBETWEEN(1, COUNTA(event_table!$A$2:$A$69)))</f>
        <v>1650</v>
      </c>
      <c r="B732" s="6">
        <f t="array" ref="B732">IFERROR(INDEX(event_table!$E$1:$E3686,MATCH(A732,event_table!$A$1:$A3686,0)),"")
</f>
        <v>6</v>
      </c>
      <c r="C732" s="7">
        <f t="shared" si="1"/>
        <v>182</v>
      </c>
      <c r="D732" s="6" t="str">
        <f t="array" ref="D732">IFERROR(INDEX(user_table!$C$2:$C3686,MATCH(C732,user_table!$B$2:$B3686,0)),"")
</f>
        <v>Siti Utami</v>
      </c>
      <c r="E732" s="6" t="str">
        <f t="array" ref="E732">IFERROR(INDEX(user_table!$E$2:$E3686,MATCH(C732,user_table!$B$2:$B3686,0)),"")
</f>
        <v>5, 4</v>
      </c>
      <c r="F732" s="6" t="str">
        <f t="shared" si="2"/>
        <v>165026182</v>
      </c>
      <c r="G732" s="8">
        <v>2.0</v>
      </c>
      <c r="H732" s="9">
        <v>45092.0</v>
      </c>
      <c r="I732" s="10" t="s">
        <v>732</v>
      </c>
    </row>
    <row r="733">
      <c r="A733" s="5" t="str">
        <f t="array" ref="A733">INDEX(event_table!$A$2:$A$69, RANDBETWEEN(1, COUNTA(event_table!$A$2:$A$69)))</f>
        <v>1110</v>
      </c>
      <c r="B733" s="6">
        <f t="array" ref="B733">IFERROR(INDEX(event_table!$E$1:$E3686,MATCH(A733,event_table!$A$1:$A3686,0)),"")
</f>
        <v>1</v>
      </c>
      <c r="C733" s="7">
        <f t="shared" si="1"/>
        <v>123</v>
      </c>
      <c r="D733" s="6" t="str">
        <f t="array" ref="D733">IFERROR(INDEX(user_table!$C$2:$C3686,MATCH(C733,user_table!$B$2:$B3686,0)),"")
</f>
        <v>Lina Hartono</v>
      </c>
      <c r="E733" s="6" t="str">
        <f t="array" ref="E733">IFERROR(INDEX(user_table!$E$2:$E3686,MATCH(C733,user_table!$B$2:$B3686,0)),"")
</f>
        <v>6, 5</v>
      </c>
      <c r="F733" s="6" t="str">
        <f t="shared" si="2"/>
        <v>111021123</v>
      </c>
      <c r="G733" s="8">
        <v>2.0</v>
      </c>
      <c r="H733" s="9">
        <v>45051.0</v>
      </c>
      <c r="I733" s="10" t="s">
        <v>733</v>
      </c>
    </row>
    <row r="734">
      <c r="A734" s="5" t="str">
        <f t="array" ref="A734">INDEX(event_table!$A$2:$A$69, RANDBETWEEN(1, COUNTA(event_table!$A$2:$A$69)))</f>
        <v>122</v>
      </c>
      <c r="B734" s="6">
        <f t="array" ref="B734">IFERROR(INDEX(event_table!$E$1:$E3686,MATCH(A734,event_table!$A$1:$A3686,0)),"")
</f>
        <v>2</v>
      </c>
      <c r="C734" s="7">
        <f t="shared" si="1"/>
        <v>195</v>
      </c>
      <c r="D734" s="6" t="str">
        <f t="array" ref="D734">IFERROR(INDEX(user_table!$C$2:$C3686,MATCH(C734,user_table!$B$2:$B3686,0)),"")
</f>
        <v>Rudi Purnama</v>
      </c>
      <c r="E734" s="6" t="str">
        <f t="array" ref="E734">IFERROR(INDEX(user_table!$E$2:$E3686,MATCH(C734,user_table!$B$2:$B3686,0)),"")
</f>
        <v>2, 4</v>
      </c>
      <c r="F734" s="6" t="str">
        <f t="shared" si="2"/>
        <v>12212195</v>
      </c>
      <c r="G734" s="8">
        <v>1.0</v>
      </c>
      <c r="H734" s="9">
        <v>45201.0</v>
      </c>
      <c r="I734" s="10" t="s">
        <v>734</v>
      </c>
    </row>
    <row r="735">
      <c r="A735" s="5" t="str">
        <f t="array" ref="A735">INDEX(event_table!$A$2:$A$69, RANDBETWEEN(1, COUNTA(event_table!$A$2:$A$69)))</f>
        <v>1637</v>
      </c>
      <c r="B735" s="6">
        <f t="array" ref="B735">IFERROR(INDEX(event_table!$E$1:$E3686,MATCH(A735,event_table!$A$1:$A3686,0)),"")
</f>
        <v>6</v>
      </c>
      <c r="C735" s="7">
        <f t="shared" si="1"/>
        <v>37</v>
      </c>
      <c r="D735" s="6" t="str">
        <f t="array" ref="D735">IFERROR(INDEX(user_table!$C$2:$C3686,MATCH(C735,user_table!$B$2:$B3686,0)),"")
</f>
        <v>Lina Susanto</v>
      </c>
      <c r="E735" s="6" t="str">
        <f t="array" ref="E735">IFERROR(INDEX(user_table!$E$2:$E3686,MATCH(C735,user_table!$B$2:$B3686,0)),"")
</f>
        <v>2, 2</v>
      </c>
      <c r="F735" s="6" t="str">
        <f t="shared" si="2"/>
        <v>16371637</v>
      </c>
      <c r="G735" s="8">
        <v>1.0</v>
      </c>
      <c r="H735" s="9">
        <v>45176.0</v>
      </c>
      <c r="I735" s="10" t="s">
        <v>735</v>
      </c>
    </row>
    <row r="736">
      <c r="A736" s="5" t="str">
        <f t="array" ref="A736">INDEX(event_table!$A$2:$A$69, RANDBETWEEN(1, COUNTA(event_table!$A$2:$A$69)))</f>
        <v>1646</v>
      </c>
      <c r="B736" s="6">
        <f t="array" ref="B736">IFERROR(INDEX(event_table!$E$1:$E3686,MATCH(A736,event_table!$A$1:$A3686,0)),"")
</f>
        <v>6</v>
      </c>
      <c r="C736" s="7">
        <f t="shared" si="1"/>
        <v>7</v>
      </c>
      <c r="D736" s="6" t="str">
        <f t="array" ref="D736">IFERROR(INDEX(user_table!$C$2:$C3686,MATCH(C736,user_table!$B$2:$B3686,0)),"")
</f>
        <v>Maya Sari</v>
      </c>
      <c r="E736" s="6" t="str">
        <f t="array" ref="E736">IFERROR(INDEX(user_table!$E$2:$E3686,MATCH(C736,user_table!$B$2:$B3686,0)),"")
</f>
        <v>5, 2</v>
      </c>
      <c r="F736" s="6" t="str">
        <f t="shared" si="2"/>
        <v>1646167</v>
      </c>
      <c r="G736" s="8">
        <v>1.0</v>
      </c>
      <c r="H736" s="9">
        <v>45189.0</v>
      </c>
      <c r="I736" s="10" t="s">
        <v>736</v>
      </c>
    </row>
    <row r="737">
      <c r="A737" s="5" t="str">
        <f t="array" ref="A737">INDEX(event_table!$A$2:$A$69, RANDBETWEEN(1, COUNTA(event_table!$A$2:$A$69)))</f>
        <v>1110</v>
      </c>
      <c r="B737" s="6">
        <f t="array" ref="B737">IFERROR(INDEX(event_table!$E$1:$E3686,MATCH(A737,event_table!$A$1:$A3686,0)),"")
</f>
        <v>1</v>
      </c>
      <c r="C737" s="7">
        <f t="shared" si="1"/>
        <v>163</v>
      </c>
      <c r="D737" s="6" t="str">
        <f t="array" ref="D737">IFERROR(INDEX(user_table!$C$2:$C3686,MATCH(C737,user_table!$B$2:$B3686,0)),"")
</f>
        <v>Budi Susanto</v>
      </c>
      <c r="E737" s="6" t="str">
        <f t="array" ref="E737">IFERROR(INDEX(user_table!$E$2:$E3686,MATCH(C737,user_table!$B$2:$B3686,0)),"")
</f>
        <v>6, 3</v>
      </c>
      <c r="F737" s="6" t="str">
        <f t="shared" si="2"/>
        <v>111011163</v>
      </c>
      <c r="G737" s="8">
        <v>1.0</v>
      </c>
      <c r="H737" s="9">
        <v>45130.0</v>
      </c>
      <c r="I737" s="10" t="s">
        <v>737</v>
      </c>
    </row>
    <row r="738">
      <c r="A738" s="5" t="str">
        <f t="array" ref="A738">INDEX(event_table!$A$2:$A$69, RANDBETWEEN(1, COUNTA(event_table!$A$2:$A$69)))</f>
        <v>1424</v>
      </c>
      <c r="B738" s="6">
        <f t="array" ref="B738">IFERROR(INDEX(event_table!$E$1:$E3686,MATCH(A738,event_table!$A$1:$A3686,0)),"")
</f>
        <v>4</v>
      </c>
      <c r="C738" s="7">
        <f t="shared" si="1"/>
        <v>111</v>
      </c>
      <c r="D738" s="6" t="str">
        <f t="array" ref="D738">IFERROR(INDEX(user_table!$C$2:$C3686,MATCH(C738,user_table!$B$2:$B3686,0)),"")
</f>
        <v>Hadi Kurniawan</v>
      </c>
      <c r="E738" s="6" t="str">
        <f t="array" ref="E738">IFERROR(INDEX(user_table!$E$2:$E3686,MATCH(C738,user_table!$B$2:$B3686,0)),"")
</f>
        <v>3, 4</v>
      </c>
      <c r="F738" s="6" t="str">
        <f t="shared" si="2"/>
        <v>142414111</v>
      </c>
      <c r="G738" s="8">
        <v>1.0</v>
      </c>
      <c r="H738" s="9">
        <v>45197.0</v>
      </c>
      <c r="I738" s="10" t="s">
        <v>738</v>
      </c>
    </row>
    <row r="739">
      <c r="A739" s="5" t="str">
        <f t="array" ref="A739">INDEX(event_table!$A$2:$A$69, RANDBETWEEN(1, COUNTA(event_table!$A$2:$A$69)))</f>
        <v>1645</v>
      </c>
      <c r="B739" s="6">
        <f t="array" ref="B739">IFERROR(INDEX(event_table!$E$1:$E3686,MATCH(A739,event_table!$A$1:$A3686,0)),"")
</f>
        <v>6</v>
      </c>
      <c r="C739" s="7">
        <f t="shared" si="1"/>
        <v>64</v>
      </c>
      <c r="D739" s="6" t="str">
        <f t="array" ref="D739">IFERROR(INDEX(user_table!$C$2:$C3686,MATCH(C739,user_table!$B$2:$B3686,0)),"")
</f>
        <v>Fajar Utami</v>
      </c>
      <c r="E739" s="6" t="str">
        <f t="array" ref="E739">IFERROR(INDEX(user_table!$E$2:$E3686,MATCH(C739,user_table!$B$2:$B3686,0)),"")
</f>
        <v>5, 2</v>
      </c>
      <c r="F739" s="6" t="str">
        <f t="shared" si="2"/>
        <v>16451664</v>
      </c>
      <c r="G739" s="8">
        <v>1.0</v>
      </c>
      <c r="H739" s="9">
        <v>45147.0</v>
      </c>
      <c r="I739" s="10" t="s">
        <v>739</v>
      </c>
    </row>
    <row r="740">
      <c r="A740" s="5" t="str">
        <f t="array" ref="A740">INDEX(event_table!$A$2:$A$69, RANDBETWEEN(1, COUNTA(event_table!$A$2:$A$69)))</f>
        <v>1427</v>
      </c>
      <c r="B740" s="6">
        <f t="array" ref="B740">IFERROR(INDEX(event_table!$E$1:$E3686,MATCH(A740,event_table!$A$1:$A3686,0)),"")
</f>
        <v>4</v>
      </c>
      <c r="C740" s="7">
        <f t="shared" si="1"/>
        <v>7</v>
      </c>
      <c r="D740" s="6" t="str">
        <f t="array" ref="D740">IFERROR(INDEX(user_table!$C$2:$C3686,MATCH(C740,user_table!$B$2:$B3686,0)),"")
</f>
        <v>Maya Sari</v>
      </c>
      <c r="E740" s="6" t="str">
        <f t="array" ref="E740">IFERROR(INDEX(user_table!$E$2:$E3686,MATCH(C740,user_table!$B$2:$B3686,0)),"")
</f>
        <v>5, 2</v>
      </c>
      <c r="F740" s="6" t="str">
        <f t="shared" si="2"/>
        <v>1427147</v>
      </c>
      <c r="G740" s="8">
        <v>1.0</v>
      </c>
      <c r="H740" s="9">
        <v>45146.0</v>
      </c>
      <c r="I740" s="10" t="s">
        <v>740</v>
      </c>
    </row>
    <row r="741">
      <c r="A741" s="5" t="str">
        <f t="array" ref="A741">INDEX(event_table!$A$2:$A$69, RANDBETWEEN(1, COUNTA(event_table!$A$2:$A$69)))</f>
        <v>1638</v>
      </c>
      <c r="B741" s="6">
        <f t="array" ref="B741">IFERROR(INDEX(event_table!$E$1:$E3686,MATCH(A741,event_table!$A$1:$A3686,0)),"")
</f>
        <v>6</v>
      </c>
      <c r="C741" s="7">
        <f t="shared" si="1"/>
        <v>171</v>
      </c>
      <c r="D741" s="6" t="str">
        <f t="array" ref="D741">IFERROR(INDEX(user_table!$C$2:$C3686,MATCH(C741,user_table!$B$2:$B3686,0)),"")
</f>
        <v>Andi Santoso</v>
      </c>
      <c r="E741" s="6" t="str">
        <f t="array" ref="E741">IFERROR(INDEX(user_table!$E$2:$E3686,MATCH(C741,user_table!$B$2:$B3686,0)),"")
</f>
        <v>4, 3</v>
      </c>
      <c r="F741" s="6" t="str">
        <f t="shared" si="2"/>
        <v>163816171</v>
      </c>
      <c r="G741" s="8">
        <v>1.0</v>
      </c>
      <c r="H741" s="9">
        <v>45145.0</v>
      </c>
      <c r="I741" s="10" t="s">
        <v>741</v>
      </c>
    </row>
    <row r="742">
      <c r="A742" s="5" t="str">
        <f t="array" ref="A742">INDEX(event_table!$A$2:$A$69, RANDBETWEEN(1, COUNTA(event_table!$A$2:$A$69)))</f>
        <v>1418</v>
      </c>
      <c r="B742" s="6">
        <f t="array" ref="B742">IFERROR(INDEX(event_table!$E$1:$E3686,MATCH(A742,event_table!$A$1:$A3686,0)),"")
</f>
        <v>4</v>
      </c>
      <c r="C742" s="7">
        <f t="shared" si="1"/>
        <v>190</v>
      </c>
      <c r="D742" s="6" t="str">
        <f t="array" ref="D742">IFERROR(INDEX(user_table!$C$2:$C3686,MATCH(C742,user_table!$B$2:$B3686,0)),"")
</f>
        <v>Fajar Santoso</v>
      </c>
      <c r="E742" s="6" t="str">
        <f t="array" ref="E742">IFERROR(INDEX(user_table!$E$2:$E3686,MATCH(C742,user_table!$B$2:$B3686,0)),"")
</f>
        <v>1, 3</v>
      </c>
      <c r="F742" s="6" t="str">
        <f t="shared" si="2"/>
        <v>141814190</v>
      </c>
      <c r="G742" s="8">
        <v>1.0</v>
      </c>
      <c r="H742" s="9">
        <v>45111.0</v>
      </c>
      <c r="I742" s="10" t="s">
        <v>742</v>
      </c>
    </row>
    <row r="743">
      <c r="A743" s="5" t="str">
        <f t="array" ref="A743">INDEX(event_table!$A$2:$A$69, RANDBETWEEN(1, COUNTA(event_table!$A$2:$A$69)))</f>
        <v>1421</v>
      </c>
      <c r="B743" s="6">
        <f t="array" ref="B743">IFERROR(INDEX(event_table!$E$1:$E3686,MATCH(A743,event_table!$A$1:$A3686,0)),"")
</f>
        <v>4</v>
      </c>
      <c r="C743" s="7">
        <f t="shared" si="1"/>
        <v>11</v>
      </c>
      <c r="D743" s="6" t="str">
        <f t="array" ref="D743">IFERROR(INDEX(user_table!$C$2:$C3686,MATCH(C743,user_table!$B$2:$B3686,0)),"")
</f>
        <v>Arif Sari</v>
      </c>
      <c r="E743" s="6" t="str">
        <f t="array" ref="E743">IFERROR(INDEX(user_table!$E$2:$E3686,MATCH(C743,user_table!$B$2:$B3686,0)),"")
</f>
        <v>5, 2</v>
      </c>
      <c r="F743" s="6" t="str">
        <f t="shared" si="2"/>
        <v>14211411</v>
      </c>
      <c r="G743" s="8">
        <v>1.0</v>
      </c>
      <c r="H743" s="9">
        <v>45101.0</v>
      </c>
      <c r="I743" s="10" t="s">
        <v>743</v>
      </c>
    </row>
    <row r="744">
      <c r="A744" s="5" t="str">
        <f t="array" ref="A744">INDEX(event_table!$A$2:$A$69, RANDBETWEEN(1, COUNTA(event_table!$A$2:$A$69)))</f>
        <v>1215</v>
      </c>
      <c r="B744" s="6">
        <f t="array" ref="B744">IFERROR(INDEX(event_table!$E$1:$E3686,MATCH(A744,event_table!$A$1:$A3686,0)),"")
</f>
        <v>2</v>
      </c>
      <c r="C744" s="7">
        <f t="shared" si="1"/>
        <v>137</v>
      </c>
      <c r="D744" s="6" t="str">
        <f t="array" ref="D744">IFERROR(INDEX(user_table!$C$2:$C3686,MATCH(C744,user_table!$B$2:$B3686,0)),"")
</f>
        <v>Dina Pratama</v>
      </c>
      <c r="E744" s="6" t="str">
        <f t="array" ref="E744">IFERROR(INDEX(user_table!$E$2:$E3686,MATCH(C744,user_table!$B$2:$B3686,0)),"")
</f>
        <v>4, 4</v>
      </c>
      <c r="F744" s="6" t="str">
        <f t="shared" si="2"/>
        <v>121552137</v>
      </c>
      <c r="G744" s="8">
        <v>5.0</v>
      </c>
      <c r="H744" s="9">
        <v>44736.0</v>
      </c>
      <c r="I744" s="10" t="s">
        <v>744</v>
      </c>
    </row>
    <row r="745">
      <c r="A745" s="5" t="str">
        <f t="array" ref="A745">INDEX(event_table!$A$2:$A$69, RANDBETWEEN(1, COUNTA(event_table!$A$2:$A$69)))</f>
        <v>1422</v>
      </c>
      <c r="B745" s="6">
        <f t="array" ref="B745">IFERROR(INDEX(event_table!$E$1:$E3686,MATCH(A745,event_table!$A$1:$A3686,0)),"")
</f>
        <v>4</v>
      </c>
      <c r="C745" s="7">
        <f t="shared" si="1"/>
        <v>116</v>
      </c>
      <c r="D745" s="6" t="str">
        <f t="array" ref="D745">IFERROR(INDEX(user_table!$C$2:$C3686,MATCH(C745,user_table!$B$2:$B3686,0)),"")
</f>
        <v>Fandi Hartono</v>
      </c>
      <c r="E745" s="6" t="str">
        <f t="array" ref="E745">IFERROR(INDEX(user_table!$E$2:$E3686,MATCH(C745,user_table!$B$2:$B3686,0)),"")
</f>
        <v>2, 1</v>
      </c>
      <c r="F745" s="6" t="str">
        <f t="shared" si="2"/>
        <v>142254116</v>
      </c>
      <c r="G745" s="8">
        <v>5.0</v>
      </c>
      <c r="H745" s="9">
        <v>44730.0</v>
      </c>
      <c r="I745" s="10" t="s">
        <v>745</v>
      </c>
    </row>
    <row r="746">
      <c r="A746" s="5" t="str">
        <f t="array" ref="A746">INDEX(event_table!$A$2:$A$69, RANDBETWEEN(1, COUNTA(event_table!$A$2:$A$69)))</f>
        <v>119</v>
      </c>
      <c r="B746" s="6">
        <f t="array" ref="B746">IFERROR(INDEX(event_table!$E$1:$E3686,MATCH(A746,event_table!$A$1:$A3686,0)),"")
</f>
        <v>1</v>
      </c>
      <c r="C746" s="7">
        <f t="shared" si="1"/>
        <v>47</v>
      </c>
      <c r="D746" s="6" t="str">
        <f t="array" ref="D746">IFERROR(INDEX(user_table!$C$2:$C3686,MATCH(C746,user_table!$B$2:$B3686,0)),"")
</f>
        <v>Fandi Kurniawan</v>
      </c>
      <c r="E746" s="6" t="str">
        <f t="array" ref="E746">IFERROR(INDEX(user_table!$E$2:$E3686,MATCH(C746,user_table!$B$2:$B3686,0)),"")
</f>
        <v>5, 6</v>
      </c>
      <c r="F746" s="6" t="str">
        <f t="shared" si="2"/>
        <v>1195147</v>
      </c>
      <c r="G746" s="8">
        <v>5.0</v>
      </c>
      <c r="H746" s="9">
        <v>44718.0</v>
      </c>
      <c r="I746" s="10" t="s">
        <v>746</v>
      </c>
    </row>
    <row r="747">
      <c r="A747" s="5" t="str">
        <f t="array" ref="A747">INDEX(event_table!$A$2:$A$69, RANDBETWEEN(1, COUNTA(event_table!$A$2:$A$69)))</f>
        <v>1643</v>
      </c>
      <c r="B747" s="6">
        <f t="array" ref="B747">IFERROR(INDEX(event_table!$E$1:$E3686,MATCH(A747,event_table!$A$1:$A3686,0)),"")
</f>
        <v>6</v>
      </c>
      <c r="C747" s="7">
        <f t="shared" si="1"/>
        <v>105</v>
      </c>
      <c r="D747" s="6" t="str">
        <f t="array" ref="D747">IFERROR(INDEX(user_table!$C$2:$C3686,MATCH(C747,user_table!$B$2:$B3686,0)),"")
</f>
        <v>Siti Susanto</v>
      </c>
      <c r="E747" s="6" t="str">
        <f t="array" ref="E747">IFERROR(INDEX(user_table!$E$2:$E3686,MATCH(C747,user_table!$B$2:$B3686,0)),"")
</f>
        <v>2, 6</v>
      </c>
      <c r="F747" s="6" t="str">
        <f t="shared" si="2"/>
        <v>164356105</v>
      </c>
      <c r="G747" s="8">
        <v>5.0</v>
      </c>
      <c r="H747" s="9">
        <v>44696.0</v>
      </c>
      <c r="I747" s="10" t="s">
        <v>747</v>
      </c>
    </row>
    <row r="748">
      <c r="A748" s="5" t="str">
        <f t="array" ref="A748">INDEX(event_table!$A$2:$A$69, RANDBETWEEN(1, COUNTA(event_table!$A$2:$A$69)))</f>
        <v>1638</v>
      </c>
      <c r="B748" s="6">
        <f t="array" ref="B748">IFERROR(INDEX(event_table!$E$1:$E3686,MATCH(A748,event_table!$A$1:$A3686,0)),"")
</f>
        <v>6</v>
      </c>
      <c r="C748" s="7">
        <f t="shared" si="1"/>
        <v>129</v>
      </c>
      <c r="D748" s="6" t="str">
        <f t="array" ref="D748">IFERROR(INDEX(user_table!$C$2:$C3686,MATCH(C748,user_table!$B$2:$B3686,0)),"")
</f>
        <v>Maya Kusuma</v>
      </c>
      <c r="E748" s="6" t="str">
        <f t="array" ref="E748">IFERROR(INDEX(user_table!$E$2:$E3686,MATCH(C748,user_table!$B$2:$B3686,0)),"")
</f>
        <v>4, 6</v>
      </c>
      <c r="F748" s="6" t="str">
        <f t="shared" si="2"/>
        <v>163856129</v>
      </c>
      <c r="G748" s="8">
        <v>5.0</v>
      </c>
      <c r="H748" s="9">
        <v>44693.0</v>
      </c>
      <c r="I748" s="10" t="s">
        <v>748</v>
      </c>
    </row>
    <row r="749">
      <c r="A749" s="5" t="str">
        <f t="array" ref="A749">INDEX(event_table!$A$2:$A$69, RANDBETWEEN(1, COUNTA(event_table!$A$2:$A$69)))</f>
        <v>3170</v>
      </c>
      <c r="B749" s="6">
        <f t="array" ref="B749">IFERROR(INDEX(event_table!$E$1:$E3686,MATCH(A749,event_table!$A$1:$A3686,0)),"")
</f>
        <v>1</v>
      </c>
      <c r="C749" s="7">
        <f t="shared" si="1"/>
        <v>132</v>
      </c>
      <c r="D749" s="6" t="str">
        <f t="array" ref="D749">IFERROR(INDEX(user_table!$C$2:$C3686,MATCH(C749,user_table!$B$2:$B3686,0)),"")
</f>
        <v>Joko Hartono</v>
      </c>
      <c r="E749" s="6" t="str">
        <f t="array" ref="E749">IFERROR(INDEX(user_table!$E$2:$E3686,MATCH(C749,user_table!$B$2:$B3686,0)),"")
</f>
        <v>1, 3</v>
      </c>
      <c r="F749" s="6" t="str">
        <f t="shared" si="2"/>
        <v>317051132</v>
      </c>
      <c r="G749" s="8">
        <v>5.0</v>
      </c>
      <c r="H749" s="9">
        <v>45038.0</v>
      </c>
      <c r="I749" s="10" t="s">
        <v>749</v>
      </c>
    </row>
    <row r="750">
      <c r="A750" s="5" t="str">
        <f t="array" ref="A750">INDEX(event_table!$A$2:$A$69, RANDBETWEEN(1, COUNTA(event_table!$A$2:$A$69)))</f>
        <v>1651</v>
      </c>
      <c r="B750" s="6">
        <f t="array" ref="B750">IFERROR(INDEX(event_table!$E$1:$E3686,MATCH(A750,event_table!$A$1:$A3686,0)),"")
</f>
        <v>6</v>
      </c>
      <c r="C750" s="7">
        <f t="shared" si="1"/>
        <v>75</v>
      </c>
      <c r="D750" s="6" t="str">
        <f t="array" ref="D750">IFERROR(INDEX(user_table!$C$2:$C3686,MATCH(C750,user_table!$B$2:$B3686,0)),"")
</f>
        <v>Citra Sari</v>
      </c>
      <c r="E750" s="6" t="str">
        <f t="array" ref="E750">IFERROR(INDEX(user_table!$E$2:$E3686,MATCH(C750,user_table!$B$2:$B3686,0)),"")
</f>
        <v>2, 5</v>
      </c>
      <c r="F750" s="6" t="str">
        <f t="shared" si="2"/>
        <v>16515675</v>
      </c>
      <c r="G750" s="8">
        <v>5.0</v>
      </c>
      <c r="H750" s="9">
        <v>44830.0</v>
      </c>
      <c r="I750" s="10" t="s">
        <v>750</v>
      </c>
    </row>
    <row r="751">
      <c r="A751" s="5" t="str">
        <f t="array" ref="A751">INDEX(event_table!$A$2:$A$69, RANDBETWEEN(1, COUNTA(event_table!$A$2:$A$69)))</f>
        <v>3170</v>
      </c>
      <c r="B751" s="6">
        <f t="array" ref="B751">IFERROR(INDEX(event_table!$E$1:$E3686,MATCH(A751,event_table!$A$1:$A3686,0)),"")
</f>
        <v>1</v>
      </c>
      <c r="C751" s="7">
        <f t="shared" si="1"/>
        <v>73</v>
      </c>
      <c r="D751" s="6" t="str">
        <f t="array" ref="D751">IFERROR(INDEX(user_table!$C$2:$C3686,MATCH(C751,user_table!$B$2:$B3686,0)),"")
</f>
        <v>Hadi Santoso</v>
      </c>
      <c r="E751" s="6" t="str">
        <f t="array" ref="E751">IFERROR(INDEX(user_table!$E$2:$E3686,MATCH(C751,user_table!$B$2:$B3686,0)),"")
</f>
        <v>6, 3</v>
      </c>
      <c r="F751" s="6" t="str">
        <f t="shared" si="2"/>
        <v>31705173</v>
      </c>
      <c r="G751" s="8">
        <v>5.0</v>
      </c>
      <c r="H751" s="9">
        <v>44748.0</v>
      </c>
      <c r="I751" s="10" t="s">
        <v>751</v>
      </c>
    </row>
    <row r="752">
      <c r="A752" s="5" t="str">
        <f t="array" ref="A752">INDEX(event_table!$A$2:$A$69, RANDBETWEEN(1, COUNTA(event_table!$A$2:$A$69)))</f>
        <v>1110</v>
      </c>
      <c r="B752" s="6">
        <f t="array" ref="B752">IFERROR(INDEX(event_table!$E$1:$E3686,MATCH(A752,event_table!$A$1:$A3686,0)),"")
</f>
        <v>1</v>
      </c>
      <c r="C752" s="7">
        <f t="shared" si="1"/>
        <v>151</v>
      </c>
      <c r="D752" s="6" t="str">
        <f t="array" ref="D752">IFERROR(INDEX(user_table!$C$2:$C3686,MATCH(C752,user_table!$B$2:$B3686,0)),"")
</f>
        <v>Maya Hidayat</v>
      </c>
      <c r="E752" s="6" t="str">
        <f t="array" ref="E752">IFERROR(INDEX(user_table!$E$2:$E3686,MATCH(C752,user_table!$B$2:$B3686,0)),"")
</f>
        <v>2, 3</v>
      </c>
      <c r="F752" s="6" t="str">
        <f t="shared" si="2"/>
        <v>111051151</v>
      </c>
      <c r="G752" s="8">
        <v>5.0</v>
      </c>
      <c r="H752" s="9">
        <v>44722.0</v>
      </c>
      <c r="I752" s="10" t="s">
        <v>752</v>
      </c>
    </row>
    <row r="753">
      <c r="A753" s="5" t="str">
        <f t="array" ref="A753">INDEX(event_table!$A$2:$A$69, RANDBETWEEN(1, COUNTA(event_table!$A$2:$A$69)))</f>
        <v>113</v>
      </c>
      <c r="B753" s="6">
        <f t="array" ref="B753">IFERROR(INDEX(event_table!$E$1:$E3686,MATCH(A753,event_table!$A$1:$A3686,0)),"")
</f>
        <v>1</v>
      </c>
      <c r="C753" s="7">
        <f t="shared" si="1"/>
        <v>117</v>
      </c>
      <c r="D753" s="6" t="str">
        <f t="array" ref="D753">IFERROR(INDEX(user_table!$C$2:$C3686,MATCH(C753,user_table!$B$2:$B3686,0)),"")
</f>
        <v>Wahyu Sari</v>
      </c>
      <c r="E753" s="6" t="str">
        <f t="array" ref="E753">IFERROR(INDEX(user_table!$E$2:$E3686,MATCH(C753,user_table!$B$2:$B3686,0)),"")
</f>
        <v>4, 2</v>
      </c>
      <c r="F753" s="6" t="str">
        <f t="shared" si="2"/>
        <v>11351117</v>
      </c>
      <c r="G753" s="8">
        <v>5.0</v>
      </c>
      <c r="H753" s="9">
        <v>44687.0</v>
      </c>
      <c r="I753" s="10" t="s">
        <v>636</v>
      </c>
    </row>
    <row r="754">
      <c r="A754" s="5" t="str">
        <f t="array" ref="A754">INDEX(event_table!$A$2:$A$69, RANDBETWEEN(1, COUNTA(event_table!$A$2:$A$69)))</f>
        <v>3168</v>
      </c>
      <c r="B754" s="6">
        <f t="array" ref="B754">IFERROR(INDEX(event_table!$E$1:$E3686,MATCH(A754,event_table!$A$1:$A3686,0)),"")
</f>
        <v>1</v>
      </c>
      <c r="C754" s="7">
        <f t="shared" si="1"/>
        <v>138</v>
      </c>
      <c r="D754" s="6" t="str">
        <f t="array" ref="D754">IFERROR(INDEX(user_table!$C$2:$C3686,MATCH(C754,user_table!$B$2:$B3686,0)),"")
</f>
        <v>Joko Hermawan</v>
      </c>
      <c r="E754" s="6" t="str">
        <f t="array" ref="E754">IFERROR(INDEX(user_table!$E$2:$E3686,MATCH(C754,user_table!$B$2:$B3686,0)),"")
</f>
        <v>4, 1</v>
      </c>
      <c r="F754" s="6" t="str">
        <f t="shared" si="2"/>
        <v>316841138</v>
      </c>
      <c r="G754" s="8">
        <v>4.0</v>
      </c>
      <c r="H754" s="9">
        <v>44741.0</v>
      </c>
      <c r="I754" s="10" t="s">
        <v>753</v>
      </c>
    </row>
    <row r="755">
      <c r="A755" s="5" t="str">
        <f t="array" ref="A755">INDEX(event_table!$A$2:$A$69, RANDBETWEEN(1, COUNTA(event_table!$A$2:$A$69)))</f>
        <v>1418</v>
      </c>
      <c r="B755" s="6">
        <f t="array" ref="B755">IFERROR(INDEX(event_table!$E$1:$E3686,MATCH(A755,event_table!$A$1:$A3686,0)),"")
</f>
        <v>4</v>
      </c>
      <c r="C755" s="7">
        <f t="shared" si="1"/>
        <v>163</v>
      </c>
      <c r="D755" s="6" t="str">
        <f t="array" ref="D755">IFERROR(INDEX(user_table!$C$2:$C3686,MATCH(C755,user_table!$B$2:$B3686,0)),"")
</f>
        <v>Budi Susanto</v>
      </c>
      <c r="E755" s="6" t="str">
        <f t="array" ref="E755">IFERROR(INDEX(user_table!$E$2:$E3686,MATCH(C755,user_table!$B$2:$B3686,0)),"")
</f>
        <v>6, 3</v>
      </c>
      <c r="F755" s="6" t="str">
        <f t="shared" si="2"/>
        <v>141844163</v>
      </c>
      <c r="G755" s="8">
        <v>4.0</v>
      </c>
      <c r="H755" s="9">
        <v>44956.0</v>
      </c>
      <c r="I755" s="10" t="s">
        <v>754</v>
      </c>
    </row>
    <row r="756">
      <c r="A756" s="5" t="str">
        <f t="array" ref="A756">INDEX(event_table!$A$2:$A$69, RANDBETWEEN(1, COUNTA(event_table!$A$2:$A$69)))</f>
        <v>1531</v>
      </c>
      <c r="B756" s="6">
        <f t="array" ref="B756">IFERROR(INDEX(event_table!$E$1:$E3686,MATCH(A756,event_table!$A$1:$A3686,0)),"")
</f>
        <v>5</v>
      </c>
      <c r="C756" s="7">
        <f t="shared" si="1"/>
        <v>195</v>
      </c>
      <c r="D756" s="6" t="str">
        <f t="array" ref="D756">IFERROR(INDEX(user_table!$C$2:$C3686,MATCH(C756,user_table!$B$2:$B3686,0)),"")
</f>
        <v>Rudi Purnama</v>
      </c>
      <c r="E756" s="6" t="str">
        <f t="array" ref="E756">IFERROR(INDEX(user_table!$E$2:$E3686,MATCH(C756,user_table!$B$2:$B3686,0)),"")
</f>
        <v>2, 4</v>
      </c>
      <c r="F756" s="6" t="str">
        <f t="shared" si="2"/>
        <v>153145195</v>
      </c>
      <c r="G756" s="8">
        <v>4.0</v>
      </c>
      <c r="H756" s="9">
        <v>44799.0</v>
      </c>
      <c r="I756" s="10" t="s">
        <v>755</v>
      </c>
    </row>
    <row r="757">
      <c r="A757" s="5" t="str">
        <f t="array" ref="A757">INDEX(event_table!$A$2:$A$69, RANDBETWEEN(1, COUNTA(event_table!$A$2:$A$69)))</f>
        <v>3659</v>
      </c>
      <c r="B757" s="6">
        <f t="array" ref="B757">IFERROR(INDEX(event_table!$E$1:$E3686,MATCH(A757,event_table!$A$1:$A3686,0)),"")
</f>
        <v>6</v>
      </c>
      <c r="C757" s="7">
        <f t="shared" si="1"/>
        <v>61</v>
      </c>
      <c r="D757" s="6" t="str">
        <f t="array" ref="D757">IFERROR(INDEX(user_table!$C$2:$C3686,MATCH(C757,user_table!$B$2:$B3686,0)),"")
</f>
        <v>Agus Setiawan</v>
      </c>
      <c r="E757" s="6" t="str">
        <f t="array" ref="E757">IFERROR(INDEX(user_table!$E$2:$E3686,MATCH(C757,user_table!$B$2:$B3686,0)),"")
</f>
        <v>4, 5</v>
      </c>
      <c r="F757" s="6" t="str">
        <f t="shared" si="2"/>
        <v>36594661</v>
      </c>
      <c r="G757" s="8">
        <v>4.0</v>
      </c>
      <c r="H757" s="9">
        <v>44761.0</v>
      </c>
      <c r="I757" s="10" t="s">
        <v>756</v>
      </c>
    </row>
    <row r="758">
      <c r="A758" s="5" t="str">
        <f t="array" ref="A758">INDEX(event_table!$A$2:$A$69, RANDBETWEEN(1, COUNTA(event_table!$A$2:$A$69)))</f>
        <v>115</v>
      </c>
      <c r="B758" s="6">
        <f t="array" ref="B758">IFERROR(INDEX(event_table!$E$1:$E3686,MATCH(A758,event_table!$A$1:$A3686,0)),"")
</f>
        <v>1</v>
      </c>
      <c r="C758" s="7">
        <f t="shared" si="1"/>
        <v>179</v>
      </c>
      <c r="D758" s="6" t="str">
        <f t="array" ref="D758">IFERROR(INDEX(user_table!$C$2:$C3686,MATCH(C758,user_table!$B$2:$B3686,0)),"")
</f>
        <v>Andi Susanto</v>
      </c>
      <c r="E758" s="6" t="str">
        <f t="array" ref="E758">IFERROR(INDEX(user_table!$E$2:$E3686,MATCH(C758,user_table!$B$2:$B3686,0)),"")
</f>
        <v>1, 6</v>
      </c>
      <c r="F758" s="6" t="str">
        <f t="shared" si="2"/>
        <v>11541179</v>
      </c>
      <c r="G758" s="8">
        <v>4.0</v>
      </c>
      <c r="H758" s="9">
        <v>44687.0</v>
      </c>
      <c r="I758" s="10" t="s">
        <v>757</v>
      </c>
    </row>
    <row r="759">
      <c r="A759" s="5" t="str">
        <f t="array" ref="A759">INDEX(event_table!$A$2:$A$69, RANDBETWEEN(1, COUNTA(event_table!$A$2:$A$69)))</f>
        <v>3658</v>
      </c>
      <c r="B759" s="6">
        <f t="array" ref="B759">IFERROR(INDEX(event_table!$E$1:$E3686,MATCH(A759,event_table!$A$1:$A3686,0)),"")
</f>
        <v>6</v>
      </c>
      <c r="C759" s="7">
        <f t="shared" si="1"/>
        <v>188</v>
      </c>
      <c r="D759" s="6" t="str">
        <f t="array" ref="D759">IFERROR(INDEX(user_table!$C$2:$C3686,MATCH(C759,user_table!$B$2:$B3686,0)),"")
</f>
        <v>Siti Setiawan</v>
      </c>
      <c r="E759" s="6" t="str">
        <f t="array" ref="E759">IFERROR(INDEX(user_table!$E$2:$E3686,MATCH(C759,user_table!$B$2:$B3686,0)),"")
</f>
        <v>6, 6</v>
      </c>
      <c r="F759" s="6" t="str">
        <f t="shared" si="2"/>
        <v>365846188</v>
      </c>
      <c r="G759" s="8">
        <v>4.0</v>
      </c>
      <c r="H759" s="9">
        <v>44932.0</v>
      </c>
      <c r="I759" s="10" t="s">
        <v>758</v>
      </c>
    </row>
    <row r="760">
      <c r="A760" s="5" t="str">
        <f t="array" ref="A760">INDEX(event_table!$A$2:$A$69, RANDBETWEEN(1, COUNTA(event_table!$A$2:$A$69)))</f>
        <v>3658</v>
      </c>
      <c r="B760" s="6">
        <f t="array" ref="B760">IFERROR(INDEX(event_table!$E$1:$E3686,MATCH(A760,event_table!$A$1:$A3686,0)),"")
</f>
        <v>6</v>
      </c>
      <c r="C760" s="7">
        <f t="shared" si="1"/>
        <v>140</v>
      </c>
      <c r="D760" s="6" t="str">
        <f t="array" ref="D760">IFERROR(INDEX(user_table!$C$2:$C3686,MATCH(C760,user_table!$B$2:$B3686,0)),"")
</f>
        <v>Maya Wijaya</v>
      </c>
      <c r="E760" s="6" t="str">
        <f t="array" ref="E760">IFERROR(INDEX(user_table!$E$2:$E3686,MATCH(C760,user_table!$B$2:$B3686,0)),"")
</f>
        <v>3, 2</v>
      </c>
      <c r="F760" s="6" t="str">
        <f t="shared" si="2"/>
        <v>365846140</v>
      </c>
      <c r="G760" s="8">
        <v>4.0</v>
      </c>
      <c r="H760" s="9">
        <v>44809.0</v>
      </c>
      <c r="I760" s="10" t="s">
        <v>759</v>
      </c>
    </row>
    <row r="761">
      <c r="A761" s="5" t="str">
        <f t="array" ref="A761">INDEX(event_table!$A$2:$A$69, RANDBETWEEN(1, COUNTA(event_table!$A$2:$A$69)))</f>
        <v>1528</v>
      </c>
      <c r="B761" s="6">
        <f t="array" ref="B761">IFERROR(INDEX(event_table!$E$1:$E3686,MATCH(A761,event_table!$A$1:$A3686,0)),"")
</f>
        <v>5</v>
      </c>
      <c r="C761" s="7">
        <f t="shared" si="1"/>
        <v>200</v>
      </c>
      <c r="D761" s="6" t="str">
        <f t="array" ref="D761">IFERROR(INDEX(user_table!$C$2:$C3686,MATCH(C761,user_table!$B$2:$B3686,0)),"")
</f>
        <v>Dina Susanto</v>
      </c>
      <c r="E761" s="6" t="str">
        <f t="array" ref="E761">IFERROR(INDEX(user_table!$E$2:$E3686,MATCH(C761,user_table!$B$2:$B3686,0)),"")
</f>
        <v>5, 4</v>
      </c>
      <c r="F761" s="6" t="str">
        <f t="shared" si="2"/>
        <v>152845200</v>
      </c>
      <c r="G761" s="8">
        <v>4.0</v>
      </c>
      <c r="H761" s="9">
        <v>44787.0</v>
      </c>
      <c r="I761" s="10" t="s">
        <v>760</v>
      </c>
    </row>
    <row r="762">
      <c r="A762" s="5" t="str">
        <f t="array" ref="A762">INDEX(event_table!$A$2:$A$69, RANDBETWEEN(1, COUNTA(event_table!$A$2:$A$69)))</f>
        <v>1418</v>
      </c>
      <c r="B762" s="6">
        <f t="array" ref="B762">IFERROR(INDEX(event_table!$E$1:$E3686,MATCH(A762,event_table!$A$1:$A3686,0)),"")
</f>
        <v>4</v>
      </c>
      <c r="C762" s="7">
        <f t="shared" si="1"/>
        <v>60</v>
      </c>
      <c r="D762" s="6" t="str">
        <f t="array" ref="D762">IFERROR(INDEX(user_table!$C$2:$C3686,MATCH(C762,user_table!$B$2:$B3686,0)),"")
</f>
        <v>Rudi Septiani</v>
      </c>
      <c r="E762" s="6" t="str">
        <f t="array" ref="E762">IFERROR(INDEX(user_table!$E$2:$E3686,MATCH(C762,user_table!$B$2:$B3686,0)),"")
</f>
        <v>6, 2</v>
      </c>
      <c r="F762" s="6" t="str">
        <f t="shared" si="2"/>
        <v>14184460</v>
      </c>
      <c r="G762" s="8">
        <v>4.0</v>
      </c>
      <c r="H762" s="9">
        <v>44770.0</v>
      </c>
      <c r="I762" s="10" t="s">
        <v>761</v>
      </c>
    </row>
    <row r="763">
      <c r="A763" s="5" t="str">
        <f t="array" ref="A763">INDEX(event_table!$A$2:$A$69, RANDBETWEEN(1, COUNTA(event_table!$A$2:$A$69)))</f>
        <v>1528</v>
      </c>
      <c r="B763" s="6">
        <f t="array" ref="B763">IFERROR(INDEX(event_table!$E$1:$E3686,MATCH(A763,event_table!$A$1:$A3686,0)),"")
</f>
        <v>5</v>
      </c>
      <c r="C763" s="7">
        <f t="shared" si="1"/>
        <v>174</v>
      </c>
      <c r="D763" s="6" t="str">
        <f t="array" ref="D763">IFERROR(INDEX(user_table!$C$2:$C3686,MATCH(C763,user_table!$B$2:$B3686,0)),"")
</f>
        <v>Maya Hermawan</v>
      </c>
      <c r="E763" s="6" t="str">
        <f t="array" ref="E763">IFERROR(INDEX(user_table!$E$2:$E3686,MATCH(C763,user_table!$B$2:$B3686,0)),"")
</f>
        <v>5, 1</v>
      </c>
      <c r="F763" s="6" t="str">
        <f t="shared" si="2"/>
        <v>152845174</v>
      </c>
      <c r="G763" s="8">
        <v>4.0</v>
      </c>
      <c r="H763" s="9">
        <v>44745.0</v>
      </c>
      <c r="I763" s="10" t="s">
        <v>762</v>
      </c>
    </row>
    <row r="764">
      <c r="A764" s="5" t="str">
        <f t="array" ref="A764">INDEX(event_table!$A$2:$A$69, RANDBETWEEN(1, COUNTA(event_table!$A$2:$A$69)))</f>
        <v>1526</v>
      </c>
      <c r="B764" s="6">
        <f t="array" ref="B764">IFERROR(INDEX(event_table!$E$1:$E3686,MATCH(A764,event_table!$A$1:$A3686,0)),"")
</f>
        <v>5</v>
      </c>
      <c r="C764" s="7">
        <f t="shared" si="1"/>
        <v>72</v>
      </c>
      <c r="D764" s="6" t="str">
        <f t="array" ref="D764">IFERROR(INDEX(user_table!$C$2:$C3686,MATCH(C764,user_table!$B$2:$B3686,0)),"")
</f>
        <v>Wahyu Kurniawan</v>
      </c>
      <c r="E764" s="6" t="str">
        <f t="array" ref="E764">IFERROR(INDEX(user_table!$E$2:$E3686,MATCH(C764,user_table!$B$2:$B3686,0)),"")
</f>
        <v>5, 3</v>
      </c>
      <c r="F764" s="6" t="str">
        <f t="shared" si="2"/>
        <v>15264572</v>
      </c>
      <c r="G764" s="8">
        <v>4.0</v>
      </c>
      <c r="H764" s="9">
        <v>44719.0</v>
      </c>
      <c r="I764" s="10" t="s">
        <v>763</v>
      </c>
    </row>
    <row r="765">
      <c r="A765" s="5" t="str">
        <f t="array" ref="A765">INDEX(event_table!$A$2:$A$69, RANDBETWEEN(1, COUNTA(event_table!$A$2:$A$69)))</f>
        <v>117</v>
      </c>
      <c r="B765" s="6">
        <f t="array" ref="B765">IFERROR(INDEX(event_table!$E$1:$E3686,MATCH(A765,event_table!$A$1:$A3686,0)),"")
</f>
        <v>1</v>
      </c>
      <c r="C765" s="7">
        <f t="shared" si="1"/>
        <v>15</v>
      </c>
      <c r="D765" s="6" t="str">
        <f t="array" ref="D765">IFERROR(INDEX(user_table!$C$2:$C3686,MATCH(C765,user_table!$B$2:$B3686,0)),"")
</f>
        <v>Arif Kurniawan</v>
      </c>
      <c r="E765" s="6" t="str">
        <f t="array" ref="E765">IFERROR(INDEX(user_table!$E$2:$E3686,MATCH(C765,user_table!$B$2:$B3686,0)),"")
</f>
        <v>3, 1</v>
      </c>
      <c r="F765" s="6" t="str">
        <f t="shared" si="2"/>
        <v>1174115</v>
      </c>
      <c r="G765" s="8">
        <v>4.0</v>
      </c>
      <c r="H765" s="9">
        <v>44696.0</v>
      </c>
      <c r="I765" s="10" t="s">
        <v>764</v>
      </c>
    </row>
    <row r="766">
      <c r="A766" s="5" t="str">
        <f t="array" ref="A766">INDEX(event_table!$A$2:$A$69, RANDBETWEEN(1, COUNTA(event_table!$A$2:$A$69)))</f>
        <v>1421</v>
      </c>
      <c r="B766" s="6">
        <f t="array" ref="B766">IFERROR(INDEX(event_table!$E$1:$E3686,MATCH(A766,event_table!$A$1:$A3686,0)),"")
</f>
        <v>4</v>
      </c>
      <c r="C766" s="7">
        <f t="shared" si="1"/>
        <v>78</v>
      </c>
      <c r="D766" s="6" t="str">
        <f t="array" ref="D766">IFERROR(INDEX(user_table!$C$2:$C3686,MATCH(C766,user_table!$B$2:$B3686,0)),"")
</f>
        <v>Fandi Putri</v>
      </c>
      <c r="E766" s="6" t="str">
        <f t="array" ref="E766">IFERROR(INDEX(user_table!$E$2:$E3686,MATCH(C766,user_table!$B$2:$B3686,0)),"")
</f>
        <v>3, 3</v>
      </c>
      <c r="F766" s="6" t="str">
        <f t="shared" si="2"/>
        <v>14213478</v>
      </c>
      <c r="G766" s="8">
        <v>3.0</v>
      </c>
      <c r="H766" s="9">
        <v>44739.0</v>
      </c>
      <c r="I766" s="10" t="s">
        <v>765</v>
      </c>
    </row>
    <row r="767">
      <c r="A767" s="5" t="str">
        <f t="array" ref="A767">INDEX(event_table!$A$2:$A$69, RANDBETWEEN(1, COUNTA(event_table!$A$2:$A$69)))</f>
        <v>1424</v>
      </c>
      <c r="B767" s="6">
        <f t="array" ref="B767">IFERROR(INDEX(event_table!$E$1:$E3686,MATCH(A767,event_table!$A$1:$A3686,0)),"")
</f>
        <v>4</v>
      </c>
      <c r="C767" s="7">
        <f t="shared" si="1"/>
        <v>96</v>
      </c>
      <c r="D767" s="6" t="str">
        <f t="array" ref="D767">IFERROR(INDEX(user_table!$C$2:$C3686,MATCH(C767,user_table!$B$2:$B3686,0)),"")
</f>
        <v>Budi Sari</v>
      </c>
      <c r="E767" s="6" t="str">
        <f t="array" ref="E767">IFERROR(INDEX(user_table!$E$2:$E3686,MATCH(C767,user_table!$B$2:$B3686,0)),"")
</f>
        <v>3, 2</v>
      </c>
      <c r="F767" s="6" t="str">
        <f t="shared" si="2"/>
        <v>14243496</v>
      </c>
      <c r="G767" s="8">
        <v>3.0</v>
      </c>
      <c r="H767" s="9">
        <v>45242.0</v>
      </c>
      <c r="I767" s="10" t="s">
        <v>766</v>
      </c>
    </row>
    <row r="768">
      <c r="A768" s="5" t="str">
        <f t="array" ref="A768">INDEX(event_table!$A$2:$A$69, RANDBETWEEN(1, COUNTA(event_table!$A$2:$A$69)))</f>
        <v>3162</v>
      </c>
      <c r="B768" s="6">
        <f t="array" ref="B768">IFERROR(INDEX(event_table!$E$1:$E3686,MATCH(A768,event_table!$A$1:$A3686,0)),"")
</f>
        <v>1</v>
      </c>
      <c r="C768" s="7">
        <f t="shared" si="1"/>
        <v>21</v>
      </c>
      <c r="D768" s="6" t="str">
        <f t="array" ref="D768">IFERROR(INDEX(user_table!$C$2:$C3686,MATCH(C768,user_table!$B$2:$B3686,0)),"")
</f>
        <v>Budi Santoso</v>
      </c>
      <c r="E768" s="6" t="str">
        <f t="array" ref="E768">IFERROR(INDEX(user_table!$E$2:$E3686,MATCH(C768,user_table!$B$2:$B3686,0)),"")
</f>
        <v>6, 1</v>
      </c>
      <c r="F768" s="6" t="str">
        <f t="shared" si="2"/>
        <v>31623121</v>
      </c>
      <c r="G768" s="8">
        <v>3.0</v>
      </c>
      <c r="H768" s="9">
        <v>45223.0</v>
      </c>
      <c r="I768" s="10" t="s">
        <v>767</v>
      </c>
    </row>
    <row r="769">
      <c r="A769" s="5" t="str">
        <f t="array" ref="A769">INDEX(event_table!$A$2:$A$69, RANDBETWEEN(1, COUNTA(event_table!$A$2:$A$69)))</f>
        <v>1110</v>
      </c>
      <c r="B769" s="6">
        <f t="array" ref="B769">IFERROR(INDEX(event_table!$E$1:$E3686,MATCH(A769,event_table!$A$1:$A3686,0)),"")
</f>
        <v>1</v>
      </c>
      <c r="C769" s="7">
        <f t="shared" si="1"/>
        <v>105</v>
      </c>
      <c r="D769" s="6" t="str">
        <f t="array" ref="D769">IFERROR(INDEX(user_table!$C$2:$C3686,MATCH(C769,user_table!$B$2:$B3686,0)),"")
</f>
        <v>Siti Susanto</v>
      </c>
      <c r="E769" s="6" t="str">
        <f t="array" ref="E769">IFERROR(INDEX(user_table!$E$2:$E3686,MATCH(C769,user_table!$B$2:$B3686,0)),"")
</f>
        <v>2, 6</v>
      </c>
      <c r="F769" s="6" t="str">
        <f t="shared" si="2"/>
        <v>111031105</v>
      </c>
      <c r="G769" s="8">
        <v>3.0</v>
      </c>
      <c r="H769" s="9">
        <v>45120.0</v>
      </c>
      <c r="I769" s="10" t="s">
        <v>768</v>
      </c>
    </row>
    <row r="770">
      <c r="A770" s="5" t="str">
        <f t="array" ref="A770">INDEX(event_table!$A$2:$A$69, RANDBETWEEN(1, COUNTA(event_table!$A$2:$A$69)))</f>
        <v>3454</v>
      </c>
      <c r="B770" s="6">
        <f t="array" ref="B770">IFERROR(INDEX(event_table!$E$1:$E3686,MATCH(A770,event_table!$A$1:$A3686,0)),"")
</f>
        <v>4</v>
      </c>
      <c r="C770" s="7">
        <f t="shared" si="1"/>
        <v>196</v>
      </c>
      <c r="D770" s="6" t="str">
        <f t="array" ref="D770">IFERROR(INDEX(user_table!$C$2:$C3686,MATCH(C770,user_table!$B$2:$B3686,0)),"")
</f>
        <v>Dewi Susanto</v>
      </c>
      <c r="E770" s="6" t="str">
        <f t="array" ref="E770">IFERROR(INDEX(user_table!$E$2:$E3686,MATCH(C770,user_table!$B$2:$B3686,0)),"")
</f>
        <v>2, 1</v>
      </c>
      <c r="F770" s="6" t="str">
        <f t="shared" si="2"/>
        <v>345424196</v>
      </c>
      <c r="G770" s="8">
        <v>2.0</v>
      </c>
      <c r="H770" s="9">
        <v>45089.0</v>
      </c>
      <c r="I770" s="10" t="s">
        <v>769</v>
      </c>
    </row>
    <row r="771">
      <c r="A771" s="5" t="str">
        <f t="array" ref="A771">INDEX(event_table!$A$2:$A$69, RANDBETWEEN(1, COUNTA(event_table!$A$2:$A$69)))</f>
        <v>116</v>
      </c>
      <c r="B771" s="6">
        <f t="array" ref="B771">IFERROR(INDEX(event_table!$E$1:$E3686,MATCH(A771,event_table!$A$1:$A3686,0)),"")
</f>
        <v>1</v>
      </c>
      <c r="C771" s="7">
        <f t="shared" si="1"/>
        <v>125</v>
      </c>
      <c r="D771" s="6" t="str">
        <f t="array" ref="D771">IFERROR(INDEX(user_table!$C$2:$C3686,MATCH(C771,user_table!$B$2:$B3686,0)),"")
</f>
        <v>Fandi Hidayat</v>
      </c>
      <c r="E771" s="6" t="str">
        <f t="array" ref="E771">IFERROR(INDEX(user_table!$E$2:$E3686,MATCH(C771,user_table!$B$2:$B3686,0)),"")
</f>
        <v>5, 2</v>
      </c>
      <c r="F771" s="6" t="str">
        <f t="shared" si="2"/>
        <v>11621125</v>
      </c>
      <c r="G771" s="8">
        <v>2.0</v>
      </c>
      <c r="H771" s="9">
        <v>45057.0</v>
      </c>
      <c r="I771" s="10" t="s">
        <v>770</v>
      </c>
    </row>
    <row r="772">
      <c r="A772" s="5" t="str">
        <f t="array" ref="A772">INDEX(event_table!$A$2:$A$69, RANDBETWEEN(1, COUNTA(event_table!$A$2:$A$69)))</f>
        <v>1652</v>
      </c>
      <c r="B772" s="6">
        <f t="array" ref="B772">IFERROR(INDEX(event_table!$E$1:$E3686,MATCH(A772,event_table!$A$1:$A3686,0)),"")
</f>
        <v>6</v>
      </c>
      <c r="C772" s="7">
        <f t="shared" si="1"/>
        <v>134</v>
      </c>
      <c r="D772" s="6" t="str">
        <f t="array" ref="D772">IFERROR(INDEX(user_table!$C$2:$C3686,MATCH(C772,user_table!$B$2:$B3686,0)),"")
</f>
        <v>Maya Septiani</v>
      </c>
      <c r="E772" s="6" t="str">
        <f t="array" ref="E772">IFERROR(INDEX(user_table!$E$2:$E3686,MATCH(C772,user_table!$B$2:$B3686,0)),"")
</f>
        <v>2, 4</v>
      </c>
      <c r="F772" s="6" t="str">
        <f t="shared" si="2"/>
        <v>165226134</v>
      </c>
      <c r="G772" s="8">
        <v>2.0</v>
      </c>
      <c r="H772" s="9">
        <v>45028.0</v>
      </c>
      <c r="I772" s="10" t="s">
        <v>771</v>
      </c>
    </row>
    <row r="773">
      <c r="A773" s="5" t="str">
        <f t="array" ref="A773">INDEX(event_table!$A$2:$A$69, RANDBETWEEN(1, COUNTA(event_table!$A$2:$A$69)))</f>
        <v>1422</v>
      </c>
      <c r="B773" s="6">
        <f t="array" ref="B773">IFERROR(INDEX(event_table!$E$1:$E3686,MATCH(A773,event_table!$A$1:$A3686,0)),"")
</f>
        <v>4</v>
      </c>
      <c r="C773" s="7">
        <f t="shared" si="1"/>
        <v>199</v>
      </c>
      <c r="D773" s="6" t="str">
        <f t="array" ref="D773">IFERROR(INDEX(user_table!$C$2:$C3686,MATCH(C773,user_table!$B$2:$B3686,0)),"")
</f>
        <v>Rudi Putri</v>
      </c>
      <c r="E773" s="6" t="str">
        <f t="array" ref="E773">IFERROR(INDEX(user_table!$E$2:$E3686,MATCH(C773,user_table!$B$2:$B3686,0)),"")
</f>
        <v>2, 1</v>
      </c>
      <c r="F773" s="6" t="str">
        <f t="shared" si="2"/>
        <v>142224199</v>
      </c>
      <c r="G773" s="8">
        <v>2.0</v>
      </c>
      <c r="H773" s="9">
        <v>44957.0</v>
      </c>
      <c r="I773" s="10" t="s">
        <v>772</v>
      </c>
    </row>
    <row r="774">
      <c r="A774" s="5" t="str">
        <f t="array" ref="A774">INDEX(event_table!$A$2:$A$69, RANDBETWEEN(1, COUNTA(event_table!$A$2:$A$69)))</f>
        <v>1519</v>
      </c>
      <c r="B774" s="6">
        <f t="array" ref="B774">IFERROR(INDEX(event_table!$E$1:$E3686,MATCH(A774,event_table!$A$1:$A3686,0)),"")
</f>
        <v>5</v>
      </c>
      <c r="C774" s="7">
        <f t="shared" si="1"/>
        <v>87</v>
      </c>
      <c r="D774" s="6" t="str">
        <f t="array" ref="D774">IFERROR(INDEX(user_table!$C$2:$C3686,MATCH(C774,user_table!$B$2:$B3686,0)),"")
</f>
        <v>Budi Setiawan</v>
      </c>
      <c r="E774" s="6" t="str">
        <f t="array" ref="E774">IFERROR(INDEX(user_table!$E$2:$E3686,MATCH(C774,user_table!$B$2:$B3686,0)),"")
</f>
        <v>3, 5</v>
      </c>
      <c r="F774" s="6" t="str">
        <f t="shared" si="2"/>
        <v>15192587</v>
      </c>
      <c r="G774" s="8">
        <v>2.0</v>
      </c>
      <c r="H774" s="9">
        <v>44786.0</v>
      </c>
      <c r="I774" s="10" t="s">
        <v>773</v>
      </c>
    </row>
    <row r="775">
      <c r="A775" s="5" t="str">
        <f t="array" ref="A775">INDEX(event_table!$A$2:$A$69, RANDBETWEEN(1, COUNTA(event_table!$A$2:$A$69)))</f>
        <v>3168</v>
      </c>
      <c r="B775" s="6">
        <f t="array" ref="B775">IFERROR(INDEX(event_table!$E$1:$E3686,MATCH(A775,event_table!$A$1:$A3686,0)),"")
</f>
        <v>1</v>
      </c>
      <c r="C775" s="7">
        <f t="shared" si="1"/>
        <v>36</v>
      </c>
      <c r="D775" s="6" t="str">
        <f t="array" ref="D775">IFERROR(INDEX(user_table!$C$2:$C3686,MATCH(C775,user_table!$B$2:$B3686,0)),"")
</f>
        <v>Arif Susanto</v>
      </c>
      <c r="E775" s="6" t="str">
        <f t="array" ref="E775">IFERROR(INDEX(user_table!$E$2:$E3686,MATCH(C775,user_table!$B$2:$B3686,0)),"")
</f>
        <v>3, 5</v>
      </c>
      <c r="F775" s="6" t="str">
        <f t="shared" si="2"/>
        <v>31682136</v>
      </c>
      <c r="G775" s="8">
        <v>2.0</v>
      </c>
      <c r="H775" s="9">
        <v>44495.0</v>
      </c>
      <c r="I775" s="10" t="s">
        <v>774</v>
      </c>
    </row>
    <row r="776">
      <c r="A776" s="5" t="str">
        <f t="array" ref="A776">INDEX(event_table!$A$2:$A$69, RANDBETWEEN(1, COUNTA(event_table!$A$2:$A$69)))</f>
        <v>3167</v>
      </c>
      <c r="B776" s="6">
        <f t="array" ref="B776">IFERROR(INDEX(event_table!$E$1:$E3686,MATCH(A776,event_table!$A$1:$A3686,0)),"")
</f>
        <v>1</v>
      </c>
      <c r="C776" s="7">
        <f t="shared" si="1"/>
        <v>100</v>
      </c>
      <c r="D776" s="6" t="str">
        <f t="array" ref="D776">IFERROR(INDEX(user_table!$C$2:$C3686,MATCH(C776,user_table!$B$2:$B3686,0)),"")
</f>
        <v>Lina Rahayu</v>
      </c>
      <c r="E776" s="6" t="str">
        <f t="array" ref="E776">IFERROR(INDEX(user_table!$E$2:$E3686,MATCH(C776,user_table!$B$2:$B3686,0)),"")
</f>
        <v>6, 2</v>
      </c>
      <c r="F776" s="6" t="str">
        <f t="shared" si="2"/>
        <v>316721100</v>
      </c>
      <c r="G776" s="8">
        <v>2.0</v>
      </c>
      <c r="H776" s="9">
        <v>44458.0</v>
      </c>
      <c r="I776" s="10" t="s">
        <v>775</v>
      </c>
    </row>
    <row r="777">
      <c r="A777" s="5" t="str">
        <f t="array" ref="A777">INDEX(event_table!$A$2:$A$69, RANDBETWEEN(1, COUNTA(event_table!$A$2:$A$69)))</f>
        <v>119</v>
      </c>
      <c r="B777" s="6">
        <f t="array" ref="B777">IFERROR(INDEX(event_table!$E$1:$E3686,MATCH(A777,event_table!$A$1:$A3686,0)),"")
</f>
        <v>1</v>
      </c>
      <c r="C777" s="7">
        <f t="shared" si="1"/>
        <v>112</v>
      </c>
      <c r="D777" s="6" t="str">
        <f t="array" ref="D777">IFERROR(INDEX(user_table!$C$2:$C3686,MATCH(C777,user_table!$B$2:$B3686,0)),"")
</f>
        <v>Ani Hadiwijaya</v>
      </c>
      <c r="E777" s="6" t="str">
        <f t="array" ref="E777">IFERROR(INDEX(user_table!$E$2:$E3686,MATCH(C777,user_table!$B$2:$B3686,0)),"")
</f>
        <v>3, 5</v>
      </c>
      <c r="F777" s="6" t="str">
        <f t="shared" si="2"/>
        <v>11921112</v>
      </c>
      <c r="G777" s="8">
        <v>2.0</v>
      </c>
      <c r="H777" s="9">
        <v>44309.0</v>
      </c>
      <c r="I777" s="10" t="s">
        <v>776</v>
      </c>
    </row>
    <row r="778">
      <c r="A778" s="5" t="str">
        <f t="array" ref="A778">INDEX(event_table!$A$2:$A$69, RANDBETWEEN(1, COUNTA(event_table!$A$2:$A$69)))</f>
        <v>1212</v>
      </c>
      <c r="B778" s="6">
        <f t="array" ref="B778">IFERROR(INDEX(event_table!$E$1:$E3686,MATCH(A778,event_table!$A$1:$A3686,0)),"")
</f>
        <v>2</v>
      </c>
      <c r="C778" s="7">
        <f t="shared" si="1"/>
        <v>155</v>
      </c>
      <c r="D778" s="6" t="str">
        <f t="array" ref="D778">IFERROR(INDEX(user_table!$C$2:$C3686,MATCH(C778,user_table!$B$2:$B3686,0)),"")
</f>
        <v>Sinta Saputra</v>
      </c>
      <c r="E778" s="6" t="str">
        <f t="array" ref="E778">IFERROR(INDEX(user_table!$E$2:$E3686,MATCH(C778,user_table!$B$2:$B3686,0)),"")
</f>
        <v>5, 2</v>
      </c>
      <c r="F778" s="6" t="str">
        <f t="shared" si="2"/>
        <v>121222155</v>
      </c>
      <c r="G778" s="8">
        <v>2.0</v>
      </c>
      <c r="H778" s="9">
        <v>45266.0</v>
      </c>
      <c r="I778" s="10" t="s">
        <v>777</v>
      </c>
    </row>
    <row r="779">
      <c r="A779" s="5" t="str">
        <f t="array" ref="A779">INDEX(event_table!$A$2:$A$69, RANDBETWEEN(1, COUNTA(event_table!$A$2:$A$69)))</f>
        <v>3162</v>
      </c>
      <c r="B779" s="6">
        <f t="array" ref="B779">IFERROR(INDEX(event_table!$E$1:$E3686,MATCH(A779,event_table!$A$1:$A3686,0)),"")
</f>
        <v>1</v>
      </c>
      <c r="C779" s="7">
        <f t="shared" si="1"/>
        <v>52</v>
      </c>
      <c r="D779" s="6" t="str">
        <f t="array" ref="D779">IFERROR(INDEX(user_table!$C$2:$C3686,MATCH(C779,user_table!$B$2:$B3686,0)),"")
</f>
        <v>Ani Nurhayati</v>
      </c>
      <c r="E779" s="6" t="str">
        <f t="array" ref="E779">IFERROR(INDEX(user_table!$E$2:$E3686,MATCH(C779,user_table!$B$2:$B3686,0)),"")
</f>
        <v>2, 2</v>
      </c>
      <c r="F779" s="6" t="str">
        <f t="shared" si="2"/>
        <v>31622152</v>
      </c>
      <c r="G779" s="8">
        <v>2.0</v>
      </c>
      <c r="H779" s="9">
        <v>45113.0</v>
      </c>
      <c r="I779" s="10" t="s">
        <v>778</v>
      </c>
    </row>
    <row r="780">
      <c r="A780" s="5" t="str">
        <f t="array" ref="A780">INDEX(event_table!$A$2:$A$69, RANDBETWEEN(1, COUNTA(event_table!$A$2:$A$69)))</f>
        <v>113</v>
      </c>
      <c r="B780" s="6">
        <f t="array" ref="B780">IFERROR(INDEX(event_table!$E$1:$E3686,MATCH(A780,event_table!$A$1:$A3686,0)),"")
</f>
        <v>1</v>
      </c>
      <c r="C780" s="7">
        <f t="shared" si="1"/>
        <v>79</v>
      </c>
      <c r="D780" s="6" t="str">
        <f t="array" ref="D780">IFERROR(INDEX(user_table!$C$2:$C3686,MATCH(C780,user_table!$B$2:$B3686,0)),"")
</f>
        <v>Arif Nugroho</v>
      </c>
      <c r="E780" s="6" t="str">
        <f t="array" ref="E780">IFERROR(INDEX(user_table!$E$2:$E3686,MATCH(C780,user_table!$B$2:$B3686,0)),"")
</f>
        <v>2, 3</v>
      </c>
      <c r="F780" s="6" t="str">
        <f t="shared" si="2"/>
        <v>1132179</v>
      </c>
      <c r="G780" s="8">
        <v>2.0</v>
      </c>
      <c r="H780" s="9">
        <v>45106.0</v>
      </c>
      <c r="I780" s="10" t="s">
        <v>779</v>
      </c>
    </row>
    <row r="781">
      <c r="A781" s="5" t="str">
        <f t="array" ref="A781">INDEX(event_table!$A$2:$A$69, RANDBETWEEN(1, COUNTA(event_table!$A$2:$A$69)))</f>
        <v>1553</v>
      </c>
      <c r="B781" s="6">
        <f t="array" ref="B781">IFERROR(INDEX(event_table!$E$1:$E3686,MATCH(A781,event_table!$A$1:$A3686,0)),"")
</f>
        <v>5</v>
      </c>
      <c r="C781" s="7">
        <f t="shared" si="1"/>
        <v>178</v>
      </c>
      <c r="D781" s="6" t="str">
        <f t="array" ref="D781">IFERROR(INDEX(user_table!$C$2:$C3686,MATCH(C781,user_table!$B$2:$B3686,0)),"")
</f>
        <v>Dewi Hidayat</v>
      </c>
      <c r="E781" s="6" t="str">
        <f t="array" ref="E781">IFERROR(INDEX(user_table!$E$2:$E3686,MATCH(C781,user_table!$B$2:$B3686,0)),"")
</f>
        <v>3, 2</v>
      </c>
      <c r="F781" s="6" t="str">
        <f t="shared" si="2"/>
        <v>155325178</v>
      </c>
      <c r="G781" s="8">
        <v>2.0</v>
      </c>
      <c r="H781" s="9">
        <v>45099.0</v>
      </c>
      <c r="I781" s="10" t="s">
        <v>780</v>
      </c>
    </row>
    <row r="782">
      <c r="A782" s="5" t="str">
        <f t="array" ref="A782">INDEX(event_table!$A$2:$A$69, RANDBETWEEN(1, COUNTA(event_table!$A$2:$A$69)))</f>
        <v>3455</v>
      </c>
      <c r="B782" s="6">
        <f t="array" ref="B782">IFERROR(INDEX(event_table!$E$1:$E3686,MATCH(A782,event_table!$A$1:$A3686,0)),"")
</f>
        <v>4</v>
      </c>
      <c r="C782" s="7">
        <f t="shared" si="1"/>
        <v>139</v>
      </c>
      <c r="D782" s="6" t="str">
        <f t="array" ref="D782">IFERROR(INDEX(user_table!$C$2:$C3686,MATCH(C782,user_table!$B$2:$B3686,0)),"")
</f>
        <v>Sinta Kurniawan</v>
      </c>
      <c r="E782" s="6" t="str">
        <f t="array" ref="E782">IFERROR(INDEX(user_table!$E$2:$E3686,MATCH(C782,user_table!$B$2:$B3686,0)),"")
</f>
        <v>4, 6</v>
      </c>
      <c r="F782" s="6" t="str">
        <f t="shared" si="2"/>
        <v>345524139</v>
      </c>
      <c r="G782" s="8">
        <v>2.0</v>
      </c>
      <c r="H782" s="9">
        <v>45076.0</v>
      </c>
      <c r="I782" s="10" t="s">
        <v>781</v>
      </c>
    </row>
    <row r="783">
      <c r="A783" s="5" t="str">
        <f t="array" ref="A783">INDEX(event_table!$A$2:$A$69, RANDBETWEEN(1, COUNTA(event_table!$A$2:$A$69)))</f>
        <v>1637</v>
      </c>
      <c r="B783" s="6">
        <f t="array" ref="B783">IFERROR(INDEX(event_table!$E$1:$E3686,MATCH(A783,event_table!$A$1:$A3686,0)),"")
</f>
        <v>6</v>
      </c>
      <c r="C783" s="7">
        <f t="shared" si="1"/>
        <v>182</v>
      </c>
      <c r="D783" s="6" t="str">
        <f t="array" ref="D783">IFERROR(INDEX(user_table!$C$2:$C3686,MATCH(C783,user_table!$B$2:$B3686,0)),"")
</f>
        <v>Siti Utami</v>
      </c>
      <c r="E783" s="6" t="str">
        <f t="array" ref="E783">IFERROR(INDEX(user_table!$E$2:$E3686,MATCH(C783,user_table!$B$2:$B3686,0)),"")
</f>
        <v>5, 4</v>
      </c>
      <c r="F783" s="6" t="str">
        <f t="shared" si="2"/>
        <v>163726182</v>
      </c>
      <c r="G783" s="8">
        <v>2.0</v>
      </c>
      <c r="H783" s="9">
        <v>45063.0</v>
      </c>
      <c r="I783" s="10" t="s">
        <v>782</v>
      </c>
    </row>
    <row r="784">
      <c r="A784" s="5" t="str">
        <f t="array" ref="A784">INDEX(event_table!$A$2:$A$69, RANDBETWEEN(1, COUNTA(event_table!$A$2:$A$69)))</f>
        <v>1423</v>
      </c>
      <c r="B784" s="6">
        <f t="array" ref="B784">IFERROR(INDEX(event_table!$E$1:$E3686,MATCH(A784,event_table!$A$1:$A3686,0)),"")
</f>
        <v>4</v>
      </c>
      <c r="C784" s="7">
        <f t="shared" si="1"/>
        <v>62</v>
      </c>
      <c r="D784" s="6" t="str">
        <f t="array" ref="D784">IFERROR(INDEX(user_table!$C$2:$C3686,MATCH(C784,user_table!$B$2:$B3686,0)),"")
</f>
        <v>Joko Sari</v>
      </c>
      <c r="E784" s="6" t="str">
        <f t="array" ref="E784">IFERROR(INDEX(user_table!$E$2:$E3686,MATCH(C784,user_table!$B$2:$B3686,0)),"")
</f>
        <v>6, 1</v>
      </c>
      <c r="F784" s="6" t="str">
        <f t="shared" si="2"/>
        <v>14231462</v>
      </c>
      <c r="G784" s="8">
        <v>1.0</v>
      </c>
      <c r="H784" s="9">
        <v>45252.0</v>
      </c>
      <c r="I784" s="10" t="s">
        <v>783</v>
      </c>
    </row>
    <row r="785">
      <c r="A785" s="5" t="str">
        <f t="array" ref="A785">INDEX(event_table!$A$2:$A$69, RANDBETWEEN(1, COUNTA(event_table!$A$2:$A$69)))</f>
        <v>1333</v>
      </c>
      <c r="B785" s="6">
        <f t="array" ref="B785">IFERROR(INDEX(event_table!$E$1:$E3686,MATCH(A785,event_table!$A$1:$A3686,0)),"")
</f>
        <v>3</v>
      </c>
      <c r="C785" s="7">
        <f t="shared" si="1"/>
        <v>146</v>
      </c>
      <c r="D785" s="6" t="str">
        <f t="array" ref="D785">IFERROR(INDEX(user_table!$C$2:$C3686,MATCH(C785,user_table!$B$2:$B3686,0)),"")
</f>
        <v>Rudi Susanto</v>
      </c>
      <c r="E785" s="6" t="str">
        <f t="array" ref="E785">IFERROR(INDEX(user_table!$E$2:$E3686,MATCH(C785,user_table!$B$2:$B3686,0)),"")
</f>
        <v>6, 1</v>
      </c>
      <c r="F785" s="6" t="str">
        <f t="shared" si="2"/>
        <v>133313146</v>
      </c>
      <c r="G785" s="8">
        <v>1.0</v>
      </c>
      <c r="H785" s="9">
        <v>45187.0</v>
      </c>
      <c r="I785" s="10" t="s">
        <v>784</v>
      </c>
    </row>
    <row r="786">
      <c r="A786" s="5" t="str">
        <f t="array" ref="A786">INDEX(event_table!$A$2:$A$69, RANDBETWEEN(1, COUNTA(event_table!$A$2:$A$69)))</f>
        <v>1111</v>
      </c>
      <c r="B786" s="6">
        <f t="array" ref="B786">IFERROR(INDEX(event_table!$E$1:$E3686,MATCH(A786,event_table!$A$1:$A3686,0)),"")
</f>
        <v>1</v>
      </c>
      <c r="C786" s="7">
        <f t="shared" si="1"/>
        <v>189</v>
      </c>
      <c r="D786" s="6" t="str">
        <f t="array" ref="D786">IFERROR(INDEX(user_table!$C$2:$C3686,MATCH(C786,user_table!$B$2:$B3686,0)),"")
</f>
        <v>Arif Putri</v>
      </c>
      <c r="E786" s="6" t="str">
        <f t="array" ref="E786">IFERROR(INDEX(user_table!$E$2:$E3686,MATCH(C786,user_table!$B$2:$B3686,0)),"")
</f>
        <v>4, 2</v>
      </c>
      <c r="F786" s="6" t="str">
        <f t="shared" si="2"/>
        <v>111111189</v>
      </c>
      <c r="G786" s="8">
        <v>1.0</v>
      </c>
      <c r="H786" s="9">
        <v>45190.0</v>
      </c>
      <c r="I786" s="10" t="s">
        <v>785</v>
      </c>
    </row>
    <row r="787">
      <c r="A787" s="5" t="str">
        <f t="array" ref="A787">INDEX(event_table!$A$2:$A$69, RANDBETWEEN(1, COUNTA(event_table!$A$2:$A$69)))</f>
        <v>1427</v>
      </c>
      <c r="B787" s="6">
        <f t="array" ref="B787">IFERROR(INDEX(event_table!$E$1:$E3686,MATCH(A787,event_table!$A$1:$A3686,0)),"")
</f>
        <v>4</v>
      </c>
      <c r="C787" s="7">
        <f t="shared" si="1"/>
        <v>198</v>
      </c>
      <c r="D787" s="6" t="str">
        <f t="array" ref="D787">IFERROR(INDEX(user_table!$C$2:$C3686,MATCH(C787,user_table!$B$2:$B3686,0)),"")
</f>
        <v>Siti Nugroho</v>
      </c>
      <c r="E787" s="6" t="str">
        <f t="array" ref="E787">IFERROR(INDEX(user_table!$E$2:$E3686,MATCH(C787,user_table!$B$2:$B3686,0)),"")
</f>
        <v>5, 2</v>
      </c>
      <c r="F787" s="6" t="str">
        <f t="shared" si="2"/>
        <v>142714198</v>
      </c>
      <c r="G787" s="8">
        <v>1.0</v>
      </c>
      <c r="H787" s="9">
        <v>45207.0</v>
      </c>
      <c r="I787" s="10" t="s">
        <v>786</v>
      </c>
    </row>
    <row r="788">
      <c r="A788" s="5" t="str">
        <f t="array" ref="A788">INDEX(event_table!$A$2:$A$69, RANDBETWEEN(1, COUNTA(event_table!$A$2:$A$69)))</f>
        <v>1332</v>
      </c>
      <c r="B788" s="6">
        <f t="array" ref="B788">IFERROR(INDEX(event_table!$E$1:$E3686,MATCH(A788,event_table!$A$1:$A3686,0)),"")
</f>
        <v>3</v>
      </c>
      <c r="C788" s="7">
        <f t="shared" si="1"/>
        <v>171</v>
      </c>
      <c r="D788" s="6" t="str">
        <f t="array" ref="D788">IFERROR(INDEX(user_table!$C$2:$C3686,MATCH(C788,user_table!$B$2:$B3686,0)),"")
</f>
        <v>Andi Santoso</v>
      </c>
      <c r="E788" s="6" t="str">
        <f t="array" ref="E788">IFERROR(INDEX(user_table!$E$2:$E3686,MATCH(C788,user_table!$B$2:$B3686,0)),"")
</f>
        <v>4, 3</v>
      </c>
      <c r="F788" s="6" t="str">
        <f t="shared" si="2"/>
        <v>133213171</v>
      </c>
      <c r="G788" s="8">
        <v>1.0</v>
      </c>
      <c r="H788" s="9">
        <v>45267.0</v>
      </c>
      <c r="I788" s="10" t="s">
        <v>787</v>
      </c>
    </row>
    <row r="789">
      <c r="A789" s="5" t="str">
        <f t="array" ref="A789">INDEX(event_table!$A$2:$A$69, RANDBETWEEN(1, COUNTA(event_table!$A$2:$A$69)))</f>
        <v>1647</v>
      </c>
      <c r="B789" s="6">
        <f t="array" ref="B789">IFERROR(INDEX(event_table!$E$1:$E3686,MATCH(A789,event_table!$A$1:$A3686,0)),"")
</f>
        <v>6</v>
      </c>
      <c r="C789" s="7">
        <f t="shared" si="1"/>
        <v>182</v>
      </c>
      <c r="D789" s="6" t="str">
        <f t="array" ref="D789">IFERROR(INDEX(user_table!$C$2:$C3686,MATCH(C789,user_table!$B$2:$B3686,0)),"")
</f>
        <v>Siti Utami</v>
      </c>
      <c r="E789" s="6" t="str">
        <f t="array" ref="E789">IFERROR(INDEX(user_table!$E$2:$E3686,MATCH(C789,user_table!$B$2:$B3686,0)),"")
</f>
        <v>5, 4</v>
      </c>
      <c r="F789" s="6" t="str">
        <f t="shared" si="2"/>
        <v>164716182</v>
      </c>
      <c r="G789" s="8">
        <v>1.0</v>
      </c>
      <c r="H789" s="9">
        <v>45233.0</v>
      </c>
      <c r="I789" s="10" t="s">
        <v>788</v>
      </c>
    </row>
    <row r="790">
      <c r="A790" s="5" t="str">
        <f t="array" ref="A790">INDEX(event_table!$A$2:$A$69, RANDBETWEEN(1, COUNTA(event_table!$A$2:$A$69)))</f>
        <v>3167</v>
      </c>
      <c r="B790" s="6">
        <f t="array" ref="B790">IFERROR(INDEX(event_table!$E$1:$E3686,MATCH(A790,event_table!$A$1:$A3686,0)),"")
</f>
        <v>1</v>
      </c>
      <c r="C790" s="7">
        <f t="shared" si="1"/>
        <v>177</v>
      </c>
      <c r="D790" s="6" t="str">
        <f t="array" ref="D790">IFERROR(INDEX(user_table!$C$2:$C3686,MATCH(C790,user_table!$B$2:$B3686,0)),"")
</f>
        <v>Andi Susanto</v>
      </c>
      <c r="E790" s="6" t="str">
        <f t="array" ref="E790">IFERROR(INDEX(user_table!$E$2:$E3686,MATCH(C790,user_table!$B$2:$B3686,0)),"")
</f>
        <v>2, 6</v>
      </c>
      <c r="F790" s="6" t="str">
        <f t="shared" si="2"/>
        <v>316711177</v>
      </c>
      <c r="G790" s="8">
        <v>1.0</v>
      </c>
      <c r="H790" s="9">
        <v>45201.0</v>
      </c>
      <c r="I790" s="10" t="s">
        <v>789</v>
      </c>
    </row>
    <row r="791">
      <c r="A791" s="5" t="str">
        <f t="array" ref="A791">INDEX(event_table!$A$2:$A$69, RANDBETWEEN(1, COUNTA(event_table!$A$2:$A$69)))</f>
        <v>1637</v>
      </c>
      <c r="B791" s="6">
        <f t="array" ref="B791">IFERROR(INDEX(event_table!$E$1:$E3686,MATCH(A791,event_table!$A$1:$A3686,0)),"")
</f>
        <v>6</v>
      </c>
      <c r="C791" s="7">
        <f t="shared" si="1"/>
        <v>122</v>
      </c>
      <c r="D791" s="6" t="str">
        <f t="array" ref="D791">IFERROR(INDEX(user_table!$C$2:$C3686,MATCH(C791,user_table!$B$2:$B3686,0)),"")
</f>
        <v>Maya Setiawan</v>
      </c>
      <c r="E791" s="6" t="str">
        <f t="array" ref="E791">IFERROR(INDEX(user_table!$E$2:$E3686,MATCH(C791,user_table!$B$2:$B3686,0)),"")
</f>
        <v>2, 3</v>
      </c>
      <c r="F791" s="6" t="str">
        <f t="shared" si="2"/>
        <v>163716122</v>
      </c>
      <c r="G791" s="8">
        <v>1.0</v>
      </c>
      <c r="H791" s="9">
        <v>45201.0</v>
      </c>
      <c r="I791" s="10" t="s">
        <v>790</v>
      </c>
    </row>
    <row r="792">
      <c r="A792" s="5" t="str">
        <f t="array" ref="A792">INDEX(event_table!$A$2:$A$69, RANDBETWEEN(1, COUNTA(event_table!$A$2:$A$69)))</f>
        <v>1418</v>
      </c>
      <c r="B792" s="6">
        <f t="array" ref="B792">IFERROR(INDEX(event_table!$E$1:$E3686,MATCH(A792,event_table!$A$1:$A3686,0)),"")
</f>
        <v>4</v>
      </c>
      <c r="C792" s="7">
        <f t="shared" si="1"/>
        <v>126</v>
      </c>
      <c r="D792" s="6" t="str">
        <f t="array" ref="D792">IFERROR(INDEX(user_table!$C$2:$C3686,MATCH(C792,user_table!$B$2:$B3686,0)),"")
</f>
        <v>Agus Santoso</v>
      </c>
      <c r="E792" s="6" t="str">
        <f t="array" ref="E792">IFERROR(INDEX(user_table!$E$2:$E3686,MATCH(C792,user_table!$B$2:$B3686,0)),"")
</f>
        <v>3, 6</v>
      </c>
      <c r="F792" s="6" t="str">
        <f t="shared" si="2"/>
        <v>141814126</v>
      </c>
      <c r="G792" s="8">
        <v>1.0</v>
      </c>
      <c r="H792" s="9">
        <v>45195.0</v>
      </c>
      <c r="I792" s="10" t="s">
        <v>791</v>
      </c>
    </row>
    <row r="793">
      <c r="A793" s="5" t="str">
        <f t="array" ref="A793">INDEX(event_table!$A$2:$A$69, RANDBETWEEN(1, COUNTA(event_table!$A$2:$A$69)))</f>
        <v>116</v>
      </c>
      <c r="B793" s="6">
        <f t="array" ref="B793">IFERROR(INDEX(event_table!$E$1:$E3686,MATCH(A793,event_table!$A$1:$A3686,0)),"")
</f>
        <v>1</v>
      </c>
      <c r="C793" s="7">
        <f t="shared" si="1"/>
        <v>179</v>
      </c>
      <c r="D793" s="6" t="str">
        <f t="array" ref="D793">IFERROR(INDEX(user_table!$C$2:$C3686,MATCH(C793,user_table!$B$2:$B3686,0)),"")
</f>
        <v>Andi Susanto</v>
      </c>
      <c r="E793" s="6" t="str">
        <f t="array" ref="E793">IFERROR(INDEX(user_table!$E$2:$E3686,MATCH(C793,user_table!$B$2:$B3686,0)),"")
</f>
        <v>1, 6</v>
      </c>
      <c r="F793" s="6" t="str">
        <f t="shared" si="2"/>
        <v>11611179</v>
      </c>
      <c r="G793" s="8">
        <v>1.0</v>
      </c>
      <c r="H793" s="9">
        <v>45154.0</v>
      </c>
      <c r="I793" s="10" t="s">
        <v>792</v>
      </c>
    </row>
    <row r="794">
      <c r="A794" s="5" t="str">
        <f t="array" ref="A794">INDEX(event_table!$A$2:$A$69, RANDBETWEEN(1, COUNTA(event_table!$A$2:$A$69)))</f>
        <v>1215</v>
      </c>
      <c r="B794" s="6">
        <f t="array" ref="B794">IFERROR(INDEX(event_table!$E$1:$E3686,MATCH(A794,event_table!$A$1:$A3686,0)),"")
</f>
        <v>2</v>
      </c>
      <c r="C794" s="7">
        <f t="shared" si="1"/>
        <v>60</v>
      </c>
      <c r="D794" s="6" t="str">
        <f t="array" ref="D794">IFERROR(INDEX(user_table!$C$2:$C3686,MATCH(C794,user_table!$B$2:$B3686,0)),"")
</f>
        <v>Rudi Septiani</v>
      </c>
      <c r="E794" s="6" t="str">
        <f t="array" ref="E794">IFERROR(INDEX(user_table!$E$2:$E3686,MATCH(C794,user_table!$B$2:$B3686,0)),"")
</f>
        <v>6, 2</v>
      </c>
      <c r="F794" s="6" t="str">
        <f t="shared" si="2"/>
        <v>12151260</v>
      </c>
      <c r="G794" s="8">
        <v>1.0</v>
      </c>
      <c r="H794" s="9">
        <v>45151.0</v>
      </c>
      <c r="I794" s="10" t="s">
        <v>793</v>
      </c>
    </row>
    <row r="795">
      <c r="A795" s="5" t="str">
        <f t="array" ref="A795">INDEX(event_table!$A$2:$A$69, RANDBETWEEN(1, COUNTA(event_table!$A$2:$A$69)))</f>
        <v>3454</v>
      </c>
      <c r="B795" s="6">
        <f t="array" ref="B795">IFERROR(INDEX(event_table!$E$1:$E3686,MATCH(A795,event_table!$A$1:$A3686,0)),"")
</f>
        <v>4</v>
      </c>
      <c r="C795" s="7">
        <f t="shared" si="1"/>
        <v>100</v>
      </c>
      <c r="D795" s="6" t="str">
        <f t="array" ref="D795">IFERROR(INDEX(user_table!$C$2:$C3686,MATCH(C795,user_table!$B$2:$B3686,0)),"")
</f>
        <v>Lina Rahayu</v>
      </c>
      <c r="E795" s="6" t="str">
        <f t="array" ref="E795">IFERROR(INDEX(user_table!$E$2:$E3686,MATCH(C795,user_table!$B$2:$B3686,0)),"")
</f>
        <v>6, 2</v>
      </c>
      <c r="F795" s="6" t="str">
        <f t="shared" si="2"/>
        <v>345414100</v>
      </c>
      <c r="G795" s="8">
        <v>1.0</v>
      </c>
      <c r="H795" s="9">
        <v>45145.0</v>
      </c>
      <c r="I795" s="10" t="s">
        <v>794</v>
      </c>
    </row>
    <row r="796">
      <c r="A796" s="5" t="str">
        <f t="array" ref="A796">INDEX(event_table!$A$2:$A$69, RANDBETWEEN(1, COUNTA(event_table!$A$2:$A$69)))</f>
        <v>3162</v>
      </c>
      <c r="B796" s="6">
        <f t="array" ref="B796">IFERROR(INDEX(event_table!$E$1:$E3686,MATCH(A796,event_table!$A$1:$A3686,0)),"")
</f>
        <v>1</v>
      </c>
      <c r="C796" s="7">
        <f t="shared" si="1"/>
        <v>112</v>
      </c>
      <c r="D796" s="6" t="str">
        <f t="array" ref="D796">IFERROR(INDEX(user_table!$C$2:$C3686,MATCH(C796,user_table!$B$2:$B3686,0)),"")
</f>
        <v>Ani Hadiwijaya</v>
      </c>
      <c r="E796" s="6" t="str">
        <f t="array" ref="E796">IFERROR(INDEX(user_table!$E$2:$E3686,MATCH(C796,user_table!$B$2:$B3686,0)),"")
</f>
        <v>3, 5</v>
      </c>
      <c r="F796" s="6" t="str">
        <f t="shared" si="2"/>
        <v>316211112</v>
      </c>
      <c r="G796" s="8">
        <v>1.0</v>
      </c>
      <c r="H796" s="9">
        <v>45143.0</v>
      </c>
      <c r="I796" s="10" t="s">
        <v>795</v>
      </c>
    </row>
    <row r="797">
      <c r="A797" s="5" t="str">
        <f t="array" ref="A797">INDEX(event_table!$A$2:$A$69, RANDBETWEEN(1, COUNTA(event_table!$A$2:$A$69)))</f>
        <v>3356</v>
      </c>
      <c r="B797" s="6">
        <f t="array" ref="B797">IFERROR(INDEX(event_table!$E$1:$E3686,MATCH(A797,event_table!$A$1:$A3686,0)),"")
</f>
        <v>3</v>
      </c>
      <c r="C797" s="7">
        <f t="shared" si="1"/>
        <v>130</v>
      </c>
      <c r="D797" s="6" t="str">
        <f t="array" ref="D797">IFERROR(INDEX(user_table!$C$2:$C3686,MATCH(C797,user_table!$B$2:$B3686,0)),"")
</f>
        <v>Andi Putri</v>
      </c>
      <c r="E797" s="6" t="str">
        <f t="array" ref="E797">IFERROR(INDEX(user_table!$E$2:$E3686,MATCH(C797,user_table!$B$2:$B3686,0)),"")
</f>
        <v>2, 3</v>
      </c>
      <c r="F797" s="6" t="str">
        <f t="shared" si="2"/>
        <v>335613130</v>
      </c>
      <c r="G797" s="8">
        <v>1.0</v>
      </c>
      <c r="H797" s="9">
        <v>45094.0</v>
      </c>
      <c r="I797" s="10" t="s">
        <v>796</v>
      </c>
    </row>
    <row r="798">
      <c r="A798" s="5" t="str">
        <f t="array" ref="A798">INDEX(event_table!$A$2:$A$69, RANDBETWEEN(1, COUNTA(event_table!$A$2:$A$69)))</f>
        <v>1641</v>
      </c>
      <c r="B798" s="6">
        <f t="array" ref="B798">IFERROR(INDEX(event_table!$E$1:$E3686,MATCH(A798,event_table!$A$1:$A3686,0)),"")
</f>
        <v>6</v>
      </c>
      <c r="C798" s="7">
        <f t="shared" si="1"/>
        <v>54</v>
      </c>
      <c r="D798" s="6" t="str">
        <f t="array" ref="D798">IFERROR(INDEX(user_table!$C$2:$C3686,MATCH(C798,user_table!$B$2:$B3686,0)),"")
</f>
        <v>Andi Kurniawan</v>
      </c>
      <c r="E798" s="6" t="str">
        <f t="array" ref="E798">IFERROR(INDEX(user_table!$E$2:$E3686,MATCH(C798,user_table!$B$2:$B3686,0)),"")
</f>
        <v>4, 4</v>
      </c>
      <c r="F798" s="6" t="str">
        <f t="shared" si="2"/>
        <v>16411654</v>
      </c>
      <c r="G798" s="8">
        <v>1.0</v>
      </c>
      <c r="H798" s="9">
        <v>45084.0</v>
      </c>
      <c r="I798" s="10" t="s">
        <v>797</v>
      </c>
    </row>
    <row r="799">
      <c r="A799" s="5" t="str">
        <f t="array" ref="A799">INDEX(event_table!$A$2:$A$69, RANDBETWEEN(1, COUNTA(event_table!$A$2:$A$69)))</f>
        <v>1427</v>
      </c>
      <c r="B799" s="6">
        <f t="array" ref="B799">IFERROR(INDEX(event_table!$E$1:$E3686,MATCH(A799,event_table!$A$1:$A3686,0)),"")
</f>
        <v>4</v>
      </c>
      <c r="C799" s="7">
        <f t="shared" si="1"/>
        <v>144</v>
      </c>
      <c r="D799" s="6" t="str">
        <f t="array" ref="D799">IFERROR(INDEX(user_table!$C$2:$C3686,MATCH(C799,user_table!$B$2:$B3686,0)),"")
</f>
        <v>Sinta Rahayu</v>
      </c>
      <c r="E799" s="6" t="str">
        <f t="array" ref="E799">IFERROR(INDEX(user_table!$E$2:$E3686,MATCH(C799,user_table!$B$2:$B3686,0)),"")
</f>
        <v>6, 3</v>
      </c>
      <c r="F799" s="6" t="str">
        <f t="shared" si="2"/>
        <v>142714144</v>
      </c>
      <c r="G799" s="8">
        <v>1.0</v>
      </c>
      <c r="H799" s="9">
        <v>45053.0</v>
      </c>
      <c r="I799" s="10" t="s">
        <v>798</v>
      </c>
    </row>
    <row r="800">
      <c r="A800" s="5" t="str">
        <f t="array" ref="A800">INDEX(event_table!$A$2:$A$69, RANDBETWEEN(1, COUNTA(event_table!$A$2:$A$69)))</f>
        <v>3658</v>
      </c>
      <c r="B800" s="6">
        <f t="array" ref="B800">IFERROR(INDEX(event_table!$E$1:$E3686,MATCH(A800,event_table!$A$1:$A3686,0)),"")
</f>
        <v>6</v>
      </c>
      <c r="C800" s="7">
        <f t="shared" si="1"/>
        <v>178</v>
      </c>
      <c r="D800" s="6" t="str">
        <f t="array" ref="D800">IFERROR(INDEX(user_table!$C$2:$C3686,MATCH(C800,user_table!$B$2:$B3686,0)),"")
</f>
        <v>Dewi Hidayat</v>
      </c>
      <c r="E800" s="6" t="str">
        <f t="array" ref="E800">IFERROR(INDEX(user_table!$E$2:$E3686,MATCH(C800,user_table!$B$2:$B3686,0)),"")
</f>
        <v>3, 2</v>
      </c>
      <c r="F800" s="6" t="str">
        <f t="shared" si="2"/>
        <v>365856178</v>
      </c>
      <c r="G800" s="8">
        <v>5.0</v>
      </c>
      <c r="H800" s="9">
        <v>44738.0</v>
      </c>
      <c r="I800" s="10" t="s">
        <v>799</v>
      </c>
    </row>
    <row r="801">
      <c r="A801" s="5" t="str">
        <f t="array" ref="A801">INDEX(event_table!$A$2:$A$69, RANDBETWEEN(1, COUNTA(event_table!$A$2:$A$69)))</f>
        <v>118</v>
      </c>
      <c r="B801" s="6">
        <f t="array" ref="B801">IFERROR(INDEX(event_table!$E$1:$E3686,MATCH(A801,event_table!$A$1:$A3686,0)),"")
</f>
        <v>1</v>
      </c>
      <c r="C801" s="7">
        <f t="shared" si="1"/>
        <v>16</v>
      </c>
      <c r="D801" s="6" t="str">
        <f t="array" ref="D801">IFERROR(INDEX(user_table!$C$2:$C3686,MATCH(C801,user_table!$B$2:$B3686,0)),"")
</f>
        <v>Siti Utami</v>
      </c>
      <c r="E801" s="6" t="str">
        <f t="array" ref="E801">IFERROR(INDEX(user_table!$E$2:$E3686,MATCH(C801,user_table!$B$2:$B3686,0)),"")
</f>
        <v>1, 2</v>
      </c>
      <c r="F801" s="6" t="str">
        <f t="shared" si="2"/>
        <v>1185116</v>
      </c>
      <c r="G801" s="8">
        <v>5.0</v>
      </c>
      <c r="H801" s="9">
        <v>44717.0</v>
      </c>
      <c r="I801" s="10" t="s">
        <v>800</v>
      </c>
    </row>
    <row r="802">
      <c r="A802" s="5" t="str">
        <f t="array" ref="A802">INDEX(event_table!$A$2:$A$69, RANDBETWEEN(1, COUNTA(event_table!$A$2:$A$69)))</f>
        <v>1424</v>
      </c>
      <c r="B802" s="6">
        <f t="array" ref="B802">IFERROR(INDEX(event_table!$E$1:$E3686,MATCH(A802,event_table!$A$1:$A3686,0)),"")
</f>
        <v>4</v>
      </c>
      <c r="C802" s="7">
        <f t="shared" si="1"/>
        <v>183</v>
      </c>
      <c r="D802" s="6" t="str">
        <f t="array" ref="D802">IFERROR(INDEX(user_table!$C$2:$C3686,MATCH(C802,user_table!$B$2:$B3686,0)),"")
</f>
        <v>Siti Nugroho</v>
      </c>
      <c r="E802" s="6" t="str">
        <f t="array" ref="E802">IFERROR(INDEX(user_table!$E$2:$E3686,MATCH(C802,user_table!$B$2:$B3686,0)),"")
</f>
        <v>4, 6</v>
      </c>
      <c r="F802" s="6" t="str">
        <f t="shared" si="2"/>
        <v>142454183</v>
      </c>
      <c r="G802" s="8">
        <v>5.0</v>
      </c>
      <c r="H802" s="9">
        <v>44711.0</v>
      </c>
      <c r="I802" s="10" t="s">
        <v>801</v>
      </c>
    </row>
    <row r="803">
      <c r="A803" s="5" t="str">
        <f t="array" ref="A803">INDEX(event_table!$A$2:$A$69, RANDBETWEEN(1, COUNTA(event_table!$A$2:$A$69)))</f>
        <v>119</v>
      </c>
      <c r="B803" s="6">
        <f t="array" ref="B803">IFERROR(INDEX(event_table!$E$1:$E3686,MATCH(A803,event_table!$A$1:$A3686,0)),"")
</f>
        <v>1</v>
      </c>
      <c r="C803" s="7">
        <f t="shared" si="1"/>
        <v>182</v>
      </c>
      <c r="D803" s="6" t="str">
        <f t="array" ref="D803">IFERROR(INDEX(user_table!$C$2:$C3686,MATCH(C803,user_table!$B$2:$B3686,0)),"")
</f>
        <v>Siti Utami</v>
      </c>
      <c r="E803" s="6" t="str">
        <f t="array" ref="E803">IFERROR(INDEX(user_table!$E$2:$E3686,MATCH(C803,user_table!$B$2:$B3686,0)),"")
</f>
        <v>5, 4</v>
      </c>
      <c r="F803" s="6" t="str">
        <f t="shared" si="2"/>
        <v>11951182</v>
      </c>
      <c r="G803" s="8">
        <v>5.0</v>
      </c>
      <c r="H803" s="9">
        <v>44697.0</v>
      </c>
      <c r="I803" s="10" t="s">
        <v>802</v>
      </c>
    </row>
    <row r="804">
      <c r="A804" s="5" t="str">
        <f t="array" ref="A804">INDEX(event_table!$A$2:$A$69, RANDBETWEEN(1, COUNTA(event_table!$A$2:$A$69)))</f>
        <v>115</v>
      </c>
      <c r="B804" s="6">
        <f t="array" ref="B804">IFERROR(INDEX(event_table!$E$1:$E3686,MATCH(A804,event_table!$A$1:$A3686,0)),"")
</f>
        <v>1</v>
      </c>
      <c r="C804" s="7">
        <f t="shared" si="1"/>
        <v>149</v>
      </c>
      <c r="D804" s="6" t="str">
        <f t="array" ref="D804">IFERROR(INDEX(user_table!$C$2:$C3686,MATCH(C804,user_table!$B$2:$B3686,0)),"")
</f>
        <v>Dian Setiawan</v>
      </c>
      <c r="E804" s="6" t="str">
        <f t="array" ref="E804">IFERROR(INDEX(user_table!$E$2:$E3686,MATCH(C804,user_table!$B$2:$B3686,0)),"")
</f>
        <v>2, 4</v>
      </c>
      <c r="F804" s="6" t="str">
        <f t="shared" si="2"/>
        <v>11551149</v>
      </c>
      <c r="G804" s="8">
        <v>5.0</v>
      </c>
      <c r="H804" s="9">
        <v>44690.0</v>
      </c>
      <c r="I804" s="10" t="s">
        <v>803</v>
      </c>
    </row>
    <row r="805">
      <c r="A805" s="5" t="str">
        <f t="array" ref="A805">INDEX(event_table!$A$2:$A$69, RANDBETWEEN(1, COUNTA(event_table!$A$2:$A$69)))</f>
        <v>1332</v>
      </c>
      <c r="B805" s="6">
        <f t="array" ref="B805">IFERROR(INDEX(event_table!$E$1:$E3686,MATCH(A805,event_table!$A$1:$A3686,0)),"")
</f>
        <v>3</v>
      </c>
      <c r="C805" s="7">
        <f t="shared" si="1"/>
        <v>108</v>
      </c>
      <c r="D805" s="6" t="str">
        <f t="array" ref="D805">IFERROR(INDEX(user_table!$C$2:$C3686,MATCH(C805,user_table!$B$2:$B3686,0)),"")
</f>
        <v>Dewi Hadiwijaya</v>
      </c>
      <c r="E805" s="6" t="str">
        <f t="array" ref="E805">IFERROR(INDEX(user_table!$E$2:$E3686,MATCH(C805,user_table!$B$2:$B3686,0)),"")
</f>
        <v>6, 6</v>
      </c>
      <c r="F805" s="6" t="str">
        <f t="shared" si="2"/>
        <v>133253108</v>
      </c>
      <c r="G805" s="8">
        <v>5.0</v>
      </c>
      <c r="H805" s="9">
        <v>44733.0</v>
      </c>
      <c r="I805" s="10" t="s">
        <v>804</v>
      </c>
    </row>
    <row r="806">
      <c r="A806" s="5" t="str">
        <f t="array" ref="A806">INDEX(event_table!$A$2:$A$69, RANDBETWEEN(1, COUNTA(event_table!$A$2:$A$69)))</f>
        <v>1641</v>
      </c>
      <c r="B806" s="6">
        <f t="array" ref="B806">IFERROR(INDEX(event_table!$E$1:$E3686,MATCH(A806,event_table!$A$1:$A3686,0)),"")
</f>
        <v>6</v>
      </c>
      <c r="C806" s="7">
        <f t="shared" si="1"/>
        <v>177</v>
      </c>
      <c r="D806" s="6" t="str">
        <f t="array" ref="D806">IFERROR(INDEX(user_table!$C$2:$C3686,MATCH(C806,user_table!$B$2:$B3686,0)),"")
</f>
        <v>Andi Susanto</v>
      </c>
      <c r="E806" s="6" t="str">
        <f t="array" ref="E806">IFERROR(INDEX(user_table!$E$2:$E3686,MATCH(C806,user_table!$B$2:$B3686,0)),"")
</f>
        <v>2, 6</v>
      </c>
      <c r="F806" s="6" t="str">
        <f t="shared" si="2"/>
        <v>164156177</v>
      </c>
      <c r="G806" s="8">
        <v>5.0</v>
      </c>
      <c r="H806" s="9">
        <v>44693.0</v>
      </c>
      <c r="I806" s="10" t="s">
        <v>805</v>
      </c>
    </row>
    <row r="807">
      <c r="A807" s="5" t="str">
        <f t="array" ref="A807">INDEX(event_table!$A$2:$A$69, RANDBETWEEN(1, COUNTA(event_table!$A$2:$A$69)))</f>
        <v>1645</v>
      </c>
      <c r="B807" s="6">
        <f t="array" ref="B807">IFERROR(INDEX(event_table!$E$1:$E3686,MATCH(A807,event_table!$A$1:$A3686,0)),"")
</f>
        <v>6</v>
      </c>
      <c r="C807" s="7">
        <f t="shared" si="1"/>
        <v>146</v>
      </c>
      <c r="D807" s="6" t="str">
        <f t="array" ref="D807">IFERROR(INDEX(user_table!$C$2:$C3686,MATCH(C807,user_table!$B$2:$B3686,0)),"")
</f>
        <v>Rudi Susanto</v>
      </c>
      <c r="E807" s="6" t="str">
        <f t="array" ref="E807">IFERROR(INDEX(user_table!$E$2:$E3686,MATCH(C807,user_table!$B$2:$B3686,0)),"")
</f>
        <v>6, 1</v>
      </c>
      <c r="F807" s="6" t="str">
        <f t="shared" si="2"/>
        <v>164546146</v>
      </c>
      <c r="G807" s="8">
        <v>4.0</v>
      </c>
      <c r="H807" s="9">
        <v>44895.0</v>
      </c>
      <c r="I807" s="10" t="s">
        <v>806</v>
      </c>
    </row>
    <row r="808">
      <c r="A808" s="5" t="str">
        <f t="array" ref="A808">INDEX(event_table!$A$2:$A$69, RANDBETWEEN(1, COUNTA(event_table!$A$2:$A$69)))</f>
        <v>3168</v>
      </c>
      <c r="B808" s="6">
        <f t="array" ref="B808">IFERROR(INDEX(event_table!$E$1:$E3686,MATCH(A808,event_table!$A$1:$A3686,0)),"")
</f>
        <v>1</v>
      </c>
      <c r="C808" s="7">
        <f t="shared" si="1"/>
        <v>125</v>
      </c>
      <c r="D808" s="6" t="str">
        <f t="array" ref="D808">IFERROR(INDEX(user_table!$C$2:$C3686,MATCH(C808,user_table!$B$2:$B3686,0)),"")
</f>
        <v>Fandi Hidayat</v>
      </c>
      <c r="E808" s="6" t="str">
        <f t="array" ref="E808">IFERROR(INDEX(user_table!$E$2:$E3686,MATCH(C808,user_table!$B$2:$B3686,0)),"")
</f>
        <v>5, 2</v>
      </c>
      <c r="F808" s="6" t="str">
        <f t="shared" si="2"/>
        <v>316841125</v>
      </c>
      <c r="G808" s="8">
        <v>4.0</v>
      </c>
      <c r="H808" s="9">
        <v>44814.0</v>
      </c>
      <c r="I808" s="10" t="s">
        <v>807</v>
      </c>
    </row>
    <row r="809">
      <c r="A809" s="5" t="str">
        <f t="array" ref="A809">INDEX(event_table!$A$2:$A$69, RANDBETWEEN(1, COUNTA(event_table!$A$2:$A$69)))</f>
        <v>1519</v>
      </c>
      <c r="B809" s="6">
        <f t="array" ref="B809">IFERROR(INDEX(event_table!$E$1:$E3686,MATCH(A809,event_table!$A$1:$A3686,0)),"")
</f>
        <v>5</v>
      </c>
      <c r="C809" s="7">
        <f t="shared" si="1"/>
        <v>198</v>
      </c>
      <c r="D809" s="6" t="str">
        <f t="array" ref="D809">IFERROR(INDEX(user_table!$C$2:$C3686,MATCH(C809,user_table!$B$2:$B3686,0)),"")
</f>
        <v>Siti Nugroho</v>
      </c>
      <c r="E809" s="6" t="str">
        <f t="array" ref="E809">IFERROR(INDEX(user_table!$E$2:$E3686,MATCH(C809,user_table!$B$2:$B3686,0)),"")
</f>
        <v>5, 2</v>
      </c>
      <c r="F809" s="6" t="str">
        <f t="shared" si="2"/>
        <v>151945198</v>
      </c>
      <c r="G809" s="8">
        <v>4.0</v>
      </c>
      <c r="H809" s="9">
        <v>45190.0</v>
      </c>
      <c r="I809" s="10" t="s">
        <v>808</v>
      </c>
    </row>
    <row r="810">
      <c r="A810" s="5" t="str">
        <f t="array" ref="A810">INDEX(event_table!$A$2:$A$69, RANDBETWEEN(1, COUNTA(event_table!$A$2:$A$69)))</f>
        <v>118</v>
      </c>
      <c r="B810" s="6">
        <f t="array" ref="B810">IFERROR(INDEX(event_table!$E$1:$E3686,MATCH(A810,event_table!$A$1:$A3686,0)),"")
</f>
        <v>1</v>
      </c>
      <c r="C810" s="7">
        <f t="shared" si="1"/>
        <v>89</v>
      </c>
      <c r="D810" s="6" t="str">
        <f t="array" ref="D810">IFERROR(INDEX(user_table!$C$2:$C3686,MATCH(C810,user_table!$B$2:$B3686,0)),"")
</f>
        <v>Hadi Wijaya</v>
      </c>
      <c r="E810" s="6" t="str">
        <f t="array" ref="E810">IFERROR(INDEX(user_table!$E$2:$E3686,MATCH(C810,user_table!$B$2:$B3686,0)),"")
</f>
        <v>6, 4</v>
      </c>
      <c r="F810" s="6" t="str">
        <f t="shared" si="2"/>
        <v>1184189</v>
      </c>
      <c r="G810" s="8">
        <v>4.0</v>
      </c>
      <c r="H810" s="9">
        <v>44775.0</v>
      </c>
      <c r="I810" s="10" t="s">
        <v>809</v>
      </c>
    </row>
    <row r="811">
      <c r="A811" s="5" t="str">
        <f t="array" ref="A811">INDEX(event_table!$A$2:$A$69, RANDBETWEEN(1, COUNTA(event_table!$A$2:$A$69)))</f>
        <v>1110</v>
      </c>
      <c r="B811" s="6">
        <f t="array" ref="B811">IFERROR(INDEX(event_table!$E$1:$E3686,MATCH(A811,event_table!$A$1:$A3686,0)),"")
</f>
        <v>1</v>
      </c>
      <c r="C811" s="7">
        <f t="shared" si="1"/>
        <v>102</v>
      </c>
      <c r="D811" s="6" t="str">
        <f t="array" ref="D811">IFERROR(INDEX(user_table!$C$2:$C3686,MATCH(C811,user_table!$B$2:$B3686,0)),"")
</f>
        <v>Lina Nurhayati</v>
      </c>
      <c r="E811" s="6" t="str">
        <f t="array" ref="E811">IFERROR(INDEX(user_table!$E$2:$E3686,MATCH(C811,user_table!$B$2:$B3686,0)),"")
</f>
        <v>1, 2</v>
      </c>
      <c r="F811" s="6" t="str">
        <f t="shared" si="2"/>
        <v>111041102</v>
      </c>
      <c r="G811" s="8">
        <v>4.0</v>
      </c>
      <c r="H811" s="9">
        <v>44716.0</v>
      </c>
      <c r="I811" s="10" t="s">
        <v>810</v>
      </c>
    </row>
    <row r="812">
      <c r="A812" s="5" t="str">
        <f t="array" ref="A812">INDEX(event_table!$A$2:$A$69, RANDBETWEEN(1, COUNTA(event_table!$A$2:$A$69)))</f>
        <v>3168</v>
      </c>
      <c r="B812" s="6">
        <f t="array" ref="B812">IFERROR(INDEX(event_table!$E$1:$E3686,MATCH(A812,event_table!$A$1:$A3686,0)),"")
</f>
        <v>1</v>
      </c>
      <c r="C812" s="7">
        <f t="shared" si="1"/>
        <v>103</v>
      </c>
      <c r="D812" s="6" t="str">
        <f t="array" ref="D812">IFERROR(INDEX(user_table!$C$2:$C3686,MATCH(C812,user_table!$B$2:$B3686,0)),"")
</f>
        <v>Hadi Sari</v>
      </c>
      <c r="E812" s="6" t="str">
        <f t="array" ref="E812">IFERROR(INDEX(user_table!$E$2:$E3686,MATCH(C812,user_table!$B$2:$B3686,0)),"")
</f>
        <v>3, 1</v>
      </c>
      <c r="F812" s="6" t="str">
        <f t="shared" si="2"/>
        <v>316841103</v>
      </c>
      <c r="G812" s="8">
        <v>4.0</v>
      </c>
      <c r="H812" s="9">
        <v>44705.0</v>
      </c>
      <c r="I812" s="10" t="s">
        <v>811</v>
      </c>
    </row>
    <row r="813">
      <c r="A813" s="5" t="str">
        <f t="array" ref="A813">INDEX(event_table!$A$2:$A$69, RANDBETWEEN(1, COUNTA(event_table!$A$2:$A$69)))</f>
        <v>3659</v>
      </c>
      <c r="B813" s="6">
        <f t="array" ref="B813">IFERROR(INDEX(event_table!$E$1:$E3686,MATCH(A813,event_table!$A$1:$A3686,0)),"")
</f>
        <v>6</v>
      </c>
      <c r="C813" s="7">
        <f t="shared" si="1"/>
        <v>43</v>
      </c>
      <c r="D813" s="6" t="str">
        <f t="array" ref="D813">IFERROR(INDEX(user_table!$C$2:$C3686,MATCH(C813,user_table!$B$2:$B3686,0)),"")
</f>
        <v>Lina Putri</v>
      </c>
      <c r="E813" s="6" t="str">
        <f t="array" ref="E813">IFERROR(INDEX(user_table!$E$2:$E3686,MATCH(C813,user_table!$B$2:$B3686,0)),"")
</f>
        <v>1, 6</v>
      </c>
      <c r="F813" s="6" t="str">
        <f t="shared" si="2"/>
        <v>36594643</v>
      </c>
      <c r="G813" s="8">
        <v>4.0</v>
      </c>
      <c r="H813" s="9">
        <v>44942.0</v>
      </c>
      <c r="I813" s="10" t="s">
        <v>812</v>
      </c>
    </row>
    <row r="814">
      <c r="A814" s="5" t="str">
        <f t="array" ref="A814">INDEX(event_table!$A$2:$A$69, RANDBETWEEN(1, COUNTA(event_table!$A$2:$A$69)))</f>
        <v>1334</v>
      </c>
      <c r="B814" s="6">
        <f t="array" ref="B814">IFERROR(INDEX(event_table!$E$1:$E3686,MATCH(A814,event_table!$A$1:$A3686,0)),"")
</f>
        <v>3</v>
      </c>
      <c r="C814" s="7">
        <f t="shared" si="1"/>
        <v>185</v>
      </c>
      <c r="D814" s="6" t="str">
        <f t="array" ref="D814">IFERROR(INDEX(user_table!$C$2:$C3686,MATCH(C814,user_table!$B$2:$B3686,0)),"")
</f>
        <v>Budi Wijaya</v>
      </c>
      <c r="E814" s="6" t="str">
        <f t="array" ref="E814">IFERROR(INDEX(user_table!$E$2:$E3686,MATCH(C814,user_table!$B$2:$B3686,0)),"")
</f>
        <v>6, 3</v>
      </c>
      <c r="F814" s="6" t="str">
        <f t="shared" si="2"/>
        <v>133433185</v>
      </c>
      <c r="G814" s="8">
        <v>3.0</v>
      </c>
      <c r="H814" s="9">
        <v>45272.0</v>
      </c>
      <c r="I814" s="10" t="s">
        <v>549</v>
      </c>
    </row>
    <row r="815">
      <c r="A815" s="5" t="str">
        <f t="array" ref="A815">INDEX(event_table!$A$2:$A$69, RANDBETWEEN(1, COUNTA(event_table!$A$2:$A$69)))</f>
        <v>3163</v>
      </c>
      <c r="B815" s="6">
        <f t="array" ref="B815">IFERROR(INDEX(event_table!$E$1:$E3686,MATCH(A815,event_table!$A$1:$A3686,0)),"")
</f>
        <v>1</v>
      </c>
      <c r="C815" s="7">
        <f t="shared" si="1"/>
        <v>47</v>
      </c>
      <c r="D815" s="6" t="str">
        <f t="array" ref="D815">IFERROR(INDEX(user_table!$C$2:$C3686,MATCH(C815,user_table!$B$2:$B3686,0)),"")
</f>
        <v>Fandi Kurniawan</v>
      </c>
      <c r="E815" s="6" t="str">
        <f t="array" ref="E815">IFERROR(INDEX(user_table!$E$2:$E3686,MATCH(C815,user_table!$B$2:$B3686,0)),"")
</f>
        <v>5, 6</v>
      </c>
      <c r="F815" s="6" t="str">
        <f t="shared" si="2"/>
        <v>31633147</v>
      </c>
      <c r="G815" s="8">
        <v>3.0</v>
      </c>
      <c r="H815" s="9">
        <v>45180.0</v>
      </c>
      <c r="I815" s="10" t="s">
        <v>813</v>
      </c>
    </row>
    <row r="816">
      <c r="A816" s="5" t="str">
        <f t="array" ref="A816">INDEX(event_table!$A$2:$A$69, RANDBETWEEN(1, COUNTA(event_table!$A$2:$A$69)))</f>
        <v>3168</v>
      </c>
      <c r="B816" s="6">
        <f t="array" ref="B816">IFERROR(INDEX(event_table!$E$1:$E3686,MATCH(A816,event_table!$A$1:$A3686,0)),"")
</f>
        <v>1</v>
      </c>
      <c r="C816" s="7">
        <f t="shared" si="1"/>
        <v>177</v>
      </c>
      <c r="D816" s="6" t="str">
        <f t="array" ref="D816">IFERROR(INDEX(user_table!$C$2:$C3686,MATCH(C816,user_table!$B$2:$B3686,0)),"")
</f>
        <v>Andi Susanto</v>
      </c>
      <c r="E816" s="6" t="str">
        <f t="array" ref="E816">IFERROR(INDEX(user_table!$E$2:$E3686,MATCH(C816,user_table!$B$2:$B3686,0)),"")
</f>
        <v>2, 6</v>
      </c>
      <c r="F816" s="6" t="str">
        <f t="shared" si="2"/>
        <v>316831177</v>
      </c>
      <c r="G816" s="8">
        <v>3.0</v>
      </c>
      <c r="H816" s="9">
        <v>45167.0</v>
      </c>
      <c r="I816" s="10" t="s">
        <v>40</v>
      </c>
    </row>
    <row r="817">
      <c r="A817" s="5" t="str">
        <f t="array" ref="A817">INDEX(event_table!$A$2:$A$69, RANDBETWEEN(1, COUNTA(event_table!$A$2:$A$69)))</f>
        <v>1642</v>
      </c>
      <c r="B817" s="6">
        <f t="array" ref="B817">IFERROR(INDEX(event_table!$E$1:$E3686,MATCH(A817,event_table!$A$1:$A3686,0)),"")
</f>
        <v>6</v>
      </c>
      <c r="C817" s="7">
        <f t="shared" si="1"/>
        <v>4</v>
      </c>
      <c r="D817" s="6" t="str">
        <f t="array" ref="D817">IFERROR(INDEX(user_table!$C$2:$C3686,MATCH(C817,user_table!$B$2:$B3686,0)),"")
</f>
        <v>Dina Utami</v>
      </c>
      <c r="E817" s="6" t="str">
        <f t="array" ref="E817">IFERROR(INDEX(user_table!$E$2:$E3686,MATCH(C817,user_table!$B$2:$B3686,0)),"")
</f>
        <v>6, 2</v>
      </c>
      <c r="F817" s="6" t="str">
        <f t="shared" si="2"/>
        <v>1642364</v>
      </c>
      <c r="G817" s="8">
        <v>3.0</v>
      </c>
      <c r="H817" s="9">
        <v>45159.0</v>
      </c>
      <c r="I817" s="10" t="s">
        <v>814</v>
      </c>
    </row>
    <row r="818">
      <c r="A818" s="5" t="str">
        <f t="array" ref="A818">INDEX(event_table!$A$2:$A$69, RANDBETWEEN(1, COUNTA(event_table!$A$2:$A$69)))</f>
        <v>1529</v>
      </c>
      <c r="B818" s="6">
        <f t="array" ref="B818">IFERROR(INDEX(event_table!$E$1:$E3686,MATCH(A818,event_table!$A$1:$A3686,0)),"")
</f>
        <v>5</v>
      </c>
      <c r="C818" s="7">
        <f t="shared" si="1"/>
        <v>151</v>
      </c>
      <c r="D818" s="6" t="str">
        <f t="array" ref="D818">IFERROR(INDEX(user_table!$C$2:$C3686,MATCH(C818,user_table!$B$2:$B3686,0)),"")
</f>
        <v>Maya Hidayat</v>
      </c>
      <c r="E818" s="6" t="str">
        <f t="array" ref="E818">IFERROR(INDEX(user_table!$E$2:$E3686,MATCH(C818,user_table!$B$2:$B3686,0)),"")
</f>
        <v>2, 3</v>
      </c>
      <c r="F818" s="6" t="str">
        <f t="shared" si="2"/>
        <v>152935151</v>
      </c>
      <c r="G818" s="8">
        <v>3.0</v>
      </c>
      <c r="H818" s="9">
        <v>45148.0</v>
      </c>
      <c r="I818" s="10" t="s">
        <v>815</v>
      </c>
    </row>
    <row r="819">
      <c r="A819" s="5" t="str">
        <f t="array" ref="A819">INDEX(event_table!$A$2:$A$69, RANDBETWEEN(1, COUNTA(event_table!$A$2:$A$69)))</f>
        <v>1427</v>
      </c>
      <c r="B819" s="6">
        <f t="array" ref="B819">IFERROR(INDEX(event_table!$E$1:$E3686,MATCH(A819,event_table!$A$1:$A3686,0)),"")
</f>
        <v>4</v>
      </c>
      <c r="C819" s="7">
        <f t="shared" si="1"/>
        <v>156</v>
      </c>
      <c r="D819" s="6" t="str">
        <f t="array" ref="D819">IFERROR(INDEX(user_table!$C$2:$C3686,MATCH(C819,user_table!$B$2:$B3686,0)),"")
</f>
        <v>Lina Kusuma</v>
      </c>
      <c r="E819" s="6" t="str">
        <f t="array" ref="E819">IFERROR(INDEX(user_table!$E$2:$E3686,MATCH(C819,user_table!$B$2:$B3686,0)),"")
</f>
        <v>4, 3</v>
      </c>
      <c r="F819" s="6" t="str">
        <f t="shared" si="2"/>
        <v>142734156</v>
      </c>
      <c r="G819" s="8">
        <v>3.0</v>
      </c>
      <c r="H819" s="9">
        <v>45145.0</v>
      </c>
      <c r="I819" s="10" t="s">
        <v>816</v>
      </c>
    </row>
    <row r="820">
      <c r="A820" s="5" t="str">
        <f t="array" ref="A820">INDEX(event_table!$A$2:$A$69, RANDBETWEEN(1, COUNTA(event_table!$A$2:$A$69)))</f>
        <v>1114</v>
      </c>
      <c r="B820" s="6">
        <f t="array" ref="B820">IFERROR(INDEX(event_table!$E$1:$E3686,MATCH(A820,event_table!$A$1:$A3686,0)),"")
</f>
        <v>1</v>
      </c>
      <c r="C820" s="7">
        <f t="shared" si="1"/>
        <v>36</v>
      </c>
      <c r="D820" s="6" t="str">
        <f t="array" ref="D820">IFERROR(INDEX(user_table!$C$2:$C3686,MATCH(C820,user_table!$B$2:$B3686,0)),"")
</f>
        <v>Arif Susanto</v>
      </c>
      <c r="E820" s="6" t="str">
        <f t="array" ref="E820">IFERROR(INDEX(user_table!$E$2:$E3686,MATCH(C820,user_table!$B$2:$B3686,0)),"")
</f>
        <v>3, 5</v>
      </c>
      <c r="F820" s="6" t="str">
        <f t="shared" si="2"/>
        <v>11143136</v>
      </c>
      <c r="G820" s="8">
        <v>3.0</v>
      </c>
      <c r="H820" s="9">
        <v>45114.0</v>
      </c>
      <c r="I820" s="10" t="s">
        <v>817</v>
      </c>
    </row>
    <row r="821">
      <c r="A821" s="5" t="str">
        <f t="array" ref="A821">INDEX(event_table!$A$2:$A$69, RANDBETWEEN(1, COUNTA(event_table!$A$2:$A$69)))</f>
        <v>122</v>
      </c>
      <c r="B821" s="6">
        <f t="array" ref="B821">IFERROR(INDEX(event_table!$E$1:$E3686,MATCH(A821,event_table!$A$1:$A3686,0)),"")
</f>
        <v>2</v>
      </c>
      <c r="C821" s="7">
        <f t="shared" si="1"/>
        <v>187</v>
      </c>
      <c r="D821" s="6" t="str">
        <f t="array" ref="D821">IFERROR(INDEX(user_table!$C$2:$C3686,MATCH(C821,user_table!$B$2:$B3686,0)),"")
</f>
        <v>Bambang Saputra</v>
      </c>
      <c r="E821" s="6" t="str">
        <f t="array" ref="E821">IFERROR(INDEX(user_table!$E$2:$E3686,MATCH(C821,user_table!$B$2:$B3686,0)),"")
</f>
        <v>3, 1</v>
      </c>
      <c r="F821" s="6" t="str">
        <f t="shared" si="2"/>
        <v>12222187</v>
      </c>
      <c r="G821" s="8">
        <v>2.0</v>
      </c>
      <c r="H821" s="9">
        <v>45126.0</v>
      </c>
      <c r="I821" s="10" t="s">
        <v>818</v>
      </c>
    </row>
    <row r="822">
      <c r="A822" s="5" t="str">
        <f t="array" ref="A822">INDEX(event_table!$A$2:$A$69, RANDBETWEEN(1, COUNTA(event_table!$A$2:$A$69)))</f>
        <v>1332</v>
      </c>
      <c r="B822" s="6">
        <f t="array" ref="B822">IFERROR(INDEX(event_table!$E$1:$E3686,MATCH(A822,event_table!$A$1:$A3686,0)),"")
</f>
        <v>3</v>
      </c>
      <c r="C822" s="7">
        <f t="shared" si="1"/>
        <v>190</v>
      </c>
      <c r="D822" s="6" t="str">
        <f t="array" ref="D822">IFERROR(INDEX(user_table!$C$2:$C3686,MATCH(C822,user_table!$B$2:$B3686,0)),"")
</f>
        <v>Fajar Santoso</v>
      </c>
      <c r="E822" s="6" t="str">
        <f t="array" ref="E822">IFERROR(INDEX(user_table!$E$2:$E3686,MATCH(C822,user_table!$B$2:$B3686,0)),"")
</f>
        <v>1, 3</v>
      </c>
      <c r="F822" s="6" t="str">
        <f t="shared" si="2"/>
        <v>133223190</v>
      </c>
      <c r="G822" s="8">
        <v>2.0</v>
      </c>
      <c r="H822" s="9">
        <v>44700.0</v>
      </c>
      <c r="I822" s="10" t="s">
        <v>819</v>
      </c>
    </row>
    <row r="823">
      <c r="A823" s="5" t="str">
        <f t="array" ref="A823">INDEX(event_table!$A$2:$A$69, RANDBETWEEN(1, COUNTA(event_table!$A$2:$A$69)))</f>
        <v>1418</v>
      </c>
      <c r="B823" s="6">
        <f t="array" ref="B823">IFERROR(INDEX(event_table!$E$1:$E3686,MATCH(A823,event_table!$A$1:$A3686,0)),"")
</f>
        <v>4</v>
      </c>
      <c r="C823" s="7">
        <f t="shared" si="1"/>
        <v>18</v>
      </c>
      <c r="D823" s="6" t="str">
        <f t="array" ref="D823">IFERROR(INDEX(user_table!$C$2:$C3686,MATCH(C823,user_table!$B$2:$B3686,0)),"")
</f>
        <v>Rudi Santoso</v>
      </c>
      <c r="E823" s="6" t="str">
        <f t="array" ref="E823">IFERROR(INDEX(user_table!$E$2:$E3686,MATCH(C823,user_table!$B$2:$B3686,0)),"")
</f>
        <v>4, 2</v>
      </c>
      <c r="F823" s="6" t="str">
        <f t="shared" si="2"/>
        <v>14182418</v>
      </c>
      <c r="G823" s="8">
        <v>2.0</v>
      </c>
      <c r="H823" s="9">
        <v>44387.0</v>
      </c>
      <c r="I823" s="10" t="s">
        <v>820</v>
      </c>
    </row>
    <row r="824">
      <c r="A824" s="5" t="str">
        <f t="array" ref="A824">INDEX(event_table!$A$2:$A$69, RANDBETWEEN(1, COUNTA(event_table!$A$2:$A$69)))</f>
        <v>115</v>
      </c>
      <c r="B824" s="6">
        <f t="array" ref="B824">IFERROR(INDEX(event_table!$E$1:$E3686,MATCH(A824,event_table!$A$1:$A3686,0)),"")
</f>
        <v>1</v>
      </c>
      <c r="C824" s="7">
        <f t="shared" si="1"/>
        <v>3</v>
      </c>
      <c r="D824" s="6" t="str">
        <f t="array" ref="D824">IFERROR(INDEX(user_table!$C$2:$C3686,MATCH(C824,user_table!$B$2:$B3686,0)),"")
</f>
        <v>Fandi Wijaya</v>
      </c>
      <c r="E824" s="6" t="str">
        <f t="array" ref="E824">IFERROR(INDEX(user_table!$E$2:$E3686,MATCH(C824,user_table!$B$2:$B3686,0)),"")
</f>
        <v>6, 1</v>
      </c>
      <c r="F824" s="6" t="str">
        <f t="shared" si="2"/>
        <v>115213</v>
      </c>
      <c r="G824" s="8">
        <v>2.0</v>
      </c>
      <c r="H824" s="9">
        <v>45255.0</v>
      </c>
      <c r="I824" s="10" t="s">
        <v>821</v>
      </c>
    </row>
    <row r="825">
      <c r="A825" s="5" t="str">
        <f t="array" ref="A825">INDEX(event_table!$A$2:$A$69, RANDBETWEEN(1, COUNTA(event_table!$A$2:$A$69)))</f>
        <v>1418</v>
      </c>
      <c r="B825" s="6">
        <f t="array" ref="B825">IFERROR(INDEX(event_table!$E$1:$E3686,MATCH(A825,event_table!$A$1:$A3686,0)),"")
</f>
        <v>4</v>
      </c>
      <c r="C825" s="7">
        <f t="shared" si="1"/>
        <v>173</v>
      </c>
      <c r="D825" s="6" t="str">
        <f t="array" ref="D825">IFERROR(INDEX(user_table!$C$2:$C3686,MATCH(C825,user_table!$B$2:$B3686,0)),"")
</f>
        <v>Fajar Putri</v>
      </c>
      <c r="E825" s="6" t="str">
        <f t="array" ref="E825">IFERROR(INDEX(user_table!$E$2:$E3686,MATCH(C825,user_table!$B$2:$B3686,0)),"")
</f>
        <v>2, 6</v>
      </c>
      <c r="F825" s="6" t="str">
        <f t="shared" si="2"/>
        <v>141824173</v>
      </c>
      <c r="G825" s="8">
        <v>2.0</v>
      </c>
      <c r="H825" s="9">
        <v>45225.0</v>
      </c>
      <c r="I825" s="10" t="s">
        <v>822</v>
      </c>
    </row>
    <row r="826">
      <c r="A826" s="5" t="str">
        <f t="array" ref="A826">INDEX(event_table!$A$2:$A$69, RANDBETWEEN(1, COUNTA(event_table!$A$2:$A$69)))</f>
        <v>1424</v>
      </c>
      <c r="B826" s="6">
        <f t="array" ref="B826">IFERROR(INDEX(event_table!$E$1:$E3686,MATCH(A826,event_table!$A$1:$A3686,0)),"")
</f>
        <v>4</v>
      </c>
      <c r="C826" s="7">
        <f t="shared" si="1"/>
        <v>102</v>
      </c>
      <c r="D826" s="6" t="str">
        <f t="array" ref="D826">IFERROR(INDEX(user_table!$C$2:$C3686,MATCH(C826,user_table!$B$2:$B3686,0)),"")
</f>
        <v>Lina Nurhayati</v>
      </c>
      <c r="E826" s="6" t="str">
        <f t="array" ref="E826">IFERROR(INDEX(user_table!$E$2:$E3686,MATCH(C826,user_table!$B$2:$B3686,0)),"")
</f>
        <v>1, 2</v>
      </c>
      <c r="F826" s="6" t="str">
        <f t="shared" si="2"/>
        <v>142424102</v>
      </c>
      <c r="G826" s="8">
        <v>2.0</v>
      </c>
      <c r="H826" s="9">
        <v>45217.0</v>
      </c>
      <c r="I826" s="10" t="s">
        <v>823</v>
      </c>
    </row>
    <row r="827">
      <c r="A827" s="5" t="str">
        <f t="array" ref="A827">INDEX(event_table!$A$2:$A$69, RANDBETWEEN(1, COUNTA(event_table!$A$2:$A$69)))</f>
        <v>1416</v>
      </c>
      <c r="B827" s="6">
        <f t="array" ref="B827">IFERROR(INDEX(event_table!$E$1:$E3686,MATCH(A827,event_table!$A$1:$A3686,0)),"")
</f>
        <v>4</v>
      </c>
      <c r="C827" s="7">
        <f t="shared" si="1"/>
        <v>70</v>
      </c>
      <c r="D827" s="6" t="str">
        <f t="array" ref="D827">IFERROR(INDEX(user_table!$C$2:$C3686,MATCH(C827,user_table!$B$2:$B3686,0)),"")
</f>
        <v>Fandi Hadiwijaya</v>
      </c>
      <c r="E827" s="6" t="str">
        <f t="array" ref="E827">IFERROR(INDEX(user_table!$E$2:$E3686,MATCH(C827,user_table!$B$2:$B3686,0)),"")
</f>
        <v>1, 4</v>
      </c>
      <c r="F827" s="6" t="str">
        <f t="shared" si="2"/>
        <v>14162470</v>
      </c>
      <c r="G827" s="8">
        <v>2.0</v>
      </c>
      <c r="H827" s="9">
        <v>45196.0</v>
      </c>
      <c r="I827" s="10" t="s">
        <v>824</v>
      </c>
    </row>
    <row r="828">
      <c r="A828" s="5" t="str">
        <f t="array" ref="A828">INDEX(event_table!$A$2:$A$69, RANDBETWEEN(1, COUNTA(event_table!$A$2:$A$69)))</f>
        <v>1531</v>
      </c>
      <c r="B828" s="6">
        <f t="array" ref="B828">IFERROR(INDEX(event_table!$E$1:$E3686,MATCH(A828,event_table!$A$1:$A3686,0)),"")
</f>
        <v>5</v>
      </c>
      <c r="C828" s="7">
        <f t="shared" si="1"/>
        <v>151</v>
      </c>
      <c r="D828" s="6" t="str">
        <f t="array" ref="D828">IFERROR(INDEX(user_table!$C$2:$C3686,MATCH(C828,user_table!$B$2:$B3686,0)),"")
</f>
        <v>Maya Hidayat</v>
      </c>
      <c r="E828" s="6" t="str">
        <f t="array" ref="E828">IFERROR(INDEX(user_table!$E$2:$E3686,MATCH(C828,user_table!$B$2:$B3686,0)),"")
</f>
        <v>2, 3</v>
      </c>
      <c r="F828" s="6" t="str">
        <f t="shared" si="2"/>
        <v>153125151</v>
      </c>
      <c r="G828" s="8">
        <v>2.0</v>
      </c>
      <c r="H828" s="9">
        <v>45183.0</v>
      </c>
      <c r="I828" s="10" t="s">
        <v>825</v>
      </c>
    </row>
    <row r="829">
      <c r="A829" s="5" t="str">
        <f t="array" ref="A829">INDEX(event_table!$A$2:$A$69, RANDBETWEEN(1, COUNTA(event_table!$A$2:$A$69)))</f>
        <v>1423</v>
      </c>
      <c r="B829" s="6">
        <f t="array" ref="B829">IFERROR(INDEX(event_table!$E$1:$E3686,MATCH(A829,event_table!$A$1:$A3686,0)),"")
</f>
        <v>4</v>
      </c>
      <c r="C829" s="7">
        <f t="shared" si="1"/>
        <v>61</v>
      </c>
      <c r="D829" s="6" t="str">
        <f t="array" ref="D829">IFERROR(INDEX(user_table!$C$2:$C3686,MATCH(C829,user_table!$B$2:$B3686,0)),"")
</f>
        <v>Agus Setiawan</v>
      </c>
      <c r="E829" s="6" t="str">
        <f t="array" ref="E829">IFERROR(INDEX(user_table!$E$2:$E3686,MATCH(C829,user_table!$B$2:$B3686,0)),"")
</f>
        <v>4, 5</v>
      </c>
      <c r="F829" s="6" t="str">
        <f t="shared" si="2"/>
        <v>14232461</v>
      </c>
      <c r="G829" s="8">
        <v>2.0</v>
      </c>
      <c r="H829" s="9">
        <v>45086.0</v>
      </c>
      <c r="I829" s="10" t="s">
        <v>826</v>
      </c>
    </row>
    <row r="830">
      <c r="A830" s="5" t="str">
        <f t="array" ref="A830">INDEX(event_table!$A$2:$A$69, RANDBETWEEN(1, COUNTA(event_table!$A$2:$A$69)))</f>
        <v>118</v>
      </c>
      <c r="B830" s="6">
        <f t="array" ref="B830">IFERROR(INDEX(event_table!$E$1:$E3686,MATCH(A830,event_table!$A$1:$A3686,0)),"")
</f>
        <v>1</v>
      </c>
      <c r="C830" s="7">
        <f t="shared" si="1"/>
        <v>191</v>
      </c>
      <c r="D830" s="6" t="str">
        <f t="array" ref="D830">IFERROR(INDEX(user_table!$C$2:$C3686,MATCH(C830,user_table!$B$2:$B3686,0)),"")
</f>
        <v>Rudi Hermawan</v>
      </c>
      <c r="E830" s="6" t="str">
        <f t="array" ref="E830">IFERROR(INDEX(user_table!$E$2:$E3686,MATCH(C830,user_table!$B$2:$B3686,0)),"")
</f>
        <v>5, 6</v>
      </c>
      <c r="F830" s="6" t="str">
        <f t="shared" si="2"/>
        <v>11811191</v>
      </c>
      <c r="G830" s="8">
        <v>1.0</v>
      </c>
      <c r="H830" s="9">
        <v>45149.0</v>
      </c>
      <c r="I830" s="10" t="s">
        <v>827</v>
      </c>
    </row>
    <row r="831">
      <c r="A831" s="5" t="str">
        <f t="array" ref="A831">INDEX(event_table!$A$2:$A$69, RANDBETWEEN(1, COUNTA(event_table!$A$2:$A$69)))</f>
        <v>1529</v>
      </c>
      <c r="B831" s="6">
        <f t="array" ref="B831">IFERROR(INDEX(event_table!$E$1:$E3686,MATCH(A831,event_table!$A$1:$A3686,0)),"")
</f>
        <v>5</v>
      </c>
      <c r="C831" s="7">
        <f t="shared" si="1"/>
        <v>88</v>
      </c>
      <c r="D831" s="6" t="str">
        <f t="array" ref="D831">IFERROR(INDEX(user_table!$C$2:$C3686,MATCH(C831,user_table!$B$2:$B3686,0)),"")
</f>
        <v>Fajar Hadiwijaya</v>
      </c>
      <c r="E831" s="6" t="str">
        <f t="array" ref="E831">IFERROR(INDEX(user_table!$E$2:$E3686,MATCH(C831,user_table!$B$2:$B3686,0)),"")
</f>
        <v>2, 6</v>
      </c>
      <c r="F831" s="6" t="str">
        <f t="shared" si="2"/>
        <v>15291588</v>
      </c>
      <c r="G831" s="8">
        <v>1.0</v>
      </c>
      <c r="H831" s="9">
        <v>45145.0</v>
      </c>
      <c r="I831" s="10" t="s">
        <v>828</v>
      </c>
    </row>
    <row r="832">
      <c r="A832" s="5" t="str">
        <f t="array" ref="A832">INDEX(event_table!$A$2:$A$69, RANDBETWEEN(1, COUNTA(event_table!$A$2:$A$69)))</f>
        <v>113</v>
      </c>
      <c r="B832" s="6">
        <f t="array" ref="B832">IFERROR(INDEX(event_table!$E$1:$E3686,MATCH(A832,event_table!$A$1:$A3686,0)),"")
</f>
        <v>1</v>
      </c>
      <c r="C832" s="7">
        <f t="shared" si="1"/>
        <v>164</v>
      </c>
      <c r="D832" s="6" t="str">
        <f t="array" ref="D832">IFERROR(INDEX(user_table!$C$2:$C3686,MATCH(C832,user_table!$B$2:$B3686,0)),"")
</f>
        <v>Bambang Purnama</v>
      </c>
      <c r="E832" s="6" t="str">
        <f t="array" ref="E832">IFERROR(INDEX(user_table!$E$2:$E3686,MATCH(C832,user_table!$B$2:$B3686,0)),"")
</f>
        <v>2, 3</v>
      </c>
      <c r="F832" s="6" t="str">
        <f t="shared" si="2"/>
        <v>11311164</v>
      </c>
      <c r="G832" s="8">
        <v>1.0</v>
      </c>
      <c r="H832" s="9">
        <v>45143.0</v>
      </c>
      <c r="I832" s="10" t="s">
        <v>829</v>
      </c>
    </row>
    <row r="833">
      <c r="A833" s="5" t="str">
        <f t="array" ref="A833">INDEX(event_table!$A$2:$A$69, RANDBETWEEN(1, COUNTA(event_table!$A$2:$A$69)))</f>
        <v>1418</v>
      </c>
      <c r="B833" s="6">
        <f t="array" ref="B833">IFERROR(INDEX(event_table!$E$1:$E3686,MATCH(A833,event_table!$A$1:$A3686,0)),"")
</f>
        <v>4</v>
      </c>
      <c r="C833" s="7">
        <f t="shared" si="1"/>
        <v>53</v>
      </c>
      <c r="D833" s="6" t="str">
        <f t="array" ref="D833">IFERROR(INDEX(user_table!$C$2:$C3686,MATCH(C833,user_table!$B$2:$B3686,0)),"")
</f>
        <v>Wahyu Santoso</v>
      </c>
      <c r="E833" s="6" t="str">
        <f t="array" ref="E833">IFERROR(INDEX(user_table!$E$2:$E3686,MATCH(C833,user_table!$B$2:$B3686,0)),"")
</f>
        <v>4, 5</v>
      </c>
      <c r="F833" s="6" t="str">
        <f t="shared" si="2"/>
        <v>14181453</v>
      </c>
      <c r="G833" s="8">
        <v>1.0</v>
      </c>
      <c r="H833" s="9">
        <v>45143.0</v>
      </c>
      <c r="I833" s="10" t="s">
        <v>830</v>
      </c>
    </row>
    <row r="834">
      <c r="A834" s="5" t="str">
        <f t="array" ref="A834">INDEX(event_table!$A$2:$A$69, RANDBETWEEN(1, COUNTA(event_table!$A$2:$A$69)))</f>
        <v>1423</v>
      </c>
      <c r="B834" s="6">
        <f t="array" ref="B834">IFERROR(INDEX(event_table!$E$1:$E3686,MATCH(A834,event_table!$A$1:$A3686,0)),"")
</f>
        <v>4</v>
      </c>
      <c r="C834" s="7">
        <f t="shared" si="1"/>
        <v>183</v>
      </c>
      <c r="D834" s="6" t="str">
        <f t="array" ref="D834">IFERROR(INDEX(user_table!$C$2:$C3686,MATCH(C834,user_table!$B$2:$B3686,0)),"")
</f>
        <v>Siti Nugroho</v>
      </c>
      <c r="E834" s="6" t="str">
        <f t="array" ref="E834">IFERROR(INDEX(user_table!$E$2:$E3686,MATCH(C834,user_table!$B$2:$B3686,0)),"")
</f>
        <v>4, 6</v>
      </c>
      <c r="F834" s="6" t="str">
        <f t="shared" si="2"/>
        <v>142314183</v>
      </c>
      <c r="G834" s="8">
        <v>1.0</v>
      </c>
      <c r="H834" s="9">
        <v>45143.0</v>
      </c>
      <c r="I834" s="10" t="s">
        <v>831</v>
      </c>
    </row>
    <row r="835">
      <c r="A835" s="5" t="str">
        <f t="array" ref="A835">INDEX(event_table!$A$2:$A$69, RANDBETWEEN(1, COUNTA(event_table!$A$2:$A$69)))</f>
        <v>3170</v>
      </c>
      <c r="B835" s="6">
        <f t="array" ref="B835">IFERROR(INDEX(event_table!$E$1:$E3686,MATCH(A835,event_table!$A$1:$A3686,0)),"")
</f>
        <v>1</v>
      </c>
      <c r="C835" s="7">
        <f t="shared" si="1"/>
        <v>188</v>
      </c>
      <c r="D835" s="6" t="str">
        <f t="array" ref="D835">IFERROR(INDEX(user_table!$C$2:$C3686,MATCH(C835,user_table!$B$2:$B3686,0)),"")
</f>
        <v>Siti Setiawan</v>
      </c>
      <c r="E835" s="6" t="str">
        <f t="array" ref="E835">IFERROR(INDEX(user_table!$E$2:$E3686,MATCH(C835,user_table!$B$2:$B3686,0)),"")
</f>
        <v>6, 6</v>
      </c>
      <c r="F835" s="6" t="str">
        <f t="shared" si="2"/>
        <v>317011188</v>
      </c>
      <c r="G835" s="8">
        <v>1.0</v>
      </c>
      <c r="H835" s="9">
        <v>45120.0</v>
      </c>
      <c r="I835" s="10" t="s">
        <v>832</v>
      </c>
    </row>
    <row r="836">
      <c r="A836" s="5" t="str">
        <f t="array" ref="A836">INDEX(event_table!$A$2:$A$69, RANDBETWEEN(1, COUNTA(event_table!$A$2:$A$69)))</f>
        <v>1648</v>
      </c>
      <c r="B836" s="6">
        <f t="array" ref="B836">IFERROR(INDEX(event_table!$E$1:$E3686,MATCH(A836,event_table!$A$1:$A3686,0)),"")
</f>
        <v>6</v>
      </c>
      <c r="C836" s="7">
        <f t="shared" si="1"/>
        <v>118</v>
      </c>
      <c r="D836" s="6" t="str">
        <f t="array" ref="D836">IFERROR(INDEX(user_table!$C$2:$C3686,MATCH(C836,user_table!$B$2:$B3686,0)),"")
</f>
        <v>Ani Santoso</v>
      </c>
      <c r="E836" s="6" t="str">
        <f t="array" ref="E836">IFERROR(INDEX(user_table!$E$2:$E3686,MATCH(C836,user_table!$B$2:$B3686,0)),"")
</f>
        <v>6, 1</v>
      </c>
      <c r="F836" s="6" t="str">
        <f t="shared" si="2"/>
        <v>164816118</v>
      </c>
      <c r="G836" s="8">
        <v>1.0</v>
      </c>
      <c r="H836" s="9">
        <v>45108.0</v>
      </c>
      <c r="I836" s="10" t="s">
        <v>833</v>
      </c>
    </row>
    <row r="837">
      <c r="A837" s="5" t="str">
        <f t="array" ref="A837">INDEX(event_table!$A$2:$A$69, RANDBETWEEN(1, COUNTA(event_table!$A$2:$A$69)))</f>
        <v>1333</v>
      </c>
      <c r="B837" s="6">
        <f t="array" ref="B837">IFERROR(INDEX(event_table!$E$1:$E3686,MATCH(A837,event_table!$A$1:$A3686,0)),"")
</f>
        <v>3</v>
      </c>
      <c r="C837" s="7">
        <f t="shared" si="1"/>
        <v>172</v>
      </c>
      <c r="D837" s="6" t="str">
        <f t="array" ref="D837">IFERROR(INDEX(user_table!$C$2:$C3686,MATCH(C837,user_table!$B$2:$B3686,0)),"")
</f>
        <v>Dian Kurniawan</v>
      </c>
      <c r="E837" s="6" t="str">
        <f t="array" ref="E837">IFERROR(INDEX(user_table!$E$2:$E3686,MATCH(C837,user_table!$B$2:$B3686,0)),"")
</f>
        <v>1, 2</v>
      </c>
      <c r="F837" s="6" t="str">
        <f t="shared" si="2"/>
        <v>133313172</v>
      </c>
      <c r="G837" s="8">
        <v>1.0</v>
      </c>
      <c r="H837" s="9">
        <v>45108.0</v>
      </c>
      <c r="I837" s="10" t="s">
        <v>834</v>
      </c>
    </row>
    <row r="838">
      <c r="A838" s="5" t="str">
        <f t="array" ref="A838">INDEX(event_table!$A$2:$A$69, RANDBETWEEN(1, COUNTA(event_table!$A$2:$A$69)))</f>
        <v>119</v>
      </c>
      <c r="B838" s="6">
        <f t="array" ref="B838">IFERROR(INDEX(event_table!$E$1:$E3686,MATCH(A838,event_table!$A$1:$A3686,0)),"")
</f>
        <v>1</v>
      </c>
      <c r="C838" s="7">
        <f t="shared" si="1"/>
        <v>72</v>
      </c>
      <c r="D838" s="6" t="str">
        <f t="array" ref="D838">IFERROR(INDEX(user_table!$C$2:$C3686,MATCH(C838,user_table!$B$2:$B3686,0)),"")
</f>
        <v>Wahyu Kurniawan</v>
      </c>
      <c r="E838" s="6" t="str">
        <f t="array" ref="E838">IFERROR(INDEX(user_table!$E$2:$E3686,MATCH(C838,user_table!$B$2:$B3686,0)),"")
</f>
        <v>5, 3</v>
      </c>
      <c r="F838" s="6" t="str">
        <f t="shared" si="2"/>
        <v>1191172</v>
      </c>
      <c r="G838" s="8">
        <v>1.0</v>
      </c>
      <c r="H838" s="9">
        <v>45088.0</v>
      </c>
      <c r="I838" s="10" t="s">
        <v>835</v>
      </c>
    </row>
    <row r="839">
      <c r="A839" s="5" t="str">
        <f t="array" ref="A839">INDEX(event_table!$A$2:$A$69, RANDBETWEEN(1, COUNTA(event_table!$A$2:$A$69)))</f>
        <v>1313</v>
      </c>
      <c r="B839" s="6">
        <f t="array" ref="B839">IFERROR(INDEX(event_table!$E$1:$E3686,MATCH(A839,event_table!$A$1:$A3686,0)),"")
</f>
        <v>3</v>
      </c>
      <c r="C839" s="7">
        <f t="shared" si="1"/>
        <v>166</v>
      </c>
      <c r="D839" s="6" t="str">
        <f t="array" ref="D839">IFERROR(INDEX(user_table!$C$2:$C3686,MATCH(C839,user_table!$B$2:$B3686,0)),"")
</f>
        <v>Fajar Nurhayati</v>
      </c>
      <c r="E839" s="6" t="str">
        <f t="array" ref="E839">IFERROR(INDEX(user_table!$E$2:$E3686,MATCH(C839,user_table!$B$2:$B3686,0)),"")
</f>
        <v>3, 5</v>
      </c>
      <c r="F839" s="6" t="str">
        <f t="shared" si="2"/>
        <v>131313166</v>
      </c>
      <c r="G839" s="8">
        <v>1.0</v>
      </c>
      <c r="H839" s="9">
        <v>45076.0</v>
      </c>
      <c r="I839" s="10" t="s">
        <v>836</v>
      </c>
    </row>
    <row r="840">
      <c r="A840" s="5" t="str">
        <f t="array" ref="A840">INDEX(event_table!$A$2:$A$69, RANDBETWEEN(1, COUNTA(event_table!$A$2:$A$69)))</f>
        <v>1420</v>
      </c>
      <c r="B840" s="6">
        <f t="array" ref="B840">IFERROR(INDEX(event_table!$E$1:$E3686,MATCH(A840,event_table!$A$1:$A3686,0)),"")
</f>
        <v>4</v>
      </c>
      <c r="C840" s="7">
        <f t="shared" si="1"/>
        <v>73</v>
      </c>
      <c r="D840" s="6" t="str">
        <f t="array" ref="D840">IFERROR(INDEX(user_table!$C$2:$C3686,MATCH(C840,user_table!$B$2:$B3686,0)),"")
</f>
        <v>Hadi Santoso</v>
      </c>
      <c r="E840" s="6" t="str">
        <f t="array" ref="E840">IFERROR(INDEX(user_table!$E$2:$E3686,MATCH(C840,user_table!$B$2:$B3686,0)),"")
</f>
        <v>6, 3</v>
      </c>
      <c r="F840" s="6" t="str">
        <f t="shared" si="2"/>
        <v>14201473</v>
      </c>
      <c r="G840" s="8">
        <v>1.0</v>
      </c>
      <c r="H840" s="9">
        <v>45065.0</v>
      </c>
      <c r="I840" s="10" t="s">
        <v>837</v>
      </c>
    </row>
    <row r="841">
      <c r="A841" s="5" t="str">
        <f t="array" ref="A841">INDEX(event_table!$A$2:$A$69, RANDBETWEEN(1, COUNTA(event_table!$A$2:$A$69)))</f>
        <v>1332</v>
      </c>
      <c r="B841" s="6">
        <f t="array" ref="B841">IFERROR(INDEX(event_table!$E$1:$E3686,MATCH(A841,event_table!$A$1:$A3686,0)),"")
</f>
        <v>3</v>
      </c>
      <c r="C841" s="7">
        <f t="shared" si="1"/>
        <v>77</v>
      </c>
      <c r="D841" s="6" t="str">
        <f t="array" ref="D841">IFERROR(INDEX(user_table!$C$2:$C3686,MATCH(C841,user_table!$B$2:$B3686,0)),"")
</f>
        <v>Desi Wijaya</v>
      </c>
      <c r="E841" s="6" t="str">
        <f t="array" ref="E841">IFERROR(INDEX(user_table!$E$2:$E3686,MATCH(C841,user_table!$B$2:$B3686,0)),"")
</f>
        <v>3, 1</v>
      </c>
      <c r="F841" s="6" t="str">
        <f t="shared" si="2"/>
        <v>13321377</v>
      </c>
      <c r="G841" s="8">
        <v>1.0</v>
      </c>
      <c r="H841" s="9">
        <v>45053.0</v>
      </c>
      <c r="I841" s="10" t="s">
        <v>838</v>
      </c>
    </row>
    <row r="842">
      <c r="A842" s="5" t="str">
        <f t="array" ref="A842">INDEX(event_table!$A$2:$A$69, RANDBETWEEN(1, COUNTA(event_table!$A$2:$A$69)))</f>
        <v>1212</v>
      </c>
      <c r="B842" s="6">
        <f t="array" ref="B842">IFERROR(INDEX(event_table!$E$1:$E3686,MATCH(A842,event_table!$A$1:$A3686,0)),"")
</f>
        <v>2</v>
      </c>
      <c r="C842" s="7">
        <f t="shared" si="1"/>
        <v>180</v>
      </c>
      <c r="D842" s="6" t="str">
        <f t="array" ref="D842">IFERROR(INDEX(user_table!$C$2:$C3686,MATCH(C842,user_table!$B$2:$B3686,0)),"")
</f>
        <v>Andi Susanto</v>
      </c>
      <c r="E842" s="6" t="str">
        <f t="array" ref="E842">IFERROR(INDEX(user_table!$E$2:$E3686,MATCH(C842,user_table!$B$2:$B3686,0)),"")
</f>
        <v>6, 5</v>
      </c>
      <c r="F842" s="6" t="str">
        <f t="shared" si="2"/>
        <v>121212180</v>
      </c>
      <c r="G842" s="8">
        <v>1.0</v>
      </c>
      <c r="H842" s="9">
        <v>45039.0</v>
      </c>
      <c r="I842" s="10" t="s">
        <v>839</v>
      </c>
    </row>
    <row r="843">
      <c r="A843" s="5" t="str">
        <f t="array" ref="A843">INDEX(event_table!$A$2:$A$69, RANDBETWEEN(1, COUNTA(event_table!$A$2:$A$69)))</f>
        <v>114</v>
      </c>
      <c r="B843" s="6">
        <f t="array" ref="B843">IFERROR(INDEX(event_table!$E$1:$E3686,MATCH(A843,event_table!$A$1:$A3686,0)),"")
</f>
        <v>1</v>
      </c>
      <c r="C843" s="7">
        <f t="shared" si="1"/>
        <v>88</v>
      </c>
      <c r="D843" s="6" t="str">
        <f t="array" ref="D843">IFERROR(INDEX(user_table!$C$2:$C3686,MATCH(C843,user_table!$B$2:$B3686,0)),"")
</f>
        <v>Fajar Hadiwijaya</v>
      </c>
      <c r="E843" s="6" t="str">
        <f t="array" ref="E843">IFERROR(INDEX(user_table!$E$2:$E3686,MATCH(C843,user_table!$B$2:$B3686,0)),"")
</f>
        <v>2, 6</v>
      </c>
      <c r="F843" s="6" t="str">
        <f t="shared" si="2"/>
        <v>1145188</v>
      </c>
      <c r="G843" s="8">
        <v>5.0</v>
      </c>
      <c r="H843" s="9">
        <v>44747.0</v>
      </c>
      <c r="I843" s="10" t="s">
        <v>840</v>
      </c>
    </row>
    <row r="844">
      <c r="A844" s="5" t="str">
        <f t="array" ref="A844">INDEX(event_table!$A$2:$A$69, RANDBETWEEN(1, COUNTA(event_table!$A$2:$A$69)))</f>
        <v>1636</v>
      </c>
      <c r="B844" s="6">
        <f t="array" ref="B844">IFERROR(INDEX(event_table!$E$1:$E3686,MATCH(A844,event_table!$A$1:$A3686,0)),"")
</f>
        <v>6</v>
      </c>
      <c r="C844" s="7">
        <f t="shared" si="1"/>
        <v>141</v>
      </c>
      <c r="D844" s="6" t="str">
        <f t="array" ref="D844">IFERROR(INDEX(user_table!$C$2:$C3686,MATCH(C844,user_table!$B$2:$B3686,0)),"")
</f>
        <v>Bambang Santoso</v>
      </c>
      <c r="E844" s="6" t="str">
        <f t="array" ref="E844">IFERROR(INDEX(user_table!$E$2:$E3686,MATCH(C844,user_table!$B$2:$B3686,0)),"")
</f>
        <v>5, 3</v>
      </c>
      <c r="F844" s="6" t="str">
        <f t="shared" si="2"/>
        <v>163656141</v>
      </c>
      <c r="G844" s="8">
        <v>5.0</v>
      </c>
      <c r="H844" s="9">
        <v>44746.0</v>
      </c>
      <c r="I844" s="10" t="s">
        <v>841</v>
      </c>
    </row>
    <row r="845">
      <c r="A845" s="5" t="str">
        <f t="array" ref="A845">INDEX(event_table!$A$2:$A$69, RANDBETWEEN(1, COUNTA(event_table!$A$2:$A$69)))</f>
        <v>1334</v>
      </c>
      <c r="B845" s="6">
        <f t="array" ref="B845">IFERROR(INDEX(event_table!$E$1:$E3686,MATCH(A845,event_table!$A$1:$A3686,0)),"")
</f>
        <v>3</v>
      </c>
      <c r="C845" s="7">
        <f t="shared" si="1"/>
        <v>60</v>
      </c>
      <c r="D845" s="6" t="str">
        <f t="array" ref="D845">IFERROR(INDEX(user_table!$C$2:$C3686,MATCH(C845,user_table!$B$2:$B3686,0)),"")
</f>
        <v>Rudi Septiani</v>
      </c>
      <c r="E845" s="6" t="str">
        <f t="array" ref="E845">IFERROR(INDEX(user_table!$E$2:$E3686,MATCH(C845,user_table!$B$2:$B3686,0)),"")
</f>
        <v>6, 2</v>
      </c>
      <c r="F845" s="6" t="str">
        <f t="shared" si="2"/>
        <v>13345360</v>
      </c>
      <c r="G845" s="8">
        <v>5.0</v>
      </c>
      <c r="H845" s="9">
        <v>44744.0</v>
      </c>
      <c r="I845" s="10" t="s">
        <v>842</v>
      </c>
    </row>
    <row r="846">
      <c r="A846" s="5" t="str">
        <f t="array" ref="A846">INDEX(event_table!$A$2:$A$69, RANDBETWEEN(1, COUNTA(event_table!$A$2:$A$69)))</f>
        <v>3167</v>
      </c>
      <c r="B846" s="6">
        <f t="array" ref="B846">IFERROR(INDEX(event_table!$E$1:$E3686,MATCH(A846,event_table!$A$1:$A3686,0)),"")
</f>
        <v>1</v>
      </c>
      <c r="C846" s="7">
        <f t="shared" si="1"/>
        <v>92</v>
      </c>
      <c r="D846" s="6" t="str">
        <f t="array" ref="D846">IFERROR(INDEX(user_table!$C$2:$C3686,MATCH(C846,user_table!$B$2:$B3686,0)),"")
</f>
        <v>Andi Susanto</v>
      </c>
      <c r="E846" s="6" t="str">
        <f t="array" ref="E846">IFERROR(INDEX(user_table!$E$2:$E3686,MATCH(C846,user_table!$B$2:$B3686,0)),"")
</f>
        <v>4, 4</v>
      </c>
      <c r="F846" s="6" t="str">
        <f t="shared" si="2"/>
        <v>31675192</v>
      </c>
      <c r="G846" s="8">
        <v>5.0</v>
      </c>
      <c r="H846" s="9">
        <v>44731.0</v>
      </c>
      <c r="I846" s="10" t="s">
        <v>843</v>
      </c>
    </row>
    <row r="847">
      <c r="A847" s="5" t="str">
        <f t="array" ref="A847">INDEX(event_table!$A$2:$A$69, RANDBETWEEN(1, COUNTA(event_table!$A$2:$A$69)))</f>
        <v>1553</v>
      </c>
      <c r="B847" s="6">
        <f t="array" ref="B847">IFERROR(INDEX(event_table!$E$1:$E3686,MATCH(A847,event_table!$A$1:$A3686,0)),"")
</f>
        <v>5</v>
      </c>
      <c r="C847" s="7">
        <f t="shared" si="1"/>
        <v>137</v>
      </c>
      <c r="D847" s="6" t="str">
        <f t="array" ref="D847">IFERROR(INDEX(user_table!$C$2:$C3686,MATCH(C847,user_table!$B$2:$B3686,0)),"")
</f>
        <v>Dina Pratama</v>
      </c>
      <c r="E847" s="6" t="str">
        <f t="array" ref="E847">IFERROR(INDEX(user_table!$E$2:$E3686,MATCH(C847,user_table!$B$2:$B3686,0)),"")
</f>
        <v>4, 4</v>
      </c>
      <c r="F847" s="6" t="str">
        <f t="shared" si="2"/>
        <v>155355137</v>
      </c>
      <c r="G847" s="8">
        <v>5.0</v>
      </c>
      <c r="H847" s="9">
        <v>44729.0</v>
      </c>
      <c r="I847" s="10" t="s">
        <v>844</v>
      </c>
    </row>
    <row r="848">
      <c r="A848" s="5" t="str">
        <f t="array" ref="A848">INDEX(event_table!$A$2:$A$69, RANDBETWEEN(1, COUNTA(event_table!$A$2:$A$69)))</f>
        <v>1641</v>
      </c>
      <c r="B848" s="6">
        <f t="array" ref="B848">IFERROR(INDEX(event_table!$E$1:$E3686,MATCH(A848,event_table!$A$1:$A3686,0)),"")
</f>
        <v>6</v>
      </c>
      <c r="C848" s="7">
        <f t="shared" si="1"/>
        <v>181</v>
      </c>
      <c r="D848" s="6" t="str">
        <f t="array" ref="D848">IFERROR(INDEX(user_table!$C$2:$C3686,MATCH(C848,user_table!$B$2:$B3686,0)),"")
</f>
        <v>Andi Hadiwijaya</v>
      </c>
      <c r="E848" s="6" t="str">
        <f t="array" ref="E848">IFERROR(INDEX(user_table!$E$2:$E3686,MATCH(C848,user_table!$B$2:$B3686,0)),"")
</f>
        <v>3, 2</v>
      </c>
      <c r="F848" s="6" t="str">
        <f t="shared" si="2"/>
        <v>164156181</v>
      </c>
      <c r="G848" s="8">
        <v>5.0</v>
      </c>
      <c r="H848" s="9">
        <v>44726.0</v>
      </c>
      <c r="I848" s="10" t="s">
        <v>845</v>
      </c>
    </row>
    <row r="849">
      <c r="A849" s="5" t="str">
        <f t="array" ref="A849">INDEX(event_table!$A$2:$A$69, RANDBETWEEN(1, COUNTA(event_table!$A$2:$A$69)))</f>
        <v>1423</v>
      </c>
      <c r="B849" s="6">
        <f t="array" ref="B849">IFERROR(INDEX(event_table!$E$1:$E3686,MATCH(A849,event_table!$A$1:$A3686,0)),"")
</f>
        <v>4</v>
      </c>
      <c r="C849" s="7">
        <f t="shared" si="1"/>
        <v>175</v>
      </c>
      <c r="D849" s="6" t="str">
        <f t="array" ref="D849">IFERROR(INDEX(user_table!$C$2:$C3686,MATCH(C849,user_table!$B$2:$B3686,0)),"")
</f>
        <v>Siti Septiani</v>
      </c>
      <c r="E849" s="6" t="str">
        <f t="array" ref="E849">IFERROR(INDEX(user_table!$E$2:$E3686,MATCH(C849,user_table!$B$2:$B3686,0)),"")
</f>
        <v>2, 5</v>
      </c>
      <c r="F849" s="6" t="str">
        <f t="shared" si="2"/>
        <v>142354175</v>
      </c>
      <c r="G849" s="8">
        <v>5.0</v>
      </c>
      <c r="H849" s="9">
        <v>44691.0</v>
      </c>
      <c r="I849" s="10" t="s">
        <v>846</v>
      </c>
    </row>
    <row r="850">
      <c r="A850" s="5" t="str">
        <f t="array" ref="A850">INDEX(event_table!$A$2:$A$69, RANDBETWEEN(1, COUNTA(event_table!$A$2:$A$69)))</f>
        <v>3165</v>
      </c>
      <c r="B850" s="6">
        <f t="array" ref="B850">IFERROR(INDEX(event_table!$E$1:$E3686,MATCH(A850,event_table!$A$1:$A3686,0)),"")
</f>
        <v>1</v>
      </c>
      <c r="C850" s="7">
        <f t="shared" si="1"/>
        <v>46</v>
      </c>
      <c r="D850" s="6" t="str">
        <f t="array" ref="D850">IFERROR(INDEX(user_table!$C$2:$C3686,MATCH(C850,user_table!$B$2:$B3686,0)),"")
</f>
        <v>Dian Wijaya</v>
      </c>
      <c r="E850" s="6" t="str">
        <f t="array" ref="E850">IFERROR(INDEX(user_table!$E$2:$E3686,MATCH(C850,user_table!$B$2:$B3686,0)),"")
</f>
        <v>2, 2</v>
      </c>
      <c r="F850" s="6" t="str">
        <f t="shared" si="2"/>
        <v>31655146</v>
      </c>
      <c r="G850" s="8">
        <v>5.0</v>
      </c>
      <c r="H850" s="9">
        <v>44687.0</v>
      </c>
      <c r="I850" s="10" t="s">
        <v>847</v>
      </c>
    </row>
    <row r="851">
      <c r="A851" s="5" t="str">
        <f t="array" ref="A851">INDEX(event_table!$A$2:$A$69, RANDBETWEEN(1, COUNTA(event_table!$A$2:$A$69)))</f>
        <v>3167</v>
      </c>
      <c r="B851" s="6">
        <f t="array" ref="B851">IFERROR(INDEX(event_table!$E$1:$E3686,MATCH(A851,event_table!$A$1:$A3686,0)),"")
</f>
        <v>1</v>
      </c>
      <c r="C851" s="7">
        <f t="shared" si="1"/>
        <v>134</v>
      </c>
      <c r="D851" s="6" t="str">
        <f t="array" ref="D851">IFERROR(INDEX(user_table!$C$2:$C3686,MATCH(C851,user_table!$B$2:$B3686,0)),"")
</f>
        <v>Maya Septiani</v>
      </c>
      <c r="E851" s="6" t="str">
        <f t="array" ref="E851">IFERROR(INDEX(user_table!$E$2:$E3686,MATCH(C851,user_table!$B$2:$B3686,0)),"")
</f>
        <v>2, 4</v>
      </c>
      <c r="F851" s="6" t="str">
        <f t="shared" si="2"/>
        <v>316751134</v>
      </c>
      <c r="G851" s="8">
        <v>5.0</v>
      </c>
      <c r="H851" s="9">
        <v>44686.0</v>
      </c>
      <c r="I851" s="10" t="s">
        <v>848</v>
      </c>
    </row>
    <row r="852">
      <c r="A852" s="5" t="str">
        <f t="array" ref="A852">INDEX(event_table!$A$2:$A$69, RANDBETWEEN(1, COUNTA(event_table!$A$2:$A$69)))</f>
        <v>1643</v>
      </c>
      <c r="B852" s="6">
        <f t="array" ref="B852">IFERROR(INDEX(event_table!$E$1:$E3686,MATCH(A852,event_table!$A$1:$A3686,0)),"")
</f>
        <v>6</v>
      </c>
      <c r="C852" s="7">
        <f t="shared" si="1"/>
        <v>61</v>
      </c>
      <c r="D852" s="6" t="str">
        <f t="array" ref="D852">IFERROR(INDEX(user_table!$C$2:$C3686,MATCH(C852,user_table!$B$2:$B3686,0)),"")
</f>
        <v>Agus Setiawan</v>
      </c>
      <c r="E852" s="6" t="str">
        <f t="array" ref="E852">IFERROR(INDEX(user_table!$E$2:$E3686,MATCH(C852,user_table!$B$2:$B3686,0)),"")
</f>
        <v>4, 5</v>
      </c>
      <c r="F852" s="6" t="str">
        <f t="shared" si="2"/>
        <v>16435661</v>
      </c>
      <c r="G852" s="8">
        <v>5.0</v>
      </c>
      <c r="H852" s="9">
        <v>45126.0</v>
      </c>
      <c r="I852" s="10" t="s">
        <v>849</v>
      </c>
    </row>
    <row r="853">
      <c r="A853" s="5" t="str">
        <f t="array" ref="A853">INDEX(event_table!$A$2:$A$69, RANDBETWEEN(1, COUNTA(event_table!$A$2:$A$69)))</f>
        <v>3169</v>
      </c>
      <c r="B853" s="6">
        <f t="array" ref="B853">IFERROR(INDEX(event_table!$E$1:$E3686,MATCH(A853,event_table!$A$1:$A3686,0)),"")
</f>
        <v>1</v>
      </c>
      <c r="C853" s="7">
        <f t="shared" si="1"/>
        <v>77</v>
      </c>
      <c r="D853" s="6" t="str">
        <f t="array" ref="D853">IFERROR(INDEX(user_table!$C$2:$C3686,MATCH(C853,user_table!$B$2:$B3686,0)),"")
</f>
        <v>Desi Wijaya</v>
      </c>
      <c r="E853" s="6" t="str">
        <f t="array" ref="E853">IFERROR(INDEX(user_table!$E$2:$E3686,MATCH(C853,user_table!$B$2:$B3686,0)),"")
</f>
        <v>3, 1</v>
      </c>
      <c r="F853" s="6" t="str">
        <f t="shared" si="2"/>
        <v>31695177</v>
      </c>
      <c r="G853" s="8">
        <v>5.0</v>
      </c>
      <c r="H853" s="9">
        <v>45110.0</v>
      </c>
      <c r="I853" s="10" t="s">
        <v>850</v>
      </c>
    </row>
    <row r="854">
      <c r="A854" s="5" t="str">
        <f t="array" ref="A854">INDEX(event_table!$A$2:$A$69, RANDBETWEEN(1, COUNTA(event_table!$A$2:$A$69)))</f>
        <v>118</v>
      </c>
      <c r="B854" s="6">
        <f t="array" ref="B854">IFERROR(INDEX(event_table!$E$1:$E3686,MATCH(A854,event_table!$A$1:$A3686,0)),"")
</f>
        <v>1</v>
      </c>
      <c r="C854" s="7">
        <f t="shared" si="1"/>
        <v>1</v>
      </c>
      <c r="D854" s="6" t="str">
        <f t="array" ref="D854">IFERROR(INDEX(user_table!$C$2:$C3686,MATCH(C854,user_table!$B$2:$B3686,0)),"")
</f>
        <v>Maya Putri</v>
      </c>
      <c r="E854" s="6" t="str">
        <f t="array" ref="E854">IFERROR(INDEX(user_table!$E$2:$E3686,MATCH(C854,user_table!$B$2:$B3686,0)),"")
</f>
        <v>5, 6</v>
      </c>
      <c r="F854" s="6" t="str">
        <f t="shared" si="2"/>
        <v>118511</v>
      </c>
      <c r="G854" s="8">
        <v>5.0</v>
      </c>
      <c r="H854" s="9">
        <v>45043.0</v>
      </c>
      <c r="I854" s="10" t="s">
        <v>851</v>
      </c>
    </row>
    <row r="855">
      <c r="A855" s="5" t="str">
        <f t="array" ref="A855">INDEX(event_table!$A$2:$A$69, RANDBETWEEN(1, COUNTA(event_table!$A$2:$A$69)))</f>
        <v>117</v>
      </c>
      <c r="B855" s="6">
        <f t="array" ref="B855">IFERROR(INDEX(event_table!$E$1:$E3686,MATCH(A855,event_table!$A$1:$A3686,0)),"")
</f>
        <v>1</v>
      </c>
      <c r="C855" s="7">
        <f t="shared" si="1"/>
        <v>143</v>
      </c>
      <c r="D855" s="6" t="str">
        <f t="array" ref="D855">IFERROR(INDEX(user_table!$C$2:$C3686,MATCH(C855,user_table!$B$2:$B3686,0)),"")
</f>
        <v>Agus Putri</v>
      </c>
      <c r="E855" s="6" t="str">
        <f t="array" ref="E855">IFERROR(INDEX(user_table!$E$2:$E3686,MATCH(C855,user_table!$B$2:$B3686,0)),"")
</f>
        <v>3, 3</v>
      </c>
      <c r="F855" s="6" t="str">
        <f t="shared" si="2"/>
        <v>11751143</v>
      </c>
      <c r="G855" s="8">
        <v>5.0</v>
      </c>
      <c r="H855" s="9">
        <v>44790.0</v>
      </c>
      <c r="I855" s="10" t="s">
        <v>852</v>
      </c>
    </row>
    <row r="856">
      <c r="A856" s="5" t="str">
        <f t="array" ref="A856">INDEX(event_table!$A$2:$A$69, RANDBETWEEN(1, COUNTA(event_table!$A$2:$A$69)))</f>
        <v>122</v>
      </c>
      <c r="B856" s="6">
        <f t="array" ref="B856">IFERROR(INDEX(event_table!$E$1:$E3686,MATCH(A856,event_table!$A$1:$A3686,0)),"")
</f>
        <v>2</v>
      </c>
      <c r="C856" s="7">
        <f t="shared" si="1"/>
        <v>149</v>
      </c>
      <c r="D856" s="6" t="str">
        <f t="array" ref="D856">IFERROR(INDEX(user_table!$C$2:$C3686,MATCH(C856,user_table!$B$2:$B3686,0)),"")
</f>
        <v>Dian Setiawan</v>
      </c>
      <c r="E856" s="6" t="str">
        <f t="array" ref="E856">IFERROR(INDEX(user_table!$E$2:$E3686,MATCH(C856,user_table!$B$2:$B3686,0)),"")
</f>
        <v>2, 4</v>
      </c>
      <c r="F856" s="6" t="str">
        <f t="shared" si="2"/>
        <v>12252149</v>
      </c>
      <c r="G856" s="8">
        <v>5.0</v>
      </c>
      <c r="H856" s="9">
        <v>44759.0</v>
      </c>
      <c r="I856" s="10" t="s">
        <v>853</v>
      </c>
    </row>
    <row r="857">
      <c r="A857" s="5" t="str">
        <f t="array" ref="A857">INDEX(event_table!$A$2:$A$69, RANDBETWEEN(1, COUNTA(event_table!$A$2:$A$69)))</f>
        <v>1647</v>
      </c>
      <c r="B857" s="6">
        <f t="array" ref="B857">IFERROR(INDEX(event_table!$E$1:$E3686,MATCH(A857,event_table!$A$1:$A3686,0)),"")
</f>
        <v>6</v>
      </c>
      <c r="C857" s="7">
        <f t="shared" si="1"/>
        <v>142</v>
      </c>
      <c r="D857" s="6" t="str">
        <f t="array" ref="D857">IFERROR(INDEX(user_table!$C$2:$C3686,MATCH(C857,user_table!$B$2:$B3686,0)),"")
</f>
        <v>Siti Rahayu</v>
      </c>
      <c r="E857" s="6" t="str">
        <f t="array" ref="E857">IFERROR(INDEX(user_table!$E$2:$E3686,MATCH(C857,user_table!$B$2:$B3686,0)),"")
</f>
        <v>6, 3</v>
      </c>
      <c r="F857" s="6" t="str">
        <f t="shared" si="2"/>
        <v>164756142</v>
      </c>
      <c r="G857" s="8">
        <v>5.0</v>
      </c>
      <c r="H857" s="9">
        <v>44703.0</v>
      </c>
      <c r="I857" s="10" t="s">
        <v>854</v>
      </c>
    </row>
    <row r="858">
      <c r="A858" s="5" t="str">
        <f t="array" ref="A858">INDEX(event_table!$A$2:$A$69, RANDBETWEEN(1, COUNTA(event_table!$A$2:$A$69)))</f>
        <v>1641</v>
      </c>
      <c r="B858" s="6">
        <f t="array" ref="B858">IFERROR(INDEX(event_table!$E$1:$E3686,MATCH(A858,event_table!$A$1:$A3686,0)),"")
</f>
        <v>6</v>
      </c>
      <c r="C858" s="7">
        <f t="shared" si="1"/>
        <v>104</v>
      </c>
      <c r="D858" s="6" t="str">
        <f t="array" ref="D858">IFERROR(INDEX(user_table!$C$2:$C3686,MATCH(C858,user_table!$B$2:$B3686,0)),"")
</f>
        <v>Fajar Utami</v>
      </c>
      <c r="E858" s="6" t="str">
        <f t="array" ref="E858">IFERROR(INDEX(user_table!$E$2:$E3686,MATCH(C858,user_table!$B$2:$B3686,0)),"")
</f>
        <v>2, 5</v>
      </c>
      <c r="F858" s="6" t="str">
        <f t="shared" si="2"/>
        <v>164156104</v>
      </c>
      <c r="G858" s="8">
        <v>5.0</v>
      </c>
      <c r="H858" s="9">
        <v>44693.0</v>
      </c>
      <c r="I858" s="10" t="s">
        <v>855</v>
      </c>
    </row>
    <row r="859">
      <c r="A859" s="5" t="str">
        <f t="array" ref="A859">INDEX(event_table!$A$2:$A$69, RANDBETWEEN(1, COUNTA(event_table!$A$2:$A$69)))</f>
        <v>1652</v>
      </c>
      <c r="B859" s="6">
        <f t="array" ref="B859">IFERROR(INDEX(event_table!$E$1:$E3686,MATCH(A859,event_table!$A$1:$A3686,0)),"")
</f>
        <v>6</v>
      </c>
      <c r="C859" s="7">
        <f t="shared" si="1"/>
        <v>92</v>
      </c>
      <c r="D859" s="6" t="str">
        <f t="array" ref="D859">IFERROR(INDEX(user_table!$C$2:$C3686,MATCH(C859,user_table!$B$2:$B3686,0)),"")
</f>
        <v>Andi Susanto</v>
      </c>
      <c r="E859" s="6" t="str">
        <f t="array" ref="E859">IFERROR(INDEX(user_table!$E$2:$E3686,MATCH(C859,user_table!$B$2:$B3686,0)),"")
</f>
        <v>4, 4</v>
      </c>
      <c r="F859" s="6" t="str">
        <f t="shared" si="2"/>
        <v>16525692</v>
      </c>
      <c r="G859" s="8">
        <v>5.0</v>
      </c>
      <c r="H859" s="9">
        <v>44690.0</v>
      </c>
      <c r="I859" s="10" t="s">
        <v>856</v>
      </c>
    </row>
    <row r="860">
      <c r="A860" s="5" t="str">
        <f t="array" ref="A860">INDEX(event_table!$A$2:$A$69, RANDBETWEEN(1, COUNTA(event_table!$A$2:$A$69)))</f>
        <v>1641</v>
      </c>
      <c r="B860" s="6">
        <f t="array" ref="B860">IFERROR(INDEX(event_table!$E$1:$E3686,MATCH(A860,event_table!$A$1:$A3686,0)),"")
</f>
        <v>6</v>
      </c>
      <c r="C860" s="7">
        <f t="shared" si="1"/>
        <v>82</v>
      </c>
      <c r="D860" s="6" t="str">
        <f t="array" ref="D860">IFERROR(INDEX(user_table!$C$2:$C3686,MATCH(C860,user_table!$B$2:$B3686,0)),"")
</f>
        <v>Fandi Nurhayati</v>
      </c>
      <c r="E860" s="6" t="str">
        <f t="array" ref="E860">IFERROR(INDEX(user_table!$E$2:$E3686,MATCH(C860,user_table!$B$2:$B3686,0)),"")
</f>
        <v>3, 2</v>
      </c>
      <c r="F860" s="6" t="str">
        <f t="shared" si="2"/>
        <v>16414682</v>
      </c>
      <c r="G860" s="8">
        <v>4.0</v>
      </c>
      <c r="H860" s="9">
        <v>44931.0</v>
      </c>
      <c r="I860" s="10" t="s">
        <v>857</v>
      </c>
    </row>
    <row r="861">
      <c r="A861" s="5" t="str">
        <f t="array" ref="A861">INDEX(event_table!$A$2:$A$69, RANDBETWEEN(1, COUNTA(event_table!$A$2:$A$69)))</f>
        <v>3166</v>
      </c>
      <c r="B861" s="6">
        <f t="array" ref="B861">IFERROR(INDEX(event_table!$E$1:$E3686,MATCH(A861,event_table!$A$1:$A3686,0)),"")
</f>
        <v>1</v>
      </c>
      <c r="C861" s="7">
        <f t="shared" si="1"/>
        <v>162</v>
      </c>
      <c r="D861" s="6" t="str">
        <f t="array" ref="D861">IFERROR(INDEX(user_table!$C$2:$C3686,MATCH(C861,user_table!$B$2:$B3686,0)),"")
</f>
        <v>Dewi Nugroho</v>
      </c>
      <c r="E861" s="6" t="str">
        <f t="array" ref="E861">IFERROR(INDEX(user_table!$E$2:$E3686,MATCH(C861,user_table!$B$2:$B3686,0)),"")
</f>
        <v>2, 5</v>
      </c>
      <c r="F861" s="6" t="str">
        <f t="shared" si="2"/>
        <v>316641162</v>
      </c>
      <c r="G861" s="8">
        <v>4.0</v>
      </c>
      <c r="H861" s="9">
        <v>44863.0</v>
      </c>
      <c r="I861" s="10" t="s">
        <v>858</v>
      </c>
    </row>
    <row r="862">
      <c r="A862" s="5" t="str">
        <f t="array" ref="A862">INDEX(event_table!$A$2:$A$69, RANDBETWEEN(1, COUNTA(event_table!$A$2:$A$69)))</f>
        <v>1645</v>
      </c>
      <c r="B862" s="6">
        <f t="array" ref="B862">IFERROR(INDEX(event_table!$E$1:$E3686,MATCH(A862,event_table!$A$1:$A3686,0)),"")
</f>
        <v>6</v>
      </c>
      <c r="C862" s="7">
        <f t="shared" si="1"/>
        <v>162</v>
      </c>
      <c r="D862" s="6" t="str">
        <f t="array" ref="D862">IFERROR(INDEX(user_table!$C$2:$C3686,MATCH(C862,user_table!$B$2:$B3686,0)),"")
</f>
        <v>Dewi Nugroho</v>
      </c>
      <c r="E862" s="6" t="str">
        <f t="array" ref="E862">IFERROR(INDEX(user_table!$E$2:$E3686,MATCH(C862,user_table!$B$2:$B3686,0)),"")
</f>
        <v>2, 5</v>
      </c>
      <c r="F862" s="6" t="str">
        <f t="shared" si="2"/>
        <v>164546162</v>
      </c>
      <c r="G862" s="8">
        <v>4.0</v>
      </c>
      <c r="H862" s="9">
        <v>44703.0</v>
      </c>
      <c r="I862" s="10" t="s">
        <v>859</v>
      </c>
    </row>
    <row r="863">
      <c r="A863" s="5" t="str">
        <f t="array" ref="A863">INDEX(event_table!$A$2:$A$69, RANDBETWEEN(1, COUNTA(event_table!$A$2:$A$69)))</f>
        <v>113</v>
      </c>
      <c r="B863" s="6">
        <f t="array" ref="B863">IFERROR(INDEX(event_table!$E$1:$E3686,MATCH(A863,event_table!$A$1:$A3686,0)),"")
</f>
        <v>1</v>
      </c>
      <c r="C863" s="7">
        <f t="shared" si="1"/>
        <v>45</v>
      </c>
      <c r="D863" s="6" t="str">
        <f t="array" ref="D863">IFERROR(INDEX(user_table!$C$2:$C3686,MATCH(C863,user_table!$B$2:$B3686,0)),"")
</f>
        <v>Siti Kurniawan</v>
      </c>
      <c r="E863" s="6" t="str">
        <f t="array" ref="E863">IFERROR(INDEX(user_table!$E$2:$E3686,MATCH(C863,user_table!$B$2:$B3686,0)),"")
</f>
        <v>1, 1</v>
      </c>
      <c r="F863" s="6" t="str">
        <f t="shared" si="2"/>
        <v>1134145</v>
      </c>
      <c r="G863" s="8">
        <v>4.0</v>
      </c>
      <c r="H863" s="9">
        <v>44688.0</v>
      </c>
      <c r="I863" s="10" t="s">
        <v>860</v>
      </c>
    </row>
    <row r="864">
      <c r="A864" s="5" t="str">
        <f t="array" ref="A864">INDEX(event_table!$A$2:$A$69, RANDBETWEEN(1, COUNTA(event_table!$A$2:$A$69)))</f>
        <v>3163</v>
      </c>
      <c r="B864" s="6">
        <f t="array" ref="B864">IFERROR(INDEX(event_table!$E$1:$E3686,MATCH(A864,event_table!$A$1:$A3686,0)),"")
</f>
        <v>1</v>
      </c>
      <c r="C864" s="7">
        <f t="shared" si="1"/>
        <v>188</v>
      </c>
      <c r="D864" s="6" t="str">
        <f t="array" ref="D864">IFERROR(INDEX(user_table!$C$2:$C3686,MATCH(C864,user_table!$B$2:$B3686,0)),"")
</f>
        <v>Siti Setiawan</v>
      </c>
      <c r="E864" s="6" t="str">
        <f t="array" ref="E864">IFERROR(INDEX(user_table!$E$2:$E3686,MATCH(C864,user_table!$B$2:$B3686,0)),"")
</f>
        <v>6, 6</v>
      </c>
      <c r="F864" s="6" t="str">
        <f t="shared" si="2"/>
        <v>316331188</v>
      </c>
      <c r="G864" s="8">
        <v>3.0</v>
      </c>
      <c r="H864" s="9">
        <v>44810.0</v>
      </c>
      <c r="I864" s="10" t="s">
        <v>861</v>
      </c>
    </row>
    <row r="865">
      <c r="A865" s="5" t="str">
        <f t="array" ref="A865">INDEX(event_table!$A$2:$A$69, RANDBETWEEN(1, COUNTA(event_table!$A$2:$A$69)))</f>
        <v>1110</v>
      </c>
      <c r="B865" s="6">
        <f t="array" ref="B865">IFERROR(INDEX(event_table!$E$1:$E3686,MATCH(A865,event_table!$A$1:$A3686,0)),"")
</f>
        <v>1</v>
      </c>
      <c r="C865" s="7">
        <f t="shared" si="1"/>
        <v>39</v>
      </c>
      <c r="D865" s="6" t="str">
        <f t="array" ref="D865">IFERROR(INDEX(user_table!$C$2:$C3686,MATCH(C865,user_table!$B$2:$B3686,0)),"")
</f>
        <v>Desi Utami</v>
      </c>
      <c r="E865" s="6" t="str">
        <f t="array" ref="E865">IFERROR(INDEX(user_table!$E$2:$E3686,MATCH(C865,user_table!$B$2:$B3686,0)),"")
</f>
        <v>3, 1</v>
      </c>
      <c r="F865" s="6" t="str">
        <f t="shared" si="2"/>
        <v>11103139</v>
      </c>
      <c r="G865" s="8">
        <v>3.0</v>
      </c>
      <c r="H865" s="9">
        <v>44753.0</v>
      </c>
      <c r="I865" s="10" t="s">
        <v>862</v>
      </c>
    </row>
    <row r="866">
      <c r="A866" s="5" t="str">
        <f t="array" ref="A866">INDEX(event_table!$A$2:$A$69, RANDBETWEEN(1, COUNTA(event_table!$A$2:$A$69)))</f>
        <v>118</v>
      </c>
      <c r="B866" s="6">
        <f t="array" ref="B866">IFERROR(INDEX(event_table!$E$1:$E3686,MATCH(A866,event_table!$A$1:$A3686,0)),"")
</f>
        <v>1</v>
      </c>
      <c r="C866" s="7">
        <f t="shared" si="1"/>
        <v>5</v>
      </c>
      <c r="D866" s="6" t="str">
        <f t="array" ref="D866">IFERROR(INDEX(user_table!$C$2:$C3686,MATCH(C866,user_table!$B$2:$B3686,0)),"")
</f>
        <v>Hadi Nurhayati</v>
      </c>
      <c r="E866" s="6" t="str">
        <f t="array" ref="E866">IFERROR(INDEX(user_table!$E$2:$E3686,MATCH(C866,user_table!$B$2:$B3686,0)),"")
</f>
        <v>1, 5</v>
      </c>
      <c r="F866" s="6" t="str">
        <f t="shared" si="2"/>
        <v>118315</v>
      </c>
      <c r="G866" s="8">
        <v>3.0</v>
      </c>
      <c r="H866" s="9">
        <v>45141.0</v>
      </c>
      <c r="I866" s="10" t="s">
        <v>863</v>
      </c>
    </row>
    <row r="867">
      <c r="A867" s="5" t="str">
        <f t="array" ref="A867">INDEX(event_table!$A$2:$A$69, RANDBETWEEN(1, COUNTA(event_table!$A$2:$A$69)))</f>
        <v>115</v>
      </c>
      <c r="B867" s="6">
        <f t="array" ref="B867">IFERROR(INDEX(event_table!$E$1:$E3686,MATCH(A867,event_table!$A$1:$A3686,0)),"")
</f>
        <v>1</v>
      </c>
      <c r="C867" s="7">
        <f t="shared" si="1"/>
        <v>24</v>
      </c>
      <c r="D867" s="6" t="str">
        <f t="array" ref="D867">IFERROR(INDEX(user_table!$C$2:$C3686,MATCH(C867,user_table!$B$2:$B3686,0)),"")
</f>
        <v>Andi Septiani</v>
      </c>
      <c r="E867" s="6" t="str">
        <f t="array" ref="E867">IFERROR(INDEX(user_table!$E$2:$E3686,MATCH(C867,user_table!$B$2:$B3686,0)),"")
</f>
        <v>2, 2</v>
      </c>
      <c r="F867" s="6" t="str">
        <f t="shared" si="2"/>
        <v>1152124</v>
      </c>
      <c r="G867" s="8">
        <v>2.0</v>
      </c>
      <c r="H867" s="9">
        <v>44694.0</v>
      </c>
      <c r="I867" s="10" t="s">
        <v>864</v>
      </c>
    </row>
    <row r="868">
      <c r="A868" s="5" t="str">
        <f t="array" ref="A868">INDEX(event_table!$A$2:$A$69, RANDBETWEEN(1, COUNTA(event_table!$A$2:$A$69)))</f>
        <v>1639</v>
      </c>
      <c r="B868" s="6">
        <f t="array" ref="B868">IFERROR(INDEX(event_table!$E$1:$E3686,MATCH(A868,event_table!$A$1:$A3686,0)),"")
</f>
        <v>6</v>
      </c>
      <c r="C868" s="7">
        <f t="shared" si="1"/>
        <v>150</v>
      </c>
      <c r="D868" s="6" t="str">
        <f t="array" ref="D868">IFERROR(INDEX(user_table!$C$2:$C3686,MATCH(C868,user_table!$B$2:$B3686,0)),"")
</f>
        <v>Dina Susanto</v>
      </c>
      <c r="E868" s="6" t="str">
        <f t="array" ref="E868">IFERROR(INDEX(user_table!$E$2:$E3686,MATCH(C868,user_table!$B$2:$B3686,0)),"")
</f>
        <v>2, 6</v>
      </c>
      <c r="F868" s="6" t="str">
        <f t="shared" si="2"/>
        <v>163926150</v>
      </c>
      <c r="G868" s="8">
        <v>2.0</v>
      </c>
      <c r="H868" s="9">
        <v>45149.0</v>
      </c>
      <c r="I868" s="10" t="s">
        <v>865</v>
      </c>
    </row>
    <row r="869">
      <c r="A869" s="5" t="str">
        <f t="array" ref="A869">INDEX(event_table!$A$2:$A$69, RANDBETWEEN(1, COUNTA(event_table!$A$2:$A$69)))</f>
        <v>1640</v>
      </c>
      <c r="B869" s="6">
        <f t="array" ref="B869">IFERROR(INDEX(event_table!$E$1:$E3686,MATCH(A869,event_table!$A$1:$A3686,0)),"")
</f>
        <v>6</v>
      </c>
      <c r="C869" s="7">
        <f t="shared" si="1"/>
        <v>108</v>
      </c>
      <c r="D869" s="6" t="str">
        <f t="array" ref="D869">IFERROR(INDEX(user_table!$C$2:$C3686,MATCH(C869,user_table!$B$2:$B3686,0)),"")
</f>
        <v>Dewi Hadiwijaya</v>
      </c>
      <c r="E869" s="6" t="str">
        <f t="array" ref="E869">IFERROR(INDEX(user_table!$E$2:$E3686,MATCH(C869,user_table!$B$2:$B3686,0)),"")
</f>
        <v>6, 6</v>
      </c>
      <c r="F869" s="6" t="str">
        <f t="shared" si="2"/>
        <v>164026108</v>
      </c>
      <c r="G869" s="8">
        <v>2.0</v>
      </c>
      <c r="H869" s="9">
        <v>44981.0</v>
      </c>
      <c r="I869" s="10" t="s">
        <v>866</v>
      </c>
    </row>
    <row r="870">
      <c r="A870" s="5" t="str">
        <f t="array" ref="A870">INDEX(event_table!$A$2:$A$69, RANDBETWEEN(1, COUNTA(event_table!$A$2:$A$69)))</f>
        <v>3169</v>
      </c>
      <c r="B870" s="6">
        <f t="array" ref="B870">IFERROR(INDEX(event_table!$E$1:$E3686,MATCH(A870,event_table!$A$1:$A3686,0)),"")
</f>
        <v>1</v>
      </c>
      <c r="C870" s="7">
        <f t="shared" si="1"/>
        <v>130</v>
      </c>
      <c r="D870" s="6" t="str">
        <f t="array" ref="D870">IFERROR(INDEX(user_table!$C$2:$C3686,MATCH(C870,user_table!$B$2:$B3686,0)),"")
</f>
        <v>Andi Putri</v>
      </c>
      <c r="E870" s="6" t="str">
        <f t="array" ref="E870">IFERROR(INDEX(user_table!$E$2:$E3686,MATCH(C870,user_table!$B$2:$B3686,0)),"")
</f>
        <v>2, 3</v>
      </c>
      <c r="F870" s="6" t="str">
        <f t="shared" si="2"/>
        <v>316921130</v>
      </c>
      <c r="G870" s="8">
        <v>2.0</v>
      </c>
      <c r="H870" s="9">
        <v>44815.0</v>
      </c>
      <c r="I870" s="10" t="s">
        <v>867</v>
      </c>
    </row>
    <row r="871">
      <c r="A871" s="5" t="str">
        <f t="array" ref="A871">INDEX(event_table!$A$2:$A$69, RANDBETWEEN(1, COUNTA(event_table!$A$2:$A$69)))</f>
        <v>1648</v>
      </c>
      <c r="B871" s="6">
        <f t="array" ref="B871">IFERROR(INDEX(event_table!$E$1:$E3686,MATCH(A871,event_table!$A$1:$A3686,0)),"")
</f>
        <v>6</v>
      </c>
      <c r="C871" s="7">
        <f t="shared" si="1"/>
        <v>52</v>
      </c>
      <c r="D871" s="6" t="str">
        <f t="array" ref="D871">IFERROR(INDEX(user_table!$C$2:$C3686,MATCH(C871,user_table!$B$2:$B3686,0)),"")
</f>
        <v>Ani Nurhayati</v>
      </c>
      <c r="E871" s="6" t="str">
        <f t="array" ref="E871">IFERROR(INDEX(user_table!$E$2:$E3686,MATCH(C871,user_table!$B$2:$B3686,0)),"")
</f>
        <v>2, 2</v>
      </c>
      <c r="F871" s="6" t="str">
        <f t="shared" si="2"/>
        <v>16482652</v>
      </c>
      <c r="G871" s="8">
        <v>2.0</v>
      </c>
      <c r="H871" s="9">
        <v>44788.0</v>
      </c>
      <c r="I871" s="10" t="s">
        <v>868</v>
      </c>
    </row>
    <row r="872">
      <c r="A872" s="5" t="str">
        <f t="array" ref="A872">INDEX(event_table!$A$2:$A$69, RANDBETWEEN(1, COUNTA(event_table!$A$2:$A$69)))</f>
        <v>1648</v>
      </c>
      <c r="B872" s="6">
        <f t="array" ref="B872">IFERROR(INDEX(event_table!$E$1:$E3686,MATCH(A872,event_table!$A$1:$A3686,0)),"")
</f>
        <v>6</v>
      </c>
      <c r="C872" s="7">
        <f t="shared" si="1"/>
        <v>40</v>
      </c>
      <c r="D872" s="6" t="str">
        <f t="array" ref="D872">IFERROR(INDEX(user_table!$C$2:$C3686,MATCH(C872,user_table!$B$2:$B3686,0)),"")
</f>
        <v>Joko Sari</v>
      </c>
      <c r="E872" s="6" t="str">
        <f t="array" ref="E872">IFERROR(INDEX(user_table!$E$2:$E3686,MATCH(C872,user_table!$B$2:$B3686,0)),"")
</f>
        <v>5, 6</v>
      </c>
      <c r="F872" s="6" t="str">
        <f t="shared" si="2"/>
        <v>16482640</v>
      </c>
      <c r="G872" s="8">
        <v>2.0</v>
      </c>
      <c r="H872" s="9">
        <v>45246.0</v>
      </c>
      <c r="I872" s="10" t="s">
        <v>869</v>
      </c>
    </row>
    <row r="873">
      <c r="A873" s="5" t="str">
        <f t="array" ref="A873">INDEX(event_table!$A$2:$A$69, RANDBETWEEN(1, COUNTA(event_table!$A$2:$A$69)))</f>
        <v>1645</v>
      </c>
      <c r="B873" s="6">
        <f t="array" ref="B873">IFERROR(INDEX(event_table!$E$1:$E3686,MATCH(A873,event_table!$A$1:$A3686,0)),"")
</f>
        <v>6</v>
      </c>
      <c r="C873" s="7">
        <f t="shared" si="1"/>
        <v>176</v>
      </c>
      <c r="D873" s="6" t="str">
        <f t="array" ref="D873">IFERROR(INDEX(user_table!$C$2:$C3686,MATCH(C873,user_table!$B$2:$B3686,0)),"")
</f>
        <v>Ani Hartono</v>
      </c>
      <c r="E873" s="6" t="str">
        <f t="array" ref="E873">IFERROR(INDEX(user_table!$E$2:$E3686,MATCH(C873,user_table!$B$2:$B3686,0)),"")
</f>
        <v>2, 3</v>
      </c>
      <c r="F873" s="6" t="str">
        <f t="shared" si="2"/>
        <v>164526176</v>
      </c>
      <c r="G873" s="8">
        <v>2.0</v>
      </c>
      <c r="H873" s="9">
        <v>45177.0</v>
      </c>
      <c r="I873" s="10" t="s">
        <v>870</v>
      </c>
    </row>
    <row r="874">
      <c r="A874" s="5" t="str">
        <f t="array" ref="A874">INDEX(event_table!$A$2:$A$69, RANDBETWEEN(1, COUNTA(event_table!$A$2:$A$69)))</f>
        <v>114</v>
      </c>
      <c r="B874" s="6">
        <f t="array" ref="B874">IFERROR(INDEX(event_table!$E$1:$E3686,MATCH(A874,event_table!$A$1:$A3686,0)),"")
</f>
        <v>1</v>
      </c>
      <c r="C874" s="7">
        <f t="shared" si="1"/>
        <v>140</v>
      </c>
      <c r="D874" s="6" t="str">
        <f t="array" ref="D874">IFERROR(INDEX(user_table!$C$2:$C3686,MATCH(C874,user_table!$B$2:$B3686,0)),"")
</f>
        <v>Maya Wijaya</v>
      </c>
      <c r="E874" s="6" t="str">
        <f t="array" ref="E874">IFERROR(INDEX(user_table!$E$2:$E3686,MATCH(C874,user_table!$B$2:$B3686,0)),"")
</f>
        <v>3, 2</v>
      </c>
      <c r="F874" s="6" t="str">
        <f t="shared" si="2"/>
        <v>11421140</v>
      </c>
      <c r="G874" s="8">
        <v>2.0</v>
      </c>
      <c r="H874" s="9">
        <v>45102.0</v>
      </c>
      <c r="I874" s="10" t="s">
        <v>871</v>
      </c>
    </row>
    <row r="875">
      <c r="A875" s="5" t="str">
        <f t="array" ref="A875">INDEX(event_table!$A$2:$A$69, RANDBETWEEN(1, COUNTA(event_table!$A$2:$A$69)))</f>
        <v>1641</v>
      </c>
      <c r="B875" s="6">
        <f t="array" ref="B875">IFERROR(INDEX(event_table!$E$1:$E3686,MATCH(A875,event_table!$A$1:$A3686,0)),"")
</f>
        <v>6</v>
      </c>
      <c r="C875" s="7">
        <f t="shared" si="1"/>
        <v>87</v>
      </c>
      <c r="D875" s="6" t="str">
        <f t="array" ref="D875">IFERROR(INDEX(user_table!$C$2:$C3686,MATCH(C875,user_table!$B$2:$B3686,0)),"")
</f>
        <v>Budi Setiawan</v>
      </c>
      <c r="E875" s="6" t="str">
        <f t="array" ref="E875">IFERROR(INDEX(user_table!$E$2:$E3686,MATCH(C875,user_table!$B$2:$B3686,0)),"")
</f>
        <v>3, 5</v>
      </c>
      <c r="F875" s="6" t="str">
        <f t="shared" si="2"/>
        <v>16411687</v>
      </c>
      <c r="G875" s="8">
        <v>1.0</v>
      </c>
      <c r="H875" s="9">
        <v>45217.0</v>
      </c>
      <c r="I875" s="10" t="s">
        <v>872</v>
      </c>
    </row>
    <row r="876">
      <c r="A876" s="5" t="str">
        <f t="array" ref="A876">INDEX(event_table!$A$2:$A$69, RANDBETWEEN(1, COUNTA(event_table!$A$2:$A$69)))</f>
        <v>3169</v>
      </c>
      <c r="B876" s="6">
        <f t="array" ref="B876">IFERROR(INDEX(event_table!$E$1:$E3686,MATCH(A876,event_table!$A$1:$A3686,0)),"")
</f>
        <v>1</v>
      </c>
      <c r="C876" s="7">
        <f t="shared" si="1"/>
        <v>57</v>
      </c>
      <c r="D876" s="6" t="str">
        <f t="array" ref="D876">IFERROR(INDEX(user_table!$C$2:$C3686,MATCH(C876,user_table!$B$2:$B3686,0)),"")
</f>
        <v>Hadi Sari</v>
      </c>
      <c r="E876" s="6" t="str">
        <f t="array" ref="E876">IFERROR(INDEX(user_table!$E$2:$E3686,MATCH(C876,user_table!$B$2:$B3686,0)),"")
</f>
        <v>2, 4</v>
      </c>
      <c r="F876" s="6" t="str">
        <f t="shared" si="2"/>
        <v>31691157</v>
      </c>
      <c r="G876" s="8">
        <v>1.0</v>
      </c>
      <c r="H876" s="9">
        <v>45189.0</v>
      </c>
      <c r="I876" s="10" t="s">
        <v>873</v>
      </c>
    </row>
    <row r="877">
      <c r="A877" s="5" t="str">
        <f t="array" ref="A877">INDEX(event_table!$A$2:$A$69, RANDBETWEEN(1, COUNTA(event_table!$A$2:$A$69)))</f>
        <v>1110</v>
      </c>
      <c r="B877" s="6">
        <f t="array" ref="B877">IFERROR(INDEX(event_table!$E$1:$E3686,MATCH(A877,event_table!$A$1:$A3686,0)),"")
</f>
        <v>1</v>
      </c>
      <c r="C877" s="7">
        <f t="shared" si="1"/>
        <v>95</v>
      </c>
      <c r="D877" s="6" t="str">
        <f t="array" ref="D877">IFERROR(INDEX(user_table!$C$2:$C3686,MATCH(C877,user_table!$B$2:$B3686,0)),"")
</f>
        <v>Ani Pratama</v>
      </c>
      <c r="E877" s="6" t="str">
        <f t="array" ref="E877">IFERROR(INDEX(user_table!$E$2:$E3686,MATCH(C877,user_table!$B$2:$B3686,0)),"")
</f>
        <v>3, 5</v>
      </c>
      <c r="F877" s="6" t="str">
        <f t="shared" si="2"/>
        <v>11101195</v>
      </c>
      <c r="G877" s="8">
        <v>1.0</v>
      </c>
      <c r="H877" s="9">
        <v>45130.0</v>
      </c>
      <c r="I877" s="10" t="s">
        <v>874</v>
      </c>
    </row>
    <row r="878">
      <c r="A878" s="5" t="str">
        <f t="array" ref="A878">INDEX(event_table!$A$2:$A$69, RANDBETWEEN(1, COUNTA(event_table!$A$2:$A$69)))</f>
        <v>3169</v>
      </c>
      <c r="B878" s="6">
        <f t="array" ref="B878">IFERROR(INDEX(event_table!$E$1:$E3686,MATCH(A878,event_table!$A$1:$A3686,0)),"")
</f>
        <v>1</v>
      </c>
      <c r="C878" s="7">
        <f t="shared" si="1"/>
        <v>163</v>
      </c>
      <c r="D878" s="6" t="str">
        <f t="array" ref="D878">IFERROR(INDEX(user_table!$C$2:$C3686,MATCH(C878,user_table!$B$2:$B3686,0)),"")
</f>
        <v>Budi Susanto</v>
      </c>
      <c r="E878" s="6" t="str">
        <f t="array" ref="E878">IFERROR(INDEX(user_table!$E$2:$E3686,MATCH(C878,user_table!$B$2:$B3686,0)),"")
</f>
        <v>6, 3</v>
      </c>
      <c r="F878" s="6" t="str">
        <f t="shared" si="2"/>
        <v>316911163</v>
      </c>
      <c r="G878" s="8">
        <v>1.0</v>
      </c>
      <c r="H878" s="9">
        <v>45176.0</v>
      </c>
      <c r="I878" s="10" t="s">
        <v>875</v>
      </c>
    </row>
    <row r="879">
      <c r="A879" s="5" t="str">
        <f t="array" ref="A879">INDEX(event_table!$A$2:$A$69, RANDBETWEEN(1, COUNTA(event_table!$A$2:$A$69)))</f>
        <v>1420</v>
      </c>
      <c r="B879" s="6">
        <f t="array" ref="B879">IFERROR(INDEX(event_table!$E$1:$E3686,MATCH(A879,event_table!$A$1:$A3686,0)),"")
</f>
        <v>4</v>
      </c>
      <c r="C879" s="7">
        <f t="shared" si="1"/>
        <v>15</v>
      </c>
      <c r="D879" s="6" t="str">
        <f t="array" ref="D879">IFERROR(INDEX(user_table!$C$2:$C3686,MATCH(C879,user_table!$B$2:$B3686,0)),"")
</f>
        <v>Arif Kurniawan</v>
      </c>
      <c r="E879" s="6" t="str">
        <f t="array" ref="E879">IFERROR(INDEX(user_table!$E$2:$E3686,MATCH(C879,user_table!$B$2:$B3686,0)),"")
</f>
        <v>3, 1</v>
      </c>
      <c r="F879" s="6" t="str">
        <f t="shared" si="2"/>
        <v>14201415</v>
      </c>
      <c r="G879" s="8">
        <v>1.0</v>
      </c>
      <c r="H879" s="9">
        <v>45113.0</v>
      </c>
      <c r="I879" s="10" t="s">
        <v>876</v>
      </c>
    </row>
    <row r="880">
      <c r="A880" s="5" t="str">
        <f t="array" ref="A880">INDEX(event_table!$A$2:$A$69, RANDBETWEEN(1, COUNTA(event_table!$A$2:$A$69)))</f>
        <v>1423</v>
      </c>
      <c r="B880" s="6">
        <f t="array" ref="B880">IFERROR(INDEX(event_table!$E$1:$E3686,MATCH(A880,event_table!$A$1:$A3686,0)),"")
</f>
        <v>4</v>
      </c>
      <c r="C880" s="7">
        <f t="shared" si="1"/>
        <v>87</v>
      </c>
      <c r="D880" s="6" t="str">
        <f t="array" ref="D880">IFERROR(INDEX(user_table!$C$2:$C3686,MATCH(C880,user_table!$B$2:$B3686,0)),"")
</f>
        <v>Budi Setiawan</v>
      </c>
      <c r="E880" s="6" t="str">
        <f t="array" ref="E880">IFERROR(INDEX(user_table!$E$2:$E3686,MATCH(C880,user_table!$B$2:$B3686,0)),"")
</f>
        <v>3, 5</v>
      </c>
      <c r="F880" s="6" t="str">
        <f t="shared" si="2"/>
        <v>14231487</v>
      </c>
      <c r="G880" s="8">
        <v>1.0</v>
      </c>
      <c r="H880" s="9">
        <v>45190.0</v>
      </c>
      <c r="I880" s="10" t="s">
        <v>877</v>
      </c>
    </row>
    <row r="881">
      <c r="A881" s="5" t="str">
        <f t="array" ref="A881">INDEX(event_table!$A$2:$A$69, RANDBETWEEN(1, COUNTA(event_table!$A$2:$A$69)))</f>
        <v>1215</v>
      </c>
      <c r="B881" s="6">
        <f t="array" ref="B881">IFERROR(INDEX(event_table!$E$1:$E3686,MATCH(A881,event_table!$A$1:$A3686,0)),"")
</f>
        <v>2</v>
      </c>
      <c r="C881" s="7">
        <f t="shared" si="1"/>
        <v>37</v>
      </c>
      <c r="D881" s="6" t="str">
        <f t="array" ref="D881">IFERROR(INDEX(user_table!$C$2:$C3686,MATCH(C881,user_table!$B$2:$B3686,0)),"")
</f>
        <v>Lina Susanto</v>
      </c>
      <c r="E881" s="6" t="str">
        <f t="array" ref="E881">IFERROR(INDEX(user_table!$E$2:$E3686,MATCH(C881,user_table!$B$2:$B3686,0)),"")
</f>
        <v>2, 2</v>
      </c>
      <c r="F881" s="6" t="str">
        <f t="shared" si="2"/>
        <v>12151237</v>
      </c>
      <c r="G881" s="8">
        <v>1.0</v>
      </c>
      <c r="H881" s="9">
        <v>45190.0</v>
      </c>
      <c r="I881" s="10" t="s">
        <v>878</v>
      </c>
    </row>
    <row r="882">
      <c r="A882" s="5" t="str">
        <f t="array" ref="A882">INDEX(event_table!$A$2:$A$69, RANDBETWEEN(1, COUNTA(event_table!$A$2:$A$69)))</f>
        <v>113</v>
      </c>
      <c r="B882" s="6">
        <f t="array" ref="B882">IFERROR(INDEX(event_table!$E$1:$E3686,MATCH(A882,event_table!$A$1:$A3686,0)),"")
</f>
        <v>1</v>
      </c>
      <c r="C882" s="7">
        <f t="shared" si="1"/>
        <v>197</v>
      </c>
      <c r="D882" s="6" t="str">
        <f t="array" ref="D882">IFERROR(INDEX(user_table!$C$2:$C3686,MATCH(C882,user_table!$B$2:$B3686,0)),"")
</f>
        <v>Dian Sari</v>
      </c>
      <c r="E882" s="6" t="str">
        <f t="array" ref="E882">IFERROR(INDEX(user_table!$E$2:$E3686,MATCH(C882,user_table!$B$2:$B3686,0)),"")
</f>
        <v>6, 3</v>
      </c>
      <c r="F882" s="6" t="str">
        <f t="shared" si="2"/>
        <v>11311197</v>
      </c>
      <c r="G882" s="8">
        <v>1.0</v>
      </c>
      <c r="H882" s="9">
        <v>45182.0</v>
      </c>
      <c r="I882" s="10" t="s">
        <v>879</v>
      </c>
    </row>
    <row r="883">
      <c r="A883" s="5" t="str">
        <f t="array" ref="A883">INDEX(event_table!$A$2:$A$69, RANDBETWEEN(1, COUNTA(event_table!$A$2:$A$69)))</f>
        <v>1416</v>
      </c>
      <c r="B883" s="6">
        <f t="array" ref="B883">IFERROR(INDEX(event_table!$E$1:$E3686,MATCH(A883,event_table!$A$1:$A3686,0)),"")
</f>
        <v>4</v>
      </c>
      <c r="C883" s="7">
        <f t="shared" si="1"/>
        <v>142</v>
      </c>
      <c r="D883" s="6" t="str">
        <f t="array" ref="D883">IFERROR(INDEX(user_table!$C$2:$C3686,MATCH(C883,user_table!$B$2:$B3686,0)),"")
</f>
        <v>Siti Rahayu</v>
      </c>
      <c r="E883" s="6" t="str">
        <f t="array" ref="E883">IFERROR(INDEX(user_table!$E$2:$E3686,MATCH(C883,user_table!$B$2:$B3686,0)),"")
</f>
        <v>6, 3</v>
      </c>
      <c r="F883" s="6" t="str">
        <f t="shared" si="2"/>
        <v>141614142</v>
      </c>
      <c r="G883" s="8">
        <v>1.0</v>
      </c>
      <c r="H883" s="9">
        <v>45144.0</v>
      </c>
      <c r="I883" s="10" t="s">
        <v>880</v>
      </c>
    </row>
    <row r="884">
      <c r="A884" s="5" t="str">
        <f t="array" ref="A884">INDEX(event_table!$A$2:$A$69, RANDBETWEEN(1, COUNTA(event_table!$A$2:$A$69)))</f>
        <v>3167</v>
      </c>
      <c r="B884" s="6">
        <f t="array" ref="B884">IFERROR(INDEX(event_table!$E$1:$E3686,MATCH(A884,event_table!$A$1:$A3686,0)),"")
</f>
        <v>1</v>
      </c>
      <c r="C884" s="7">
        <f t="shared" si="1"/>
        <v>189</v>
      </c>
      <c r="D884" s="6" t="str">
        <f t="array" ref="D884">IFERROR(INDEX(user_table!$C$2:$C3686,MATCH(C884,user_table!$B$2:$B3686,0)),"")
</f>
        <v>Arif Putri</v>
      </c>
      <c r="E884" s="6" t="str">
        <f t="array" ref="E884">IFERROR(INDEX(user_table!$E$2:$E3686,MATCH(C884,user_table!$B$2:$B3686,0)),"")
</f>
        <v>4, 2</v>
      </c>
      <c r="F884" s="6" t="str">
        <f t="shared" si="2"/>
        <v>316711189</v>
      </c>
      <c r="G884" s="8">
        <v>1.0</v>
      </c>
      <c r="H884" s="9">
        <v>45143.0</v>
      </c>
      <c r="I884" s="10" t="s">
        <v>881</v>
      </c>
    </row>
    <row r="885">
      <c r="A885" s="5" t="str">
        <f t="array" ref="A885">INDEX(event_table!$A$2:$A$69, RANDBETWEEN(1, COUNTA(event_table!$A$2:$A$69)))</f>
        <v>1641</v>
      </c>
      <c r="B885" s="6">
        <f t="array" ref="B885">IFERROR(INDEX(event_table!$E$1:$E3686,MATCH(A885,event_table!$A$1:$A3686,0)),"")
</f>
        <v>6</v>
      </c>
      <c r="C885" s="7">
        <f t="shared" si="1"/>
        <v>79</v>
      </c>
      <c r="D885" s="6" t="str">
        <f t="array" ref="D885">IFERROR(INDEX(user_table!$C$2:$C3686,MATCH(C885,user_table!$B$2:$B3686,0)),"")
</f>
        <v>Arif Nugroho</v>
      </c>
      <c r="E885" s="6" t="str">
        <f t="array" ref="E885">IFERROR(INDEX(user_table!$E$2:$E3686,MATCH(C885,user_table!$B$2:$B3686,0)),"")
</f>
        <v>2, 3</v>
      </c>
      <c r="F885" s="6" t="str">
        <f t="shared" si="2"/>
        <v>16411679</v>
      </c>
      <c r="G885" s="8">
        <v>1.0</v>
      </c>
      <c r="H885" s="9">
        <v>45143.0</v>
      </c>
      <c r="I885" s="10" t="s">
        <v>882</v>
      </c>
    </row>
    <row r="886">
      <c r="A886" s="5" t="str">
        <f t="array" ref="A886">INDEX(event_table!$A$2:$A$69, RANDBETWEEN(1, COUNTA(event_table!$A$2:$A$69)))</f>
        <v>1519</v>
      </c>
      <c r="B886" s="6">
        <f t="array" ref="B886">IFERROR(INDEX(event_table!$E$1:$E3686,MATCH(A886,event_table!$A$1:$A3686,0)),"")
</f>
        <v>5</v>
      </c>
      <c r="C886" s="7">
        <f t="shared" si="1"/>
        <v>17</v>
      </c>
      <c r="D886" s="6" t="str">
        <f t="array" ref="D886">IFERROR(INDEX(user_table!$C$2:$C3686,MATCH(C886,user_table!$B$2:$B3686,0)),"")
</f>
        <v>Fajar Wijaya</v>
      </c>
      <c r="E886" s="6" t="str">
        <f t="array" ref="E886">IFERROR(INDEX(user_table!$E$2:$E3686,MATCH(C886,user_table!$B$2:$B3686,0)),"")
</f>
        <v>1, 1</v>
      </c>
      <c r="F886" s="6" t="str">
        <f t="shared" si="2"/>
        <v>15191517</v>
      </c>
      <c r="G886" s="8">
        <v>1.0</v>
      </c>
      <c r="H886" s="9">
        <v>45092.0</v>
      </c>
      <c r="I886" s="10" t="s">
        <v>883</v>
      </c>
    </row>
    <row r="887">
      <c r="A887" s="5" t="str">
        <f t="array" ref="A887">INDEX(event_table!$A$2:$A$69, RANDBETWEEN(1, COUNTA(event_table!$A$2:$A$69)))</f>
        <v>3659</v>
      </c>
      <c r="B887" s="6">
        <f t="array" ref="B887">IFERROR(INDEX(event_table!$E$1:$E3686,MATCH(A887,event_table!$A$1:$A3686,0)),"")
</f>
        <v>6</v>
      </c>
      <c r="C887" s="7">
        <f t="shared" si="1"/>
        <v>86</v>
      </c>
      <c r="D887" s="6" t="str">
        <f t="array" ref="D887">IFERROR(INDEX(user_table!$C$2:$C3686,MATCH(C887,user_table!$B$2:$B3686,0)),"")
</f>
        <v>Lina Santoso</v>
      </c>
      <c r="E887" s="6" t="str">
        <f t="array" ref="E887">IFERROR(INDEX(user_table!$E$2:$E3686,MATCH(C887,user_table!$B$2:$B3686,0)),"")
</f>
        <v>4, 3</v>
      </c>
      <c r="F887" s="6" t="str">
        <f t="shared" si="2"/>
        <v>36591686</v>
      </c>
      <c r="G887" s="8">
        <v>1.0</v>
      </c>
      <c r="H887" s="9">
        <v>45068.0</v>
      </c>
      <c r="I887" s="10" t="s">
        <v>884</v>
      </c>
    </row>
    <row r="888">
      <c r="A888" s="5" t="str">
        <f t="array" ref="A888">INDEX(event_table!$A$2:$A$69, RANDBETWEEN(1, COUNTA(event_table!$A$2:$A$69)))</f>
        <v>1416</v>
      </c>
      <c r="B888" s="6">
        <f t="array" ref="B888">IFERROR(INDEX(event_table!$E$1:$E3686,MATCH(A888,event_table!$A$1:$A3686,0)),"")
</f>
        <v>4</v>
      </c>
      <c r="C888" s="7">
        <f t="shared" si="1"/>
        <v>136</v>
      </c>
      <c r="D888" s="6" t="str">
        <f t="array" ref="D888">IFERROR(INDEX(user_table!$C$2:$C3686,MATCH(C888,user_table!$B$2:$B3686,0)),"")
</f>
        <v>Fandi Purnama</v>
      </c>
      <c r="E888" s="6" t="str">
        <f t="array" ref="E888">IFERROR(INDEX(user_table!$E$2:$E3686,MATCH(C888,user_table!$B$2:$B3686,0)),"")
</f>
        <v>5, 6</v>
      </c>
      <c r="F888" s="6" t="str">
        <f t="shared" si="2"/>
        <v>141614136</v>
      </c>
      <c r="G888" s="8">
        <v>1.0</v>
      </c>
      <c r="H888" s="9">
        <v>45063.0</v>
      </c>
      <c r="I888" s="10" t="s">
        <v>885</v>
      </c>
    </row>
    <row r="889">
      <c r="A889" s="5" t="str">
        <f t="array" ref="A889">INDEX(event_table!$A$2:$A$69, RANDBETWEEN(1, COUNTA(event_table!$A$2:$A$69)))</f>
        <v>3167</v>
      </c>
      <c r="B889" s="6">
        <f t="array" ref="B889">IFERROR(INDEX(event_table!$E$1:$E3686,MATCH(A889,event_table!$A$1:$A3686,0)),"")
</f>
        <v>1</v>
      </c>
      <c r="C889" s="7">
        <f t="shared" si="1"/>
        <v>1</v>
      </c>
      <c r="D889" s="6" t="str">
        <f t="array" ref="D889">IFERROR(INDEX(user_table!$C$2:$C3686,MATCH(C889,user_table!$B$2:$B3686,0)),"")
</f>
        <v>Maya Putri</v>
      </c>
      <c r="E889" s="6" t="str">
        <f t="array" ref="E889">IFERROR(INDEX(user_table!$E$2:$E3686,MATCH(C889,user_table!$B$2:$B3686,0)),"")
</f>
        <v>5, 6</v>
      </c>
      <c r="F889" s="6" t="str">
        <f t="shared" si="2"/>
        <v>3167111</v>
      </c>
      <c r="G889" s="8">
        <v>1.0</v>
      </c>
      <c r="H889" s="9">
        <v>45038.0</v>
      </c>
      <c r="I889" s="10" t="s">
        <v>886</v>
      </c>
    </row>
    <row r="890">
      <c r="A890" s="5" t="str">
        <f t="array" ref="A890">INDEX(event_table!$A$2:$A$69, RANDBETWEEN(1, COUNTA(event_table!$A$2:$A$69)))</f>
        <v>3170</v>
      </c>
      <c r="B890" s="6">
        <f t="array" ref="B890">IFERROR(INDEX(event_table!$E$1:$E3686,MATCH(A890,event_table!$A$1:$A3686,0)),"")
</f>
        <v>1</v>
      </c>
      <c r="C890" s="7">
        <f t="shared" si="1"/>
        <v>32</v>
      </c>
      <c r="D890" s="6" t="str">
        <f t="array" ref="D890">IFERROR(INDEX(user_table!$C$2:$C3686,MATCH(C890,user_table!$B$2:$B3686,0)),"")
</f>
        <v>Ani Setiawan</v>
      </c>
      <c r="E890" s="6" t="str">
        <f t="array" ref="E890">IFERROR(INDEX(user_table!$E$2:$E3686,MATCH(C890,user_table!$B$2:$B3686,0)),"")
</f>
        <v>6, 3</v>
      </c>
      <c r="F890" s="6" t="str">
        <f t="shared" si="2"/>
        <v>31705132</v>
      </c>
      <c r="G890" s="8">
        <v>5.0</v>
      </c>
      <c r="H890" s="9">
        <v>44720.0</v>
      </c>
      <c r="I890" s="10" t="s">
        <v>887</v>
      </c>
    </row>
    <row r="891">
      <c r="A891" s="5" t="str">
        <f t="array" ref="A891">INDEX(event_table!$A$2:$A$69, RANDBETWEEN(1, COUNTA(event_table!$A$2:$A$69)))</f>
        <v>1652</v>
      </c>
      <c r="B891" s="6">
        <f t="array" ref="B891">IFERROR(INDEX(event_table!$E$1:$E3686,MATCH(A891,event_table!$A$1:$A3686,0)),"")
</f>
        <v>6</v>
      </c>
      <c r="C891" s="7">
        <f t="shared" si="1"/>
        <v>111</v>
      </c>
      <c r="D891" s="6" t="str">
        <f t="array" ref="D891">IFERROR(INDEX(user_table!$C$2:$C3686,MATCH(C891,user_table!$B$2:$B3686,0)),"")
</f>
        <v>Hadi Kurniawan</v>
      </c>
      <c r="E891" s="6" t="str">
        <f t="array" ref="E891">IFERROR(INDEX(user_table!$E$2:$E3686,MATCH(C891,user_table!$B$2:$B3686,0)),"")
</f>
        <v>3, 4</v>
      </c>
      <c r="F891" s="6" t="str">
        <f t="shared" si="2"/>
        <v>165256111</v>
      </c>
      <c r="G891" s="8">
        <v>5.0</v>
      </c>
      <c r="H891" s="9">
        <v>44686.0</v>
      </c>
      <c r="I891" s="10" t="s">
        <v>888</v>
      </c>
    </row>
    <row r="892">
      <c r="A892" s="5" t="str">
        <f t="array" ref="A892">INDEX(event_table!$A$2:$A$69, RANDBETWEEN(1, COUNTA(event_table!$A$2:$A$69)))</f>
        <v>3455</v>
      </c>
      <c r="B892" s="6">
        <f t="array" ref="B892">IFERROR(INDEX(event_table!$E$1:$E3686,MATCH(A892,event_table!$A$1:$A3686,0)),"")
</f>
        <v>4</v>
      </c>
      <c r="C892" s="7">
        <f t="shared" si="1"/>
        <v>107</v>
      </c>
      <c r="D892" s="6" t="str">
        <f t="array" ref="D892">IFERROR(INDEX(user_table!$C$2:$C3686,MATCH(C892,user_table!$B$2:$B3686,0)),"")
</f>
        <v>Citra Rahayu</v>
      </c>
      <c r="E892" s="6" t="str">
        <f t="array" ref="E892">IFERROR(INDEX(user_table!$E$2:$E3686,MATCH(C892,user_table!$B$2:$B3686,0)),"")
</f>
        <v>1, 5</v>
      </c>
      <c r="F892" s="6" t="str">
        <f t="shared" si="2"/>
        <v>345554107</v>
      </c>
      <c r="G892" s="8">
        <v>5.0</v>
      </c>
      <c r="H892" s="9">
        <v>45190.0</v>
      </c>
      <c r="I892" s="10" t="s">
        <v>889</v>
      </c>
    </row>
    <row r="893">
      <c r="A893" s="5" t="str">
        <f t="array" ref="A893">INDEX(event_table!$A$2:$A$69, RANDBETWEEN(1, COUNTA(event_table!$A$2:$A$69)))</f>
        <v>1643</v>
      </c>
      <c r="B893" s="6">
        <f t="array" ref="B893">IFERROR(INDEX(event_table!$E$1:$E3686,MATCH(A893,event_table!$A$1:$A3686,0)),"")
</f>
        <v>6</v>
      </c>
      <c r="C893" s="7">
        <f t="shared" si="1"/>
        <v>106</v>
      </c>
      <c r="D893" s="6" t="str">
        <f t="array" ref="D893">IFERROR(INDEX(user_table!$C$2:$C3686,MATCH(C893,user_table!$B$2:$B3686,0)),"")
</f>
        <v>Budi Hidayat</v>
      </c>
      <c r="E893" s="6" t="str">
        <f t="array" ref="E893">IFERROR(INDEX(user_table!$E$2:$E3686,MATCH(C893,user_table!$B$2:$B3686,0)),"")
</f>
        <v>2, 6</v>
      </c>
      <c r="F893" s="6" t="str">
        <f t="shared" si="2"/>
        <v>164356106</v>
      </c>
      <c r="G893" s="8">
        <v>5.0</v>
      </c>
      <c r="H893" s="9">
        <v>45163.0</v>
      </c>
      <c r="I893" s="10" t="s">
        <v>890</v>
      </c>
    </row>
    <row r="894">
      <c r="A894" s="5" t="str">
        <f t="array" ref="A894">INDEX(event_table!$A$2:$A$69, RANDBETWEEN(1, COUNTA(event_table!$A$2:$A$69)))</f>
        <v>3165</v>
      </c>
      <c r="B894" s="6">
        <f t="array" ref="B894">IFERROR(INDEX(event_table!$E$1:$E3686,MATCH(A894,event_table!$A$1:$A3686,0)),"")
</f>
        <v>1</v>
      </c>
      <c r="C894" s="7">
        <f t="shared" si="1"/>
        <v>1</v>
      </c>
      <c r="D894" s="6" t="str">
        <f t="array" ref="D894">IFERROR(INDEX(user_table!$C$2:$C3686,MATCH(C894,user_table!$B$2:$B3686,0)),"")
</f>
        <v>Maya Putri</v>
      </c>
      <c r="E894" s="6" t="str">
        <f t="array" ref="E894">IFERROR(INDEX(user_table!$E$2:$E3686,MATCH(C894,user_table!$B$2:$B3686,0)),"")
</f>
        <v>5, 6</v>
      </c>
      <c r="F894" s="6" t="str">
        <f t="shared" si="2"/>
        <v>3165511</v>
      </c>
      <c r="G894" s="8">
        <v>5.0</v>
      </c>
      <c r="H894" s="9">
        <v>45137.0</v>
      </c>
      <c r="I894" s="10" t="s">
        <v>891</v>
      </c>
    </row>
    <row r="895">
      <c r="A895" s="5" t="str">
        <f t="array" ref="A895">INDEX(event_table!$A$2:$A$69, RANDBETWEEN(1, COUNTA(event_table!$A$2:$A$69)))</f>
        <v>1420</v>
      </c>
      <c r="B895" s="6">
        <f t="array" ref="B895">IFERROR(INDEX(event_table!$E$1:$E3686,MATCH(A895,event_table!$A$1:$A3686,0)),"")
</f>
        <v>4</v>
      </c>
      <c r="C895" s="7">
        <f t="shared" si="1"/>
        <v>129</v>
      </c>
      <c r="D895" s="6" t="str">
        <f t="array" ref="D895">IFERROR(INDEX(user_table!$C$2:$C3686,MATCH(C895,user_table!$B$2:$B3686,0)),"")
</f>
        <v>Maya Kusuma</v>
      </c>
      <c r="E895" s="6" t="str">
        <f t="array" ref="E895">IFERROR(INDEX(user_table!$E$2:$E3686,MATCH(C895,user_table!$B$2:$B3686,0)),"")
</f>
        <v>4, 6</v>
      </c>
      <c r="F895" s="6" t="str">
        <f t="shared" si="2"/>
        <v>142054129</v>
      </c>
      <c r="G895" s="8">
        <v>5.0</v>
      </c>
      <c r="H895" s="9">
        <v>44864.0</v>
      </c>
      <c r="I895" s="10" t="s">
        <v>361</v>
      </c>
    </row>
    <row r="896">
      <c r="A896" s="5" t="str">
        <f t="array" ref="A896">INDEX(event_table!$A$2:$A$69, RANDBETWEEN(1, COUNTA(event_table!$A$2:$A$69)))</f>
        <v>122</v>
      </c>
      <c r="B896" s="6">
        <f t="array" ref="B896">IFERROR(INDEX(event_table!$E$1:$E3686,MATCH(A896,event_table!$A$1:$A3686,0)),"")
</f>
        <v>2</v>
      </c>
      <c r="C896" s="7">
        <f t="shared" si="1"/>
        <v>97</v>
      </c>
      <c r="D896" s="6" t="str">
        <f t="array" ref="D896">IFERROR(INDEX(user_table!$C$2:$C3686,MATCH(C896,user_table!$B$2:$B3686,0)),"")
</f>
        <v>Dewi Hidayat</v>
      </c>
      <c r="E896" s="6" t="str">
        <f t="array" ref="E896">IFERROR(INDEX(user_table!$E$2:$E3686,MATCH(C896,user_table!$B$2:$B3686,0)),"")
</f>
        <v>2, 2</v>
      </c>
      <c r="F896" s="6" t="str">
        <f t="shared" si="2"/>
        <v>1225297</v>
      </c>
      <c r="G896" s="8">
        <v>5.0</v>
      </c>
      <c r="H896" s="9">
        <v>44816.0</v>
      </c>
      <c r="I896" s="10" t="s">
        <v>892</v>
      </c>
    </row>
    <row r="897">
      <c r="A897" s="5" t="str">
        <f t="array" ref="A897">INDEX(event_table!$A$2:$A$69, RANDBETWEEN(1, COUNTA(event_table!$A$2:$A$69)))</f>
        <v>3170</v>
      </c>
      <c r="B897" s="6">
        <f t="array" ref="B897">IFERROR(INDEX(event_table!$E$1:$E3686,MATCH(A897,event_table!$A$1:$A3686,0)),"")
</f>
        <v>1</v>
      </c>
      <c r="C897" s="7">
        <f t="shared" si="1"/>
        <v>124</v>
      </c>
      <c r="D897" s="6" t="str">
        <f t="array" ref="D897">IFERROR(INDEX(user_table!$C$2:$C3686,MATCH(C897,user_table!$B$2:$B3686,0)),"")
</f>
        <v>Fandi Setiawan</v>
      </c>
      <c r="E897" s="6" t="str">
        <f t="array" ref="E897">IFERROR(INDEX(user_table!$E$2:$E3686,MATCH(C897,user_table!$B$2:$B3686,0)),"")
</f>
        <v>5, 4</v>
      </c>
      <c r="F897" s="6" t="str">
        <f t="shared" si="2"/>
        <v>317051124</v>
      </c>
      <c r="G897" s="8">
        <v>5.0</v>
      </c>
      <c r="H897" s="9">
        <v>44810.0</v>
      </c>
      <c r="I897" s="10" t="s">
        <v>893</v>
      </c>
    </row>
    <row r="898">
      <c r="A898" s="5" t="str">
        <f t="array" ref="A898">INDEX(event_table!$A$2:$A$69, RANDBETWEEN(1, COUNTA(event_table!$A$2:$A$69)))</f>
        <v>1526</v>
      </c>
      <c r="B898" s="6">
        <f t="array" ref="B898">IFERROR(INDEX(event_table!$E$1:$E3686,MATCH(A898,event_table!$A$1:$A3686,0)),"")
</f>
        <v>5</v>
      </c>
      <c r="C898" s="7">
        <f t="shared" si="1"/>
        <v>70</v>
      </c>
      <c r="D898" s="6" t="str">
        <f t="array" ref="D898">IFERROR(INDEX(user_table!$C$2:$C3686,MATCH(C898,user_table!$B$2:$B3686,0)),"")
</f>
        <v>Fandi Hadiwijaya</v>
      </c>
      <c r="E898" s="6" t="str">
        <f t="array" ref="E898">IFERROR(INDEX(user_table!$E$2:$E3686,MATCH(C898,user_table!$B$2:$B3686,0)),"")
</f>
        <v>1, 4</v>
      </c>
      <c r="F898" s="6" t="str">
        <f t="shared" si="2"/>
        <v>15265570</v>
      </c>
      <c r="G898" s="8">
        <v>5.0</v>
      </c>
      <c r="H898" s="9">
        <v>44759.0</v>
      </c>
      <c r="I898" s="10" t="s">
        <v>894</v>
      </c>
    </row>
    <row r="899">
      <c r="A899" s="5" t="str">
        <f t="array" ref="A899">INDEX(event_table!$A$2:$A$69, RANDBETWEEN(1, COUNTA(event_table!$A$2:$A$69)))</f>
        <v>3169</v>
      </c>
      <c r="B899" s="6">
        <f t="array" ref="B899">IFERROR(INDEX(event_table!$E$1:$E3686,MATCH(A899,event_table!$A$1:$A3686,0)),"")
</f>
        <v>1</v>
      </c>
      <c r="C899" s="7">
        <f t="shared" si="1"/>
        <v>86</v>
      </c>
      <c r="D899" s="6" t="str">
        <f t="array" ref="D899">IFERROR(INDEX(user_table!$C$2:$C3686,MATCH(C899,user_table!$B$2:$B3686,0)),"")
</f>
        <v>Lina Santoso</v>
      </c>
      <c r="E899" s="6" t="str">
        <f t="array" ref="E899">IFERROR(INDEX(user_table!$E$2:$E3686,MATCH(C899,user_table!$B$2:$B3686,0)),"")
</f>
        <v>4, 3</v>
      </c>
      <c r="F899" s="6" t="str">
        <f t="shared" si="2"/>
        <v>31695186</v>
      </c>
      <c r="G899" s="8">
        <v>5.0</v>
      </c>
      <c r="H899" s="9">
        <v>44751.0</v>
      </c>
      <c r="I899" s="10" t="s">
        <v>895</v>
      </c>
    </row>
    <row r="900">
      <c r="A900" s="5" t="str">
        <f t="array" ref="A900">INDEX(event_table!$A$2:$A$69, RANDBETWEEN(1, COUNTA(event_table!$A$2:$A$69)))</f>
        <v>1645</v>
      </c>
      <c r="B900" s="6">
        <f t="array" ref="B900">IFERROR(INDEX(event_table!$E$1:$E3686,MATCH(A900,event_table!$A$1:$A3686,0)),"")
</f>
        <v>6</v>
      </c>
      <c r="C900" s="7">
        <f t="shared" si="1"/>
        <v>175</v>
      </c>
      <c r="D900" s="6" t="str">
        <f t="array" ref="D900">IFERROR(INDEX(user_table!$C$2:$C3686,MATCH(C900,user_table!$B$2:$B3686,0)),"")
</f>
        <v>Siti Septiani</v>
      </c>
      <c r="E900" s="6" t="str">
        <f t="array" ref="E900">IFERROR(INDEX(user_table!$E$2:$E3686,MATCH(C900,user_table!$B$2:$B3686,0)),"")
</f>
        <v>2, 5</v>
      </c>
      <c r="F900" s="6" t="str">
        <f t="shared" si="2"/>
        <v>164556175</v>
      </c>
      <c r="G900" s="8">
        <v>5.0</v>
      </c>
      <c r="H900" s="9">
        <v>44688.0</v>
      </c>
      <c r="I900" s="10" t="s">
        <v>896</v>
      </c>
    </row>
    <row r="901">
      <c r="A901" s="5" t="str">
        <f t="array" ref="A901">INDEX(event_table!$A$2:$A$69, RANDBETWEEN(1, COUNTA(event_table!$A$2:$A$69)))</f>
        <v>1642</v>
      </c>
      <c r="B901" s="6">
        <f t="array" ref="B901">IFERROR(INDEX(event_table!$E$1:$E3686,MATCH(A901,event_table!$A$1:$A3686,0)),"")
</f>
        <v>6</v>
      </c>
      <c r="C901" s="7">
        <f t="shared" si="1"/>
        <v>48</v>
      </c>
      <c r="D901" s="6" t="str">
        <f t="array" ref="D901">IFERROR(INDEX(user_table!$C$2:$C3686,MATCH(C901,user_table!$B$2:$B3686,0)),"")
</f>
        <v>Maya Kusuma</v>
      </c>
      <c r="E901" s="6" t="str">
        <f t="array" ref="E901">IFERROR(INDEX(user_table!$E$2:$E3686,MATCH(C901,user_table!$B$2:$B3686,0)),"")
</f>
        <v>2, 3</v>
      </c>
      <c r="F901" s="6" t="str">
        <f t="shared" si="2"/>
        <v>16424648</v>
      </c>
      <c r="G901" s="8">
        <v>4.0</v>
      </c>
      <c r="H901" s="9">
        <v>44968.0</v>
      </c>
      <c r="I901" s="10" t="s">
        <v>897</v>
      </c>
    </row>
    <row r="902">
      <c r="A902" s="5" t="str">
        <f t="array" ref="A902">INDEX(event_table!$A$2:$A$69, RANDBETWEEN(1, COUNTA(event_table!$A$2:$A$69)))</f>
        <v>3166</v>
      </c>
      <c r="B902" s="6">
        <f t="array" ref="B902">IFERROR(INDEX(event_table!$E$1:$E3686,MATCH(A902,event_table!$A$1:$A3686,0)),"")
</f>
        <v>1</v>
      </c>
      <c r="C902" s="7">
        <f t="shared" si="1"/>
        <v>137</v>
      </c>
      <c r="D902" s="6" t="str">
        <f t="array" ref="D902">IFERROR(INDEX(user_table!$C$2:$C3686,MATCH(C902,user_table!$B$2:$B3686,0)),"")
</f>
        <v>Dina Pratama</v>
      </c>
      <c r="E902" s="6" t="str">
        <f t="array" ref="E902">IFERROR(INDEX(user_table!$E$2:$E3686,MATCH(C902,user_table!$B$2:$B3686,0)),"")
</f>
        <v>4, 4</v>
      </c>
      <c r="F902" s="6" t="str">
        <f t="shared" si="2"/>
        <v>316641137</v>
      </c>
      <c r="G902" s="8">
        <v>4.0</v>
      </c>
      <c r="H902" s="9">
        <v>44965.0</v>
      </c>
      <c r="I902" s="10" t="s">
        <v>898</v>
      </c>
    </row>
    <row r="903">
      <c r="A903" s="5" t="str">
        <f t="array" ref="A903">INDEX(event_table!$A$2:$A$69, RANDBETWEEN(1, COUNTA(event_table!$A$2:$A$69)))</f>
        <v>122</v>
      </c>
      <c r="B903" s="6">
        <f t="array" ref="B903">IFERROR(INDEX(event_table!$E$1:$E3686,MATCH(A903,event_table!$A$1:$A3686,0)),"")
</f>
        <v>2</v>
      </c>
      <c r="C903" s="7">
        <f t="shared" si="1"/>
        <v>81</v>
      </c>
      <c r="D903" s="6" t="str">
        <f t="array" ref="D903">IFERROR(INDEX(user_table!$C$2:$C3686,MATCH(C903,user_table!$B$2:$B3686,0)),"")
</f>
        <v>Lina Rahayu</v>
      </c>
      <c r="E903" s="6" t="str">
        <f t="array" ref="E903">IFERROR(INDEX(user_table!$E$2:$E3686,MATCH(C903,user_table!$B$2:$B3686,0)),"")
</f>
        <v>2, 1</v>
      </c>
      <c r="F903" s="6" t="str">
        <f t="shared" si="2"/>
        <v>1224281</v>
      </c>
      <c r="G903" s="8">
        <v>4.0</v>
      </c>
      <c r="H903" s="9">
        <v>44931.0</v>
      </c>
      <c r="I903" s="10" t="s">
        <v>899</v>
      </c>
    </row>
    <row r="904">
      <c r="A904" s="5" t="str">
        <f t="array" ref="A904">INDEX(event_table!$A$2:$A$69, RANDBETWEEN(1, COUNTA(event_table!$A$2:$A$69)))</f>
        <v>3166</v>
      </c>
      <c r="B904" s="6">
        <f t="array" ref="B904">IFERROR(INDEX(event_table!$E$1:$E3686,MATCH(A904,event_table!$A$1:$A3686,0)),"")
</f>
        <v>1</v>
      </c>
      <c r="C904" s="7">
        <f t="shared" si="1"/>
        <v>188</v>
      </c>
      <c r="D904" s="6" t="str">
        <f t="array" ref="D904">IFERROR(INDEX(user_table!$C$2:$C3686,MATCH(C904,user_table!$B$2:$B3686,0)),"")
</f>
        <v>Siti Setiawan</v>
      </c>
      <c r="E904" s="6" t="str">
        <f t="array" ref="E904">IFERROR(INDEX(user_table!$E$2:$E3686,MATCH(C904,user_table!$B$2:$B3686,0)),"")
</f>
        <v>6, 6</v>
      </c>
      <c r="F904" s="6" t="str">
        <f t="shared" si="2"/>
        <v>316641188</v>
      </c>
      <c r="G904" s="8">
        <v>4.0</v>
      </c>
      <c r="H904" s="9">
        <v>44873.0</v>
      </c>
      <c r="I904" s="10" t="s">
        <v>900</v>
      </c>
    </row>
    <row r="905">
      <c r="A905" s="5" t="str">
        <f t="array" ref="A905">INDEX(event_table!$A$2:$A$69, RANDBETWEEN(1, COUNTA(event_table!$A$2:$A$69)))</f>
        <v>3455</v>
      </c>
      <c r="B905" s="6">
        <f t="array" ref="B905">IFERROR(INDEX(event_table!$E$1:$E3686,MATCH(A905,event_table!$A$1:$A3686,0)),"")
</f>
        <v>4</v>
      </c>
      <c r="C905" s="7">
        <f t="shared" si="1"/>
        <v>123</v>
      </c>
      <c r="D905" s="6" t="str">
        <f t="array" ref="D905">IFERROR(INDEX(user_table!$C$2:$C3686,MATCH(C905,user_table!$B$2:$B3686,0)),"")
</f>
        <v>Lina Hartono</v>
      </c>
      <c r="E905" s="6" t="str">
        <f t="array" ref="E905">IFERROR(INDEX(user_table!$E$2:$E3686,MATCH(C905,user_table!$B$2:$B3686,0)),"")
</f>
        <v>6, 5</v>
      </c>
      <c r="F905" s="6" t="str">
        <f t="shared" si="2"/>
        <v>345544123</v>
      </c>
      <c r="G905" s="8">
        <v>4.0</v>
      </c>
      <c r="H905" s="9">
        <v>44823.0</v>
      </c>
      <c r="I905" s="10" t="s">
        <v>901</v>
      </c>
    </row>
    <row r="906">
      <c r="A906" s="5" t="str">
        <f t="array" ref="A906">INDEX(event_table!$A$2:$A$69, RANDBETWEEN(1, COUNTA(event_table!$A$2:$A$69)))</f>
        <v>1215</v>
      </c>
      <c r="B906" s="6">
        <f t="array" ref="B906">IFERROR(INDEX(event_table!$E$1:$E3686,MATCH(A906,event_table!$A$1:$A3686,0)),"")
</f>
        <v>2</v>
      </c>
      <c r="C906" s="7">
        <f t="shared" si="1"/>
        <v>100</v>
      </c>
      <c r="D906" s="6" t="str">
        <f t="array" ref="D906">IFERROR(INDEX(user_table!$C$2:$C3686,MATCH(C906,user_table!$B$2:$B3686,0)),"")
</f>
        <v>Lina Rahayu</v>
      </c>
      <c r="E906" s="6" t="str">
        <f t="array" ref="E906">IFERROR(INDEX(user_table!$E$2:$E3686,MATCH(C906,user_table!$B$2:$B3686,0)),"")
</f>
        <v>6, 2</v>
      </c>
      <c r="F906" s="6" t="str">
        <f t="shared" si="2"/>
        <v>121542100</v>
      </c>
      <c r="G906" s="8">
        <v>4.0</v>
      </c>
      <c r="H906" s="9">
        <v>44739.0</v>
      </c>
      <c r="I906" s="10" t="s">
        <v>902</v>
      </c>
    </row>
    <row r="907">
      <c r="A907" s="5" t="str">
        <f t="array" ref="A907">INDEX(event_table!$A$2:$A$69, RANDBETWEEN(1, COUNTA(event_table!$A$2:$A$69)))</f>
        <v>1649</v>
      </c>
      <c r="B907" s="6">
        <f t="array" ref="B907">IFERROR(INDEX(event_table!$E$1:$E3686,MATCH(A907,event_table!$A$1:$A3686,0)),"")
</f>
        <v>6</v>
      </c>
      <c r="C907" s="7">
        <f t="shared" si="1"/>
        <v>22</v>
      </c>
      <c r="D907" s="6" t="str">
        <f t="array" ref="D907">IFERROR(INDEX(user_table!$C$2:$C3686,MATCH(C907,user_table!$B$2:$B3686,0)),"")
</f>
        <v>Fajar Wijaya</v>
      </c>
      <c r="E907" s="6" t="str">
        <f t="array" ref="E907">IFERROR(INDEX(user_table!$E$2:$E3686,MATCH(C907,user_table!$B$2:$B3686,0)),"")
</f>
        <v>2, 6</v>
      </c>
      <c r="F907" s="6" t="str">
        <f t="shared" si="2"/>
        <v>16494622</v>
      </c>
      <c r="G907" s="8">
        <v>4.0</v>
      </c>
      <c r="H907" s="9">
        <v>44695.0</v>
      </c>
      <c r="I907" s="10" t="s">
        <v>903</v>
      </c>
    </row>
    <row r="908">
      <c r="A908" s="5" t="str">
        <f t="array" ref="A908">INDEX(event_table!$A$2:$A$69, RANDBETWEEN(1, COUNTA(event_table!$A$2:$A$69)))</f>
        <v>1531</v>
      </c>
      <c r="B908" s="6">
        <f t="array" ref="B908">IFERROR(INDEX(event_table!$E$1:$E3686,MATCH(A908,event_table!$A$1:$A3686,0)),"")
</f>
        <v>5</v>
      </c>
      <c r="C908" s="7">
        <f t="shared" si="1"/>
        <v>120</v>
      </c>
      <c r="D908" s="6" t="str">
        <f t="array" ref="D908">IFERROR(INDEX(user_table!$C$2:$C3686,MATCH(C908,user_table!$B$2:$B3686,0)),"")
</f>
        <v>Dewi Septiani</v>
      </c>
      <c r="E908" s="6" t="str">
        <f t="array" ref="E908">IFERROR(INDEX(user_table!$E$2:$E3686,MATCH(C908,user_table!$B$2:$B3686,0)),"")
</f>
        <v>5, 3</v>
      </c>
      <c r="F908" s="6" t="str">
        <f t="shared" si="2"/>
        <v>153145120</v>
      </c>
      <c r="G908" s="8">
        <v>4.0</v>
      </c>
      <c r="H908" s="9">
        <v>44809.0</v>
      </c>
      <c r="I908" s="10" t="s">
        <v>904</v>
      </c>
    </row>
    <row r="909">
      <c r="A909" s="5" t="str">
        <f t="array" ref="A909">INDEX(event_table!$A$2:$A$69, RANDBETWEEN(1, COUNTA(event_table!$A$2:$A$69)))</f>
        <v>122</v>
      </c>
      <c r="B909" s="6">
        <f t="array" ref="B909">IFERROR(INDEX(event_table!$E$1:$E3686,MATCH(A909,event_table!$A$1:$A3686,0)),"")
</f>
        <v>2</v>
      </c>
      <c r="C909" s="7">
        <f t="shared" si="1"/>
        <v>127</v>
      </c>
      <c r="D909" s="6" t="str">
        <f t="array" ref="D909">IFERROR(INDEX(user_table!$C$2:$C3686,MATCH(C909,user_table!$B$2:$B3686,0)),"")
</f>
        <v>Sinta Wijaya</v>
      </c>
      <c r="E909" s="6" t="str">
        <f t="array" ref="E909">IFERROR(INDEX(user_table!$E$2:$E3686,MATCH(C909,user_table!$B$2:$B3686,0)),"")
</f>
        <v>6, 4</v>
      </c>
      <c r="F909" s="6" t="str">
        <f t="shared" si="2"/>
        <v>12242127</v>
      </c>
      <c r="G909" s="8">
        <v>4.0</v>
      </c>
      <c r="H909" s="9">
        <v>44755.0</v>
      </c>
      <c r="I909" s="10" t="s">
        <v>905</v>
      </c>
    </row>
    <row r="910">
      <c r="A910" s="5" t="str">
        <f t="array" ref="A910">INDEX(event_table!$A$2:$A$69, RANDBETWEEN(1, COUNTA(event_table!$A$2:$A$69)))</f>
        <v>1636</v>
      </c>
      <c r="B910" s="6">
        <f t="array" ref="B910">IFERROR(INDEX(event_table!$E$1:$E3686,MATCH(A910,event_table!$A$1:$A3686,0)),"")
</f>
        <v>6</v>
      </c>
      <c r="C910" s="7">
        <f t="shared" si="1"/>
        <v>117</v>
      </c>
      <c r="D910" s="6" t="str">
        <f t="array" ref="D910">IFERROR(INDEX(user_table!$C$2:$C3686,MATCH(C910,user_table!$B$2:$B3686,0)),"")
</f>
        <v>Wahyu Sari</v>
      </c>
      <c r="E910" s="6" t="str">
        <f t="array" ref="E910">IFERROR(INDEX(user_table!$E$2:$E3686,MATCH(C910,user_table!$B$2:$B3686,0)),"")
</f>
        <v>4, 2</v>
      </c>
      <c r="F910" s="6" t="str">
        <f t="shared" si="2"/>
        <v>163646117</v>
      </c>
      <c r="G910" s="8">
        <v>4.0</v>
      </c>
      <c r="H910" s="9">
        <v>44730.0</v>
      </c>
      <c r="I910" s="10" t="s">
        <v>906</v>
      </c>
    </row>
    <row r="911">
      <c r="A911" s="5" t="str">
        <f t="array" ref="A911">INDEX(event_table!$A$2:$A$69, RANDBETWEEN(1, COUNTA(event_table!$A$2:$A$69)))</f>
        <v>1649</v>
      </c>
      <c r="B911" s="6">
        <f t="array" ref="B911">IFERROR(INDEX(event_table!$E$1:$E3686,MATCH(A911,event_table!$A$1:$A3686,0)),"")
</f>
        <v>6</v>
      </c>
      <c r="C911" s="7">
        <f t="shared" si="1"/>
        <v>152</v>
      </c>
      <c r="D911" s="6" t="str">
        <f t="array" ref="D911">IFERROR(INDEX(user_table!$C$2:$C3686,MATCH(C911,user_table!$B$2:$B3686,0)),"")
</f>
        <v>Budi Kurniawan</v>
      </c>
      <c r="E911" s="6" t="str">
        <f t="array" ref="E911">IFERROR(INDEX(user_table!$E$2:$E3686,MATCH(C911,user_table!$B$2:$B3686,0)),"")
</f>
        <v>5, 5</v>
      </c>
      <c r="F911" s="6" t="str">
        <f t="shared" si="2"/>
        <v>164946152</v>
      </c>
      <c r="G911" s="8">
        <v>4.0</v>
      </c>
      <c r="H911" s="9">
        <v>44689.0</v>
      </c>
      <c r="I911" s="10" t="s">
        <v>907</v>
      </c>
    </row>
    <row r="912">
      <c r="A912" s="5" t="str">
        <f t="array" ref="A912">INDEX(event_table!$A$2:$A$69, RANDBETWEEN(1, COUNTA(event_table!$A$2:$A$69)))</f>
        <v>1110</v>
      </c>
      <c r="B912" s="6">
        <f t="array" ref="B912">IFERROR(INDEX(event_table!$E$1:$E3686,MATCH(A912,event_table!$A$1:$A3686,0)),"")
</f>
        <v>1</v>
      </c>
      <c r="C912" s="7">
        <f t="shared" si="1"/>
        <v>170</v>
      </c>
      <c r="D912" s="6" t="str">
        <f t="array" ref="D912">IFERROR(INDEX(user_table!$C$2:$C3686,MATCH(C912,user_table!$B$2:$B3686,0)),"")
</f>
        <v>Andi Sari</v>
      </c>
      <c r="E912" s="6" t="str">
        <f t="array" ref="E912">IFERROR(INDEX(user_table!$E$2:$E3686,MATCH(C912,user_table!$B$2:$B3686,0)),"")
</f>
        <v>4, 6</v>
      </c>
      <c r="F912" s="6" t="str">
        <f t="shared" si="2"/>
        <v>111031170</v>
      </c>
      <c r="G912" s="8">
        <v>3.0</v>
      </c>
      <c r="H912" s="9">
        <v>45041.0</v>
      </c>
      <c r="I912" s="10" t="s">
        <v>908</v>
      </c>
    </row>
    <row r="913">
      <c r="A913" s="5" t="str">
        <f t="array" ref="A913">INDEX(event_table!$A$2:$A$69, RANDBETWEEN(1, COUNTA(event_table!$A$2:$A$69)))</f>
        <v>3165</v>
      </c>
      <c r="B913" s="6">
        <f t="array" ref="B913">IFERROR(INDEX(event_table!$E$1:$E3686,MATCH(A913,event_table!$A$1:$A3686,0)),"")
</f>
        <v>1</v>
      </c>
      <c r="C913" s="7">
        <f t="shared" si="1"/>
        <v>139</v>
      </c>
      <c r="D913" s="6" t="str">
        <f t="array" ref="D913">IFERROR(INDEX(user_table!$C$2:$C3686,MATCH(C913,user_table!$B$2:$B3686,0)),"")
</f>
        <v>Sinta Kurniawan</v>
      </c>
      <c r="E913" s="6" t="str">
        <f t="array" ref="E913">IFERROR(INDEX(user_table!$E$2:$E3686,MATCH(C913,user_table!$B$2:$B3686,0)),"")
</f>
        <v>4, 6</v>
      </c>
      <c r="F913" s="6" t="str">
        <f t="shared" si="2"/>
        <v>316531139</v>
      </c>
      <c r="G913" s="8">
        <v>3.0</v>
      </c>
      <c r="H913" s="9">
        <v>44808.0</v>
      </c>
      <c r="I913" s="10" t="s">
        <v>909</v>
      </c>
    </row>
    <row r="914">
      <c r="A914" s="5" t="str">
        <f t="array" ref="A914">INDEX(event_table!$A$2:$A$69, RANDBETWEEN(1, COUNTA(event_table!$A$2:$A$69)))</f>
        <v>1644</v>
      </c>
      <c r="B914" s="6">
        <f t="array" ref="B914">IFERROR(INDEX(event_table!$E$1:$E3686,MATCH(A914,event_table!$A$1:$A3686,0)),"")
</f>
        <v>6</v>
      </c>
      <c r="C914" s="7">
        <f t="shared" si="1"/>
        <v>170</v>
      </c>
      <c r="D914" s="6" t="str">
        <f t="array" ref="D914">IFERROR(INDEX(user_table!$C$2:$C3686,MATCH(C914,user_table!$B$2:$B3686,0)),"")
</f>
        <v>Andi Sari</v>
      </c>
      <c r="E914" s="6" t="str">
        <f t="array" ref="E914">IFERROR(INDEX(user_table!$E$2:$E3686,MATCH(C914,user_table!$B$2:$B3686,0)),"")
</f>
        <v>4, 6</v>
      </c>
      <c r="F914" s="6" t="str">
        <f t="shared" si="2"/>
        <v>164436170</v>
      </c>
      <c r="G914" s="8">
        <v>3.0</v>
      </c>
      <c r="H914" s="9">
        <v>44721.0</v>
      </c>
      <c r="I914" s="10" t="s">
        <v>910</v>
      </c>
    </row>
    <row r="915">
      <c r="A915" s="5" t="str">
        <f t="array" ref="A915">INDEX(event_table!$A$2:$A$69, RANDBETWEEN(1, COUNTA(event_table!$A$2:$A$69)))</f>
        <v>3658</v>
      </c>
      <c r="B915" s="6">
        <f t="array" ref="B915">IFERROR(INDEX(event_table!$E$1:$E3686,MATCH(A915,event_table!$A$1:$A3686,0)),"")
</f>
        <v>6</v>
      </c>
      <c r="C915" s="7">
        <f t="shared" si="1"/>
        <v>121</v>
      </c>
      <c r="D915" s="6" t="str">
        <f t="array" ref="D915">IFERROR(INDEX(user_table!$C$2:$C3686,MATCH(C915,user_table!$B$2:$B3686,0)),"")
</f>
        <v>Wahyu Saputra</v>
      </c>
      <c r="E915" s="6" t="str">
        <f t="array" ref="E915">IFERROR(INDEX(user_table!$E$2:$E3686,MATCH(C915,user_table!$B$2:$B3686,0)),"")
</f>
        <v>6, 3</v>
      </c>
      <c r="F915" s="6" t="str">
        <f t="shared" si="2"/>
        <v>365836121</v>
      </c>
      <c r="G915" s="8">
        <v>3.0</v>
      </c>
      <c r="H915" s="9">
        <v>45127.0</v>
      </c>
      <c r="I915" s="10" t="s">
        <v>911</v>
      </c>
    </row>
    <row r="916">
      <c r="A916" s="5" t="str">
        <f t="array" ref="A916">INDEX(event_table!$A$2:$A$69, RANDBETWEEN(1, COUNTA(event_table!$A$2:$A$69)))</f>
        <v>1333</v>
      </c>
      <c r="B916" s="6">
        <f t="array" ref="B916">IFERROR(INDEX(event_table!$E$1:$E3686,MATCH(A916,event_table!$A$1:$A3686,0)),"")
</f>
        <v>3</v>
      </c>
      <c r="C916" s="7">
        <f t="shared" si="1"/>
        <v>40</v>
      </c>
      <c r="D916" s="6" t="str">
        <f t="array" ref="D916">IFERROR(INDEX(user_table!$C$2:$C3686,MATCH(C916,user_table!$B$2:$B3686,0)),"")
</f>
        <v>Joko Sari</v>
      </c>
      <c r="E916" s="6" t="str">
        <f t="array" ref="E916">IFERROR(INDEX(user_table!$E$2:$E3686,MATCH(C916,user_table!$B$2:$B3686,0)),"")
</f>
        <v>5, 6</v>
      </c>
      <c r="F916" s="6" t="str">
        <f t="shared" si="2"/>
        <v>13333340</v>
      </c>
      <c r="G916" s="8">
        <v>3.0</v>
      </c>
      <c r="H916" s="9">
        <v>44687.0</v>
      </c>
      <c r="I916" s="10" t="s">
        <v>912</v>
      </c>
    </row>
    <row r="917">
      <c r="A917" s="5" t="str">
        <f t="array" ref="A917">INDEX(event_table!$A$2:$A$69, RANDBETWEEN(1, COUNTA(event_table!$A$2:$A$69)))</f>
        <v>3658</v>
      </c>
      <c r="B917" s="6">
        <f t="array" ref="B917">IFERROR(INDEX(event_table!$E$1:$E3686,MATCH(A917,event_table!$A$1:$A3686,0)),"")
</f>
        <v>6</v>
      </c>
      <c r="C917" s="7">
        <f t="shared" si="1"/>
        <v>34</v>
      </c>
      <c r="D917" s="6" t="str">
        <f t="array" ref="D917">IFERROR(INDEX(user_table!$C$2:$C3686,MATCH(C917,user_table!$B$2:$B3686,0)),"")
</f>
        <v>Bambang Putri</v>
      </c>
      <c r="E917" s="6" t="str">
        <f t="array" ref="E917">IFERROR(INDEX(user_table!$E$2:$E3686,MATCH(C917,user_table!$B$2:$B3686,0)),"")
</f>
        <v>3, 5</v>
      </c>
      <c r="F917" s="6" t="str">
        <f t="shared" si="2"/>
        <v>36583634</v>
      </c>
      <c r="G917" s="8">
        <v>3.0</v>
      </c>
      <c r="H917" s="9">
        <v>45191.0</v>
      </c>
      <c r="I917" s="10" t="s">
        <v>913</v>
      </c>
    </row>
    <row r="918">
      <c r="A918" s="5" t="str">
        <f t="array" ref="A918">INDEX(event_table!$A$2:$A$69, RANDBETWEEN(1, COUNTA(event_table!$A$2:$A$69)))</f>
        <v>1648</v>
      </c>
      <c r="B918" s="6">
        <f t="array" ref="B918">IFERROR(INDEX(event_table!$E$1:$E3686,MATCH(A918,event_table!$A$1:$A3686,0)),"")
</f>
        <v>6</v>
      </c>
      <c r="C918" s="7">
        <f t="shared" si="1"/>
        <v>180</v>
      </c>
      <c r="D918" s="6" t="str">
        <f t="array" ref="D918">IFERROR(INDEX(user_table!$C$2:$C3686,MATCH(C918,user_table!$B$2:$B3686,0)),"")
</f>
        <v>Andi Susanto</v>
      </c>
      <c r="E918" s="6" t="str">
        <f t="array" ref="E918">IFERROR(INDEX(user_table!$E$2:$E3686,MATCH(C918,user_table!$B$2:$B3686,0)),"")
</f>
        <v>6, 5</v>
      </c>
      <c r="F918" s="6" t="str">
        <f t="shared" si="2"/>
        <v>164836180</v>
      </c>
      <c r="G918" s="8">
        <v>3.0</v>
      </c>
      <c r="H918" s="9">
        <v>45158.0</v>
      </c>
      <c r="I918" s="10" t="s">
        <v>914</v>
      </c>
    </row>
    <row r="919">
      <c r="A919" s="5" t="str">
        <f t="array" ref="A919">INDEX(event_table!$A$2:$A$69, RANDBETWEEN(1, COUNTA(event_table!$A$2:$A$69)))</f>
        <v>1334</v>
      </c>
      <c r="B919" s="6">
        <f t="array" ref="B919">IFERROR(INDEX(event_table!$E$1:$E3686,MATCH(A919,event_table!$A$1:$A3686,0)),"")
</f>
        <v>3</v>
      </c>
      <c r="C919" s="7">
        <f t="shared" si="1"/>
        <v>177</v>
      </c>
      <c r="D919" s="6" t="str">
        <f t="array" ref="D919">IFERROR(INDEX(user_table!$C$2:$C3686,MATCH(C919,user_table!$B$2:$B3686,0)),"")
</f>
        <v>Andi Susanto</v>
      </c>
      <c r="E919" s="6" t="str">
        <f t="array" ref="E919">IFERROR(INDEX(user_table!$E$2:$E3686,MATCH(C919,user_table!$B$2:$B3686,0)),"")
</f>
        <v>2, 6</v>
      </c>
      <c r="F919" s="6" t="str">
        <f t="shared" si="2"/>
        <v>133433177</v>
      </c>
      <c r="G919" s="8">
        <v>3.0</v>
      </c>
      <c r="H919" s="9">
        <v>45101.0</v>
      </c>
      <c r="I919" s="10" t="s">
        <v>549</v>
      </c>
    </row>
    <row r="920">
      <c r="A920" s="5" t="str">
        <f t="array" ref="A920">INDEX(event_table!$A$2:$A$69, RANDBETWEEN(1, COUNTA(event_table!$A$2:$A$69)))</f>
        <v>1333</v>
      </c>
      <c r="B920" s="6">
        <f t="array" ref="B920">IFERROR(INDEX(event_table!$E$1:$E3686,MATCH(A920,event_table!$A$1:$A3686,0)),"")
</f>
        <v>3</v>
      </c>
      <c r="C920" s="7">
        <f t="shared" si="1"/>
        <v>183</v>
      </c>
      <c r="D920" s="6" t="str">
        <f t="array" ref="D920">IFERROR(INDEX(user_table!$C$2:$C3686,MATCH(C920,user_table!$B$2:$B3686,0)),"")
</f>
        <v>Siti Nugroho</v>
      </c>
      <c r="E920" s="6" t="str">
        <f t="array" ref="E920">IFERROR(INDEX(user_table!$E$2:$E3686,MATCH(C920,user_table!$B$2:$B3686,0)),"")
</f>
        <v>4, 6</v>
      </c>
      <c r="F920" s="6" t="str">
        <f t="shared" si="2"/>
        <v>133323183</v>
      </c>
      <c r="G920" s="8">
        <v>2.0</v>
      </c>
      <c r="H920" s="9">
        <v>45048.0</v>
      </c>
      <c r="I920" s="10" t="s">
        <v>915</v>
      </c>
    </row>
    <row r="921">
      <c r="A921" s="5" t="str">
        <f t="array" ref="A921">INDEX(event_table!$A$2:$A$69, RANDBETWEEN(1, COUNTA(event_table!$A$2:$A$69)))</f>
        <v>1425</v>
      </c>
      <c r="B921" s="6">
        <f t="array" ref="B921">IFERROR(INDEX(event_table!$E$1:$E3686,MATCH(A921,event_table!$A$1:$A3686,0)),"")
</f>
        <v>4</v>
      </c>
      <c r="C921" s="7">
        <f t="shared" si="1"/>
        <v>121</v>
      </c>
      <c r="D921" s="6" t="str">
        <f t="array" ref="D921">IFERROR(INDEX(user_table!$C$2:$C3686,MATCH(C921,user_table!$B$2:$B3686,0)),"")
</f>
        <v>Wahyu Saputra</v>
      </c>
      <c r="E921" s="6" t="str">
        <f t="array" ref="E921">IFERROR(INDEX(user_table!$E$2:$E3686,MATCH(C921,user_table!$B$2:$B3686,0)),"")
</f>
        <v>6, 3</v>
      </c>
      <c r="F921" s="6" t="str">
        <f t="shared" si="2"/>
        <v>142524121</v>
      </c>
      <c r="G921" s="8">
        <v>2.0</v>
      </c>
      <c r="H921" s="9">
        <v>44942.0</v>
      </c>
      <c r="I921" s="10" t="s">
        <v>916</v>
      </c>
    </row>
    <row r="922">
      <c r="A922" s="5" t="str">
        <f t="array" ref="A922">INDEX(event_table!$A$2:$A$69, RANDBETWEEN(1, COUNTA(event_table!$A$2:$A$69)))</f>
        <v>118</v>
      </c>
      <c r="B922" s="6">
        <f t="array" ref="B922">IFERROR(INDEX(event_table!$E$1:$E3686,MATCH(A922,event_table!$A$1:$A3686,0)),"")
</f>
        <v>1</v>
      </c>
      <c r="C922" s="7">
        <f t="shared" si="1"/>
        <v>150</v>
      </c>
      <c r="D922" s="6" t="str">
        <f t="array" ref="D922">IFERROR(INDEX(user_table!$C$2:$C3686,MATCH(C922,user_table!$B$2:$B3686,0)),"")
</f>
        <v>Dina Susanto</v>
      </c>
      <c r="E922" s="6" t="str">
        <f t="array" ref="E922">IFERROR(INDEX(user_table!$E$2:$E3686,MATCH(C922,user_table!$B$2:$B3686,0)),"")
</f>
        <v>2, 6</v>
      </c>
      <c r="F922" s="6" t="str">
        <f t="shared" si="2"/>
        <v>11821150</v>
      </c>
      <c r="G922" s="8">
        <v>2.0</v>
      </c>
      <c r="H922" s="9">
        <v>44699.0</v>
      </c>
      <c r="I922" s="10" t="s">
        <v>917</v>
      </c>
    </row>
    <row r="923">
      <c r="A923" s="5" t="str">
        <f t="array" ref="A923">INDEX(event_table!$A$2:$A$69, RANDBETWEEN(1, COUNTA(event_table!$A$2:$A$69)))</f>
        <v>1642</v>
      </c>
      <c r="B923" s="6">
        <f t="array" ref="B923">IFERROR(INDEX(event_table!$E$1:$E3686,MATCH(A923,event_table!$A$1:$A3686,0)),"")
</f>
        <v>6</v>
      </c>
      <c r="C923" s="7">
        <f t="shared" si="1"/>
        <v>40</v>
      </c>
      <c r="D923" s="6" t="str">
        <f t="array" ref="D923">IFERROR(INDEX(user_table!$C$2:$C3686,MATCH(C923,user_table!$B$2:$B3686,0)),"")
</f>
        <v>Joko Sari</v>
      </c>
      <c r="E923" s="6" t="str">
        <f t="array" ref="E923">IFERROR(INDEX(user_table!$E$2:$E3686,MATCH(C923,user_table!$B$2:$B3686,0)),"")
</f>
        <v>5, 6</v>
      </c>
      <c r="F923" s="6" t="str">
        <f t="shared" si="2"/>
        <v>16422640</v>
      </c>
      <c r="G923" s="8">
        <v>2.0</v>
      </c>
      <c r="H923" s="9">
        <v>44485.0</v>
      </c>
      <c r="I923" s="10" t="s">
        <v>918</v>
      </c>
    </row>
    <row r="924">
      <c r="A924" s="5" t="str">
        <f t="array" ref="A924">INDEX(event_table!$A$2:$A$69, RANDBETWEEN(1, COUNTA(event_table!$A$2:$A$69)))</f>
        <v>1421</v>
      </c>
      <c r="B924" s="6">
        <f t="array" ref="B924">IFERROR(INDEX(event_table!$E$1:$E3686,MATCH(A924,event_table!$A$1:$A3686,0)),"")
</f>
        <v>4</v>
      </c>
      <c r="C924" s="7">
        <f t="shared" si="1"/>
        <v>47</v>
      </c>
      <c r="D924" s="6" t="str">
        <f t="array" ref="D924">IFERROR(INDEX(user_table!$C$2:$C3686,MATCH(C924,user_table!$B$2:$B3686,0)),"")
</f>
        <v>Fandi Kurniawan</v>
      </c>
      <c r="E924" s="6" t="str">
        <f t="array" ref="E924">IFERROR(INDEX(user_table!$E$2:$E3686,MATCH(C924,user_table!$B$2:$B3686,0)),"")
</f>
        <v>5, 6</v>
      </c>
      <c r="F924" s="6" t="str">
        <f t="shared" si="2"/>
        <v>14212447</v>
      </c>
      <c r="G924" s="8">
        <v>2.0</v>
      </c>
      <c r="H924" s="9">
        <v>44473.0</v>
      </c>
      <c r="I924" s="10" t="s">
        <v>919</v>
      </c>
    </row>
    <row r="925">
      <c r="A925" s="5" t="str">
        <f t="array" ref="A925">INDEX(event_table!$A$2:$A$69, RANDBETWEEN(1, COUNTA(event_table!$A$2:$A$69)))</f>
        <v>3455</v>
      </c>
      <c r="B925" s="6">
        <f t="array" ref="B925">IFERROR(INDEX(event_table!$E$1:$E3686,MATCH(A925,event_table!$A$1:$A3686,0)),"")
</f>
        <v>4</v>
      </c>
      <c r="C925" s="7">
        <f t="shared" si="1"/>
        <v>87</v>
      </c>
      <c r="D925" s="6" t="str">
        <f t="array" ref="D925">IFERROR(INDEX(user_table!$C$2:$C3686,MATCH(C925,user_table!$B$2:$B3686,0)),"")
</f>
        <v>Budi Setiawan</v>
      </c>
      <c r="E925" s="6" t="str">
        <f t="array" ref="E925">IFERROR(INDEX(user_table!$E$2:$E3686,MATCH(C925,user_table!$B$2:$B3686,0)),"")
</f>
        <v>3, 5</v>
      </c>
      <c r="F925" s="6" t="str">
        <f t="shared" si="2"/>
        <v>34552487</v>
      </c>
      <c r="G925" s="8">
        <v>2.0</v>
      </c>
      <c r="H925" s="9">
        <v>45170.0</v>
      </c>
      <c r="I925" s="10" t="s">
        <v>920</v>
      </c>
    </row>
    <row r="926">
      <c r="A926" s="5" t="str">
        <f t="array" ref="A926">INDEX(event_table!$A$2:$A$69, RANDBETWEEN(1, COUNTA(event_table!$A$2:$A$69)))</f>
        <v>3167</v>
      </c>
      <c r="B926" s="6">
        <f t="array" ref="B926">IFERROR(INDEX(event_table!$E$1:$E3686,MATCH(A926,event_table!$A$1:$A3686,0)),"")
</f>
        <v>1</v>
      </c>
      <c r="C926" s="7">
        <f t="shared" si="1"/>
        <v>117</v>
      </c>
      <c r="D926" s="6" t="str">
        <f t="array" ref="D926">IFERROR(INDEX(user_table!$C$2:$C3686,MATCH(C926,user_table!$B$2:$B3686,0)),"")
</f>
        <v>Wahyu Sari</v>
      </c>
      <c r="E926" s="6" t="str">
        <f t="array" ref="E926">IFERROR(INDEX(user_table!$E$2:$E3686,MATCH(C926,user_table!$B$2:$B3686,0)),"")
</f>
        <v>4, 2</v>
      </c>
      <c r="F926" s="6" t="str">
        <f t="shared" si="2"/>
        <v>316721117</v>
      </c>
      <c r="G926" s="8">
        <v>2.0</v>
      </c>
      <c r="H926" s="9">
        <v>45064.0</v>
      </c>
      <c r="I926" s="10" t="s">
        <v>921</v>
      </c>
    </row>
    <row r="927">
      <c r="A927" s="5" t="str">
        <f t="array" ref="A927">INDEX(event_table!$A$2:$A$69, RANDBETWEEN(1, COUNTA(event_table!$A$2:$A$69)))</f>
        <v>1645</v>
      </c>
      <c r="B927" s="6">
        <f t="array" ref="B927">IFERROR(INDEX(event_table!$E$1:$E3686,MATCH(A927,event_table!$A$1:$A3686,0)),"")
</f>
        <v>6</v>
      </c>
      <c r="C927" s="7">
        <f t="shared" si="1"/>
        <v>83</v>
      </c>
      <c r="D927" s="6" t="str">
        <f t="array" ref="D927">IFERROR(INDEX(user_table!$C$2:$C3686,MATCH(C927,user_table!$B$2:$B3686,0)),"")
</f>
        <v>Sinta Nurhayati</v>
      </c>
      <c r="E927" s="6" t="str">
        <f t="array" ref="E927">IFERROR(INDEX(user_table!$E$2:$E3686,MATCH(C927,user_table!$B$2:$B3686,0)),"")
</f>
        <v>5, 5</v>
      </c>
      <c r="F927" s="6" t="str">
        <f t="shared" si="2"/>
        <v>16452683</v>
      </c>
      <c r="G927" s="8">
        <v>2.0</v>
      </c>
      <c r="H927" s="9">
        <v>45048.0</v>
      </c>
      <c r="I927" s="10" t="s">
        <v>922</v>
      </c>
    </row>
    <row r="928">
      <c r="A928" s="5" t="str">
        <f t="array" ref="A928">INDEX(event_table!$A$2:$A$69, RANDBETWEEN(1, COUNTA(event_table!$A$2:$A$69)))</f>
        <v>1640</v>
      </c>
      <c r="B928" s="6">
        <f t="array" ref="B928">IFERROR(INDEX(event_table!$E$1:$E3686,MATCH(A928,event_table!$A$1:$A3686,0)),"")
</f>
        <v>6</v>
      </c>
      <c r="C928" s="7">
        <f t="shared" si="1"/>
        <v>148</v>
      </c>
      <c r="D928" s="6" t="str">
        <f t="array" ref="D928">IFERROR(INDEX(user_table!$C$2:$C3686,MATCH(C928,user_table!$B$2:$B3686,0)),"")
</f>
        <v>Fajar Setiawan</v>
      </c>
      <c r="E928" s="6" t="str">
        <f t="array" ref="E928">IFERROR(INDEX(user_table!$E$2:$E3686,MATCH(C928,user_table!$B$2:$B3686,0)),"")
</f>
        <v>6, 4</v>
      </c>
      <c r="F928" s="6" t="str">
        <f t="shared" si="2"/>
        <v>164016148</v>
      </c>
      <c r="G928" s="8">
        <v>1.0</v>
      </c>
      <c r="H928" s="9">
        <v>45262.0</v>
      </c>
      <c r="I928" s="10" t="s">
        <v>923</v>
      </c>
    </row>
    <row r="929">
      <c r="A929" s="5" t="str">
        <f t="array" ref="A929">INDEX(event_table!$A$2:$A$69, RANDBETWEEN(1, COUNTA(event_table!$A$2:$A$69)))</f>
        <v>122</v>
      </c>
      <c r="B929" s="6">
        <f t="array" ref="B929">IFERROR(INDEX(event_table!$E$1:$E3686,MATCH(A929,event_table!$A$1:$A3686,0)),"")
</f>
        <v>2</v>
      </c>
      <c r="C929" s="7">
        <f t="shared" si="1"/>
        <v>95</v>
      </c>
      <c r="D929" s="6" t="str">
        <f t="array" ref="D929">IFERROR(INDEX(user_table!$C$2:$C3686,MATCH(C929,user_table!$B$2:$B3686,0)),"")
</f>
        <v>Ani Pratama</v>
      </c>
      <c r="E929" s="6" t="str">
        <f t="array" ref="E929">IFERROR(INDEX(user_table!$E$2:$E3686,MATCH(C929,user_table!$B$2:$B3686,0)),"")
</f>
        <v>3, 5</v>
      </c>
      <c r="F929" s="6" t="str">
        <f t="shared" si="2"/>
        <v>1221295</v>
      </c>
      <c r="G929" s="8">
        <v>1.0</v>
      </c>
      <c r="H929" s="9">
        <v>45243.0</v>
      </c>
      <c r="I929" s="10" t="s">
        <v>924</v>
      </c>
    </row>
    <row r="930">
      <c r="A930" s="5" t="str">
        <f t="array" ref="A930">INDEX(event_table!$A$2:$A$69, RANDBETWEEN(1, COUNTA(event_table!$A$2:$A$69)))</f>
        <v>1644</v>
      </c>
      <c r="B930" s="6">
        <f t="array" ref="B930">IFERROR(INDEX(event_table!$E$1:$E3686,MATCH(A930,event_table!$A$1:$A3686,0)),"")
</f>
        <v>6</v>
      </c>
      <c r="C930" s="7">
        <f t="shared" si="1"/>
        <v>187</v>
      </c>
      <c r="D930" s="6" t="str">
        <f t="array" ref="D930">IFERROR(INDEX(user_table!$C$2:$C3686,MATCH(C930,user_table!$B$2:$B3686,0)),"")
</f>
        <v>Bambang Saputra</v>
      </c>
      <c r="E930" s="6" t="str">
        <f t="array" ref="E930">IFERROR(INDEX(user_table!$E$2:$E3686,MATCH(C930,user_table!$B$2:$B3686,0)),"")
</f>
        <v>3, 1</v>
      </c>
      <c r="F930" s="6" t="str">
        <f t="shared" si="2"/>
        <v>164416187</v>
      </c>
      <c r="G930" s="8">
        <v>1.0</v>
      </c>
      <c r="H930" s="9">
        <v>45264.0</v>
      </c>
      <c r="I930" s="10" t="s">
        <v>925</v>
      </c>
    </row>
    <row r="931">
      <c r="A931" s="5" t="str">
        <f t="array" ref="A931">INDEX(event_table!$A$2:$A$69, RANDBETWEEN(1, COUNTA(event_table!$A$2:$A$69)))</f>
        <v>1651</v>
      </c>
      <c r="B931" s="6">
        <f t="array" ref="B931">IFERROR(INDEX(event_table!$E$1:$E3686,MATCH(A931,event_table!$A$1:$A3686,0)),"")
</f>
        <v>6</v>
      </c>
      <c r="C931" s="7">
        <f t="shared" si="1"/>
        <v>124</v>
      </c>
      <c r="D931" s="6" t="str">
        <f t="array" ref="D931">IFERROR(INDEX(user_table!$C$2:$C3686,MATCH(C931,user_table!$B$2:$B3686,0)),"")
</f>
        <v>Fandi Setiawan</v>
      </c>
      <c r="E931" s="6" t="str">
        <f t="array" ref="E931">IFERROR(INDEX(user_table!$E$2:$E3686,MATCH(C931,user_table!$B$2:$B3686,0)),"")
</f>
        <v>5, 4</v>
      </c>
      <c r="F931" s="6" t="str">
        <f t="shared" si="2"/>
        <v>165116124</v>
      </c>
      <c r="G931" s="8">
        <v>1.0</v>
      </c>
      <c r="H931" s="9">
        <v>45250.0</v>
      </c>
      <c r="I931" s="10" t="s">
        <v>926</v>
      </c>
    </row>
    <row r="932">
      <c r="A932" s="5" t="str">
        <f t="array" ref="A932">INDEX(event_table!$A$2:$A$69, RANDBETWEEN(1, COUNTA(event_table!$A$2:$A$69)))</f>
        <v>113</v>
      </c>
      <c r="B932" s="6">
        <f t="array" ref="B932">IFERROR(INDEX(event_table!$E$1:$E3686,MATCH(A932,event_table!$A$1:$A3686,0)),"")
</f>
        <v>1</v>
      </c>
      <c r="C932" s="7">
        <f t="shared" si="1"/>
        <v>161</v>
      </c>
      <c r="D932" s="6" t="str">
        <f t="array" ref="D932">IFERROR(INDEX(user_table!$C$2:$C3686,MATCH(C932,user_table!$B$2:$B3686,0)),"")
</f>
        <v>Lina Nugroho</v>
      </c>
      <c r="E932" s="6" t="str">
        <f t="array" ref="E932">IFERROR(INDEX(user_table!$E$2:$E3686,MATCH(C932,user_table!$B$2:$B3686,0)),"")
</f>
        <v>6, 5</v>
      </c>
      <c r="F932" s="6" t="str">
        <f t="shared" si="2"/>
        <v>11311161</v>
      </c>
      <c r="G932" s="8">
        <v>1.0</v>
      </c>
      <c r="H932" s="9">
        <v>45143.0</v>
      </c>
      <c r="I932" s="10" t="s">
        <v>927</v>
      </c>
    </row>
    <row r="933">
      <c r="A933" s="5" t="str">
        <f t="array" ref="A933">INDEX(event_table!$A$2:$A$69, RANDBETWEEN(1, COUNTA(event_table!$A$2:$A$69)))</f>
        <v>1421</v>
      </c>
      <c r="B933" s="6">
        <f t="array" ref="B933">IFERROR(INDEX(event_table!$E$1:$E3686,MATCH(A933,event_table!$A$1:$A3686,0)),"")
</f>
        <v>4</v>
      </c>
      <c r="C933" s="7">
        <f t="shared" si="1"/>
        <v>154</v>
      </c>
      <c r="D933" s="6" t="str">
        <f t="array" ref="D933">IFERROR(INDEX(user_table!$C$2:$C3686,MATCH(C933,user_table!$B$2:$B3686,0)),"")
</f>
        <v>Dian Nurhayati</v>
      </c>
      <c r="E933" s="6" t="str">
        <f t="array" ref="E933">IFERROR(INDEX(user_table!$E$2:$E3686,MATCH(C933,user_table!$B$2:$B3686,0)),"")
</f>
        <v>5, 3</v>
      </c>
      <c r="F933" s="6" t="str">
        <f t="shared" si="2"/>
        <v>142114154</v>
      </c>
      <c r="G933" s="8">
        <v>1.0</v>
      </c>
      <c r="H933" s="9">
        <v>45143.0</v>
      </c>
      <c r="I933" s="10" t="s">
        <v>928</v>
      </c>
    </row>
    <row r="934">
      <c r="A934" s="5" t="str">
        <f t="array" ref="A934">INDEX(event_table!$A$2:$A$69, RANDBETWEEN(1, COUNTA(event_table!$A$2:$A$69)))</f>
        <v>3163</v>
      </c>
      <c r="B934" s="6">
        <f t="array" ref="B934">IFERROR(INDEX(event_table!$E$1:$E3686,MATCH(A934,event_table!$A$1:$A3686,0)),"")
</f>
        <v>1</v>
      </c>
      <c r="C934" s="7">
        <f t="shared" si="1"/>
        <v>28</v>
      </c>
      <c r="D934" s="6" t="str">
        <f t="array" ref="D934">IFERROR(INDEX(user_table!$C$2:$C3686,MATCH(C934,user_table!$B$2:$B3686,0)),"")
</f>
        <v>Fandi Putri</v>
      </c>
      <c r="E934" s="6" t="str">
        <f t="array" ref="E934">IFERROR(INDEX(user_table!$E$2:$E3686,MATCH(C934,user_table!$B$2:$B3686,0)),"")
</f>
        <v>5, 1</v>
      </c>
      <c r="F934" s="6" t="str">
        <f t="shared" si="2"/>
        <v>31631128</v>
      </c>
      <c r="G934" s="8">
        <v>1.0</v>
      </c>
      <c r="H934" s="9">
        <v>45082.0</v>
      </c>
      <c r="I934" s="10" t="s">
        <v>929</v>
      </c>
    </row>
    <row r="935">
      <c r="A935" s="5" t="str">
        <f t="array" ref="A935">INDEX(event_table!$A$2:$A$69, RANDBETWEEN(1, COUNTA(event_table!$A$2:$A$69)))</f>
        <v>116</v>
      </c>
      <c r="B935" s="6">
        <f t="array" ref="B935">IFERROR(INDEX(event_table!$E$1:$E3686,MATCH(A935,event_table!$A$1:$A3686,0)),"")
</f>
        <v>1</v>
      </c>
      <c r="C935" s="7">
        <f t="shared" si="1"/>
        <v>100</v>
      </c>
      <c r="D935" s="6" t="str">
        <f t="array" ref="D935">IFERROR(INDEX(user_table!$C$2:$C3686,MATCH(C935,user_table!$B$2:$B3686,0)),"")
</f>
        <v>Lina Rahayu</v>
      </c>
      <c r="E935" s="6" t="str">
        <f t="array" ref="E935">IFERROR(INDEX(user_table!$E$2:$E3686,MATCH(C935,user_table!$B$2:$B3686,0)),"")
</f>
        <v>6, 2</v>
      </c>
      <c r="F935" s="6" t="str">
        <f t="shared" si="2"/>
        <v>11611100</v>
      </c>
      <c r="G935" s="8">
        <v>1.0</v>
      </c>
      <c r="H935" s="9">
        <v>45055.0</v>
      </c>
      <c r="I935" s="10" t="s">
        <v>930</v>
      </c>
    </row>
    <row r="936">
      <c r="A936" s="5" t="str">
        <f t="array" ref="A936">INDEX(event_table!$A$2:$A$69, RANDBETWEEN(1, COUNTA(event_table!$A$2:$A$69)))</f>
        <v>1416</v>
      </c>
      <c r="B936" s="6">
        <f t="array" ref="B936">IFERROR(INDEX(event_table!$E$1:$E3686,MATCH(A936,event_table!$A$1:$A3686,0)),"")
</f>
        <v>4</v>
      </c>
      <c r="C936" s="7">
        <f t="shared" si="1"/>
        <v>18</v>
      </c>
      <c r="D936" s="6" t="str">
        <f t="array" ref="D936">IFERROR(INDEX(user_table!$C$2:$C3686,MATCH(C936,user_table!$B$2:$B3686,0)),"")
</f>
        <v>Rudi Santoso</v>
      </c>
      <c r="E936" s="6" t="str">
        <f t="array" ref="E936">IFERROR(INDEX(user_table!$E$2:$E3686,MATCH(C936,user_table!$B$2:$B3686,0)),"")
</f>
        <v>4, 2</v>
      </c>
      <c r="F936" s="6" t="str">
        <f t="shared" si="2"/>
        <v>14161418</v>
      </c>
      <c r="G936" s="8">
        <v>1.0</v>
      </c>
      <c r="H936" s="9">
        <v>45050.0</v>
      </c>
      <c r="I936" s="10" t="s">
        <v>931</v>
      </c>
    </row>
    <row r="937">
      <c r="A937" s="5" t="str">
        <f t="array" ref="A937">INDEX(event_table!$A$2:$A$69, RANDBETWEEN(1, COUNTA(event_table!$A$2:$A$69)))</f>
        <v>3658</v>
      </c>
      <c r="B937" s="6">
        <f t="array" ref="B937">IFERROR(INDEX(event_table!$E$1:$E3686,MATCH(A937,event_table!$A$1:$A3686,0)),"")
</f>
        <v>6</v>
      </c>
      <c r="C937" s="7">
        <f t="shared" si="1"/>
        <v>70</v>
      </c>
      <c r="D937" s="6" t="str">
        <f t="array" ref="D937">IFERROR(INDEX(user_table!$C$2:$C3686,MATCH(C937,user_table!$B$2:$B3686,0)),"")
</f>
        <v>Fandi Hadiwijaya</v>
      </c>
      <c r="E937" s="6" t="str">
        <f t="array" ref="E937">IFERROR(INDEX(user_table!$E$2:$E3686,MATCH(C937,user_table!$B$2:$B3686,0)),"")
</f>
        <v>1, 4</v>
      </c>
      <c r="F937" s="6" t="str">
        <f t="shared" si="2"/>
        <v>36585670</v>
      </c>
      <c r="G937" s="8">
        <v>5.0</v>
      </c>
      <c r="H937" s="9">
        <v>44744.0</v>
      </c>
      <c r="I937" s="10" t="s">
        <v>932</v>
      </c>
    </row>
    <row r="938">
      <c r="A938" s="5" t="str">
        <f t="array" ref="A938">INDEX(event_table!$A$2:$A$69, RANDBETWEEN(1, COUNTA(event_table!$A$2:$A$69)))</f>
        <v>1640</v>
      </c>
      <c r="B938" s="6">
        <f t="array" ref="B938">IFERROR(INDEX(event_table!$E$1:$E3686,MATCH(A938,event_table!$A$1:$A3686,0)),"")
</f>
        <v>6</v>
      </c>
      <c r="C938" s="7">
        <f t="shared" si="1"/>
        <v>86</v>
      </c>
      <c r="D938" s="6" t="str">
        <f t="array" ref="D938">IFERROR(INDEX(user_table!$C$2:$C3686,MATCH(C938,user_table!$B$2:$B3686,0)),"")
</f>
        <v>Lina Santoso</v>
      </c>
      <c r="E938" s="6" t="str">
        <f t="array" ref="E938">IFERROR(INDEX(user_table!$E$2:$E3686,MATCH(C938,user_table!$B$2:$B3686,0)),"")
</f>
        <v>4, 3</v>
      </c>
      <c r="F938" s="6" t="str">
        <f t="shared" si="2"/>
        <v>16405686</v>
      </c>
      <c r="G938" s="8">
        <v>5.0</v>
      </c>
      <c r="H938" s="9">
        <v>44736.0</v>
      </c>
      <c r="I938" s="10" t="s">
        <v>933</v>
      </c>
    </row>
    <row r="939">
      <c r="A939" s="5" t="str">
        <f t="array" ref="A939">INDEX(event_table!$A$2:$A$69, RANDBETWEEN(1, COUNTA(event_table!$A$2:$A$69)))</f>
        <v>111</v>
      </c>
      <c r="B939" s="6">
        <f t="array" ref="B939">IFERROR(INDEX(event_table!$E$1:$E3686,MATCH(A939,event_table!$A$1:$A3686,0)),"")
</f>
        <v>1</v>
      </c>
      <c r="C939" s="7">
        <f t="shared" si="1"/>
        <v>113</v>
      </c>
      <c r="D939" s="6" t="str">
        <f t="array" ref="D939">IFERROR(INDEX(user_table!$C$2:$C3686,MATCH(C939,user_table!$B$2:$B3686,0)),"")
</f>
        <v>Budi Wijaya</v>
      </c>
      <c r="E939" s="6" t="str">
        <f t="array" ref="E939">IFERROR(INDEX(user_table!$E$2:$E3686,MATCH(C939,user_table!$B$2:$B3686,0)),"")
</f>
        <v>1, 5</v>
      </c>
      <c r="F939" s="6" t="str">
        <f t="shared" si="2"/>
        <v>11151113</v>
      </c>
      <c r="G939" s="8">
        <v>5.0</v>
      </c>
      <c r="H939" s="9">
        <v>44725.0</v>
      </c>
      <c r="I939" s="10" t="s">
        <v>934</v>
      </c>
    </row>
    <row r="940">
      <c r="A940" s="5" t="str">
        <f t="array" ref="A940">INDEX(event_table!$A$2:$A$69, RANDBETWEEN(1, COUNTA(event_table!$A$2:$A$69)))</f>
        <v>3162</v>
      </c>
      <c r="B940" s="6">
        <f t="array" ref="B940">IFERROR(INDEX(event_table!$E$1:$E3686,MATCH(A940,event_table!$A$1:$A3686,0)),"")
</f>
        <v>1</v>
      </c>
      <c r="C940" s="7">
        <f t="shared" si="1"/>
        <v>137</v>
      </c>
      <c r="D940" s="6" t="str">
        <f t="array" ref="D940">IFERROR(INDEX(user_table!$C$2:$C3686,MATCH(C940,user_table!$B$2:$B3686,0)),"")
</f>
        <v>Dina Pratama</v>
      </c>
      <c r="E940" s="6" t="str">
        <f t="array" ref="E940">IFERROR(INDEX(user_table!$E$2:$E3686,MATCH(C940,user_table!$B$2:$B3686,0)),"")
</f>
        <v>4, 4</v>
      </c>
      <c r="F940" s="6" t="str">
        <f t="shared" si="2"/>
        <v>316251137</v>
      </c>
      <c r="G940" s="8">
        <v>5.0</v>
      </c>
      <c r="H940" s="9">
        <v>44721.0</v>
      </c>
      <c r="I940" s="10" t="s">
        <v>935</v>
      </c>
    </row>
    <row r="941">
      <c r="A941" s="5" t="str">
        <f t="array" ref="A941">INDEX(event_table!$A$2:$A$69, RANDBETWEEN(1, COUNTA(event_table!$A$2:$A$69)))</f>
        <v>3164</v>
      </c>
      <c r="B941" s="6">
        <f t="array" ref="B941">IFERROR(INDEX(event_table!$E$1:$E3686,MATCH(A941,event_table!$A$1:$A3686,0)),"")
</f>
        <v>1</v>
      </c>
      <c r="C941" s="7">
        <f t="shared" si="1"/>
        <v>79</v>
      </c>
      <c r="D941" s="6" t="str">
        <f t="array" ref="D941">IFERROR(INDEX(user_table!$C$2:$C3686,MATCH(C941,user_table!$B$2:$B3686,0)),"")
</f>
        <v>Arif Nugroho</v>
      </c>
      <c r="E941" s="6" t="str">
        <f t="array" ref="E941">IFERROR(INDEX(user_table!$E$2:$E3686,MATCH(C941,user_table!$B$2:$B3686,0)),"")
</f>
        <v>2, 3</v>
      </c>
      <c r="F941" s="6" t="str">
        <f t="shared" si="2"/>
        <v>31645179</v>
      </c>
      <c r="G941" s="8">
        <v>5.0</v>
      </c>
      <c r="H941" s="9">
        <v>44696.0</v>
      </c>
      <c r="I941" s="10" t="s">
        <v>936</v>
      </c>
    </row>
    <row r="942">
      <c r="A942" s="5" t="str">
        <f t="array" ref="A942">INDEX(event_table!$A$2:$A$69, RANDBETWEEN(1, COUNTA(event_table!$A$2:$A$69)))</f>
        <v>1313</v>
      </c>
      <c r="B942" s="6">
        <f t="array" ref="B942">IFERROR(INDEX(event_table!$E$1:$E3686,MATCH(A942,event_table!$A$1:$A3686,0)),"")
</f>
        <v>3</v>
      </c>
      <c r="C942" s="7">
        <f t="shared" si="1"/>
        <v>123</v>
      </c>
      <c r="D942" s="6" t="str">
        <f t="array" ref="D942">IFERROR(INDEX(user_table!$C$2:$C3686,MATCH(C942,user_table!$B$2:$B3686,0)),"")
</f>
        <v>Lina Hartono</v>
      </c>
      <c r="E942" s="6" t="str">
        <f t="array" ref="E942">IFERROR(INDEX(user_table!$E$2:$E3686,MATCH(C942,user_table!$B$2:$B3686,0)),"")
</f>
        <v>6, 5</v>
      </c>
      <c r="F942" s="6" t="str">
        <f t="shared" si="2"/>
        <v>131353123</v>
      </c>
      <c r="G942" s="8">
        <v>5.0</v>
      </c>
      <c r="H942" s="9">
        <v>44685.0</v>
      </c>
      <c r="I942" s="10" t="s">
        <v>937</v>
      </c>
    </row>
    <row r="943">
      <c r="A943" s="5" t="str">
        <f t="array" ref="A943">INDEX(event_table!$A$2:$A$69, RANDBETWEEN(1, COUNTA(event_table!$A$2:$A$69)))</f>
        <v>1636</v>
      </c>
      <c r="B943" s="6">
        <f t="array" ref="B943">IFERROR(INDEX(event_table!$E$1:$E3686,MATCH(A943,event_table!$A$1:$A3686,0)),"")
</f>
        <v>6</v>
      </c>
      <c r="C943" s="7">
        <f t="shared" si="1"/>
        <v>182</v>
      </c>
      <c r="D943" s="6" t="str">
        <f t="array" ref="D943">IFERROR(INDEX(user_table!$C$2:$C3686,MATCH(C943,user_table!$B$2:$B3686,0)),"")
</f>
        <v>Siti Utami</v>
      </c>
      <c r="E943" s="6" t="str">
        <f t="array" ref="E943">IFERROR(INDEX(user_table!$E$2:$E3686,MATCH(C943,user_table!$B$2:$B3686,0)),"")
</f>
        <v>5, 4</v>
      </c>
      <c r="F943" s="6" t="str">
        <f t="shared" si="2"/>
        <v>163656182</v>
      </c>
      <c r="G943" s="12">
        <v>5.0</v>
      </c>
      <c r="H943" s="13">
        <v>45207.0</v>
      </c>
      <c r="I943" s="14" t="s">
        <v>938</v>
      </c>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row>
    <row r="944">
      <c r="A944" s="5" t="str">
        <f t="array" ref="A944">INDEX(event_table!$A$2:$A$69, RANDBETWEEN(1, COUNTA(event_table!$A$2:$A$69)))</f>
        <v>1420</v>
      </c>
      <c r="B944" s="6">
        <f t="array" ref="B944">IFERROR(INDEX(event_table!$E$1:$E3686,MATCH(A944,event_table!$A$1:$A3686,0)),"")
</f>
        <v>4</v>
      </c>
      <c r="C944" s="7">
        <f t="shared" si="1"/>
        <v>168</v>
      </c>
      <c r="D944" s="6" t="str">
        <f t="array" ref="D944">IFERROR(INDEX(user_table!$C$2:$C3686,MATCH(C944,user_table!$B$2:$B3686,0)),"")
</f>
        <v>Lina Kurniawan</v>
      </c>
      <c r="E944" s="6" t="str">
        <f t="array" ref="E944">IFERROR(INDEX(user_table!$E$2:$E3686,MATCH(C944,user_table!$B$2:$B3686,0)),"")
</f>
        <v>2, 2</v>
      </c>
      <c r="F944" s="6" t="str">
        <f t="shared" si="2"/>
        <v>142054168</v>
      </c>
      <c r="G944" s="16">
        <v>5.0</v>
      </c>
      <c r="H944" s="17">
        <v>45198.0</v>
      </c>
      <c r="I944" s="18" t="s">
        <v>939</v>
      </c>
    </row>
    <row r="945">
      <c r="A945" s="5" t="str">
        <f t="array" ref="A945">INDEX(event_table!$A$2:$A$69, RANDBETWEEN(1, COUNTA(event_table!$A$2:$A$69)))</f>
        <v>1648</v>
      </c>
      <c r="B945" s="6">
        <f t="array" ref="B945">IFERROR(INDEX(event_table!$E$1:$E3686,MATCH(A945,event_table!$A$1:$A3686,0)),"")
</f>
        <v>6</v>
      </c>
      <c r="C945" s="7">
        <f t="shared" si="1"/>
        <v>147</v>
      </c>
      <c r="D945" s="6" t="str">
        <f t="array" ref="D945">IFERROR(INDEX(user_table!$C$2:$C3686,MATCH(C945,user_table!$B$2:$B3686,0)),"")
</f>
        <v>Fajar Saputra</v>
      </c>
      <c r="E945" s="6" t="str">
        <f t="array" ref="E945">IFERROR(INDEX(user_table!$E$2:$E3686,MATCH(C945,user_table!$B$2:$B3686,0)),"")
</f>
        <v>6, 2</v>
      </c>
      <c r="F945" s="6" t="str">
        <f t="shared" si="2"/>
        <v>164856147</v>
      </c>
      <c r="G945" s="16">
        <v>5.0</v>
      </c>
      <c r="H945" s="17">
        <v>45110.0</v>
      </c>
      <c r="I945" s="18" t="s">
        <v>940</v>
      </c>
    </row>
    <row r="946">
      <c r="A946" s="5" t="str">
        <f t="array" ref="A946">INDEX(event_table!$A$2:$A$69, RANDBETWEEN(1, COUNTA(event_table!$A$2:$A$69)))</f>
        <v>3162</v>
      </c>
      <c r="B946" s="6">
        <f t="array" ref="B946">IFERROR(INDEX(event_table!$E$1:$E3686,MATCH(A946,event_table!$A$1:$A3686,0)),"")
</f>
        <v>1</v>
      </c>
      <c r="C946" s="7">
        <f t="shared" si="1"/>
        <v>166</v>
      </c>
      <c r="D946" s="6" t="str">
        <f t="array" ref="D946">IFERROR(INDEX(user_table!$C$2:$C3686,MATCH(C946,user_table!$B$2:$B3686,0)),"")
</f>
        <v>Fajar Nurhayati</v>
      </c>
      <c r="E946" s="6" t="str">
        <f t="array" ref="E946">IFERROR(INDEX(user_table!$E$2:$E3686,MATCH(C946,user_table!$B$2:$B3686,0)),"")
</f>
        <v>3, 5</v>
      </c>
      <c r="F946" s="6" t="str">
        <f t="shared" si="2"/>
        <v>316251166</v>
      </c>
      <c r="G946" s="16">
        <v>5.0</v>
      </c>
      <c r="H946" s="17">
        <v>44897.0</v>
      </c>
      <c r="I946" s="18" t="s">
        <v>941</v>
      </c>
    </row>
    <row r="947">
      <c r="A947" s="5" t="str">
        <f t="array" ref="A947">INDEX(event_table!$A$2:$A$69, RANDBETWEEN(1, COUNTA(event_table!$A$2:$A$69)))</f>
        <v>1422</v>
      </c>
      <c r="B947" s="6">
        <f t="array" ref="B947">IFERROR(INDEX(event_table!$E$1:$E3686,MATCH(A947,event_table!$A$1:$A3686,0)),"")
</f>
        <v>4</v>
      </c>
      <c r="C947" s="7">
        <f t="shared" si="1"/>
        <v>6</v>
      </c>
      <c r="D947" s="6" t="str">
        <f t="array" ref="D947">IFERROR(INDEX(user_table!$C$2:$C3686,MATCH(C947,user_table!$B$2:$B3686,0)),"")
</f>
        <v>Arif Putri</v>
      </c>
      <c r="E947" s="6" t="str">
        <f t="array" ref="E947">IFERROR(INDEX(user_table!$E$2:$E3686,MATCH(C947,user_table!$B$2:$B3686,0)),"")
</f>
        <v>5, 2</v>
      </c>
      <c r="F947" s="6" t="str">
        <f t="shared" si="2"/>
        <v>1422546</v>
      </c>
      <c r="G947" s="16">
        <v>5.0</v>
      </c>
      <c r="H947" s="17">
        <v>44802.0</v>
      </c>
      <c r="I947" s="18" t="s">
        <v>942</v>
      </c>
    </row>
    <row r="948">
      <c r="A948" s="5" t="str">
        <f t="array" ref="A948">INDEX(event_table!$A$2:$A$69, RANDBETWEEN(1, COUNTA(event_table!$A$2:$A$69)))</f>
        <v>1639</v>
      </c>
      <c r="B948" s="6">
        <f t="array" ref="B948">IFERROR(INDEX(event_table!$E$1:$E3686,MATCH(A948,event_table!$A$1:$A3686,0)),"")
</f>
        <v>6</v>
      </c>
      <c r="C948" s="7">
        <f t="shared" si="1"/>
        <v>147</v>
      </c>
      <c r="D948" s="6" t="str">
        <f t="array" ref="D948">IFERROR(INDEX(user_table!$C$2:$C3686,MATCH(C948,user_table!$B$2:$B3686,0)),"")
</f>
        <v>Fajar Saputra</v>
      </c>
      <c r="E948" s="6" t="str">
        <f t="array" ref="E948">IFERROR(INDEX(user_table!$E$2:$E3686,MATCH(C948,user_table!$B$2:$B3686,0)),"")
</f>
        <v>6, 2</v>
      </c>
      <c r="F948" s="6" t="str">
        <f t="shared" si="2"/>
        <v>163956147</v>
      </c>
      <c r="G948" s="16">
        <v>5.0</v>
      </c>
      <c r="H948" s="17">
        <v>44782.0</v>
      </c>
      <c r="I948" s="18" t="s">
        <v>943</v>
      </c>
    </row>
    <row r="949">
      <c r="A949" s="5" t="str">
        <f t="array" ref="A949">INDEX(event_table!$A$2:$A$69, RANDBETWEEN(1, COUNTA(event_table!$A$2:$A$69)))</f>
        <v>117</v>
      </c>
      <c r="B949" s="6">
        <f t="array" ref="B949">IFERROR(INDEX(event_table!$E$1:$E3686,MATCH(A949,event_table!$A$1:$A3686,0)),"")
</f>
        <v>1</v>
      </c>
      <c r="C949" s="7">
        <f t="shared" si="1"/>
        <v>42</v>
      </c>
      <c r="D949" s="6" t="str">
        <f t="array" ref="D949">IFERROR(INDEX(user_table!$C$2:$C3686,MATCH(C949,user_table!$B$2:$B3686,0)),"")
</f>
        <v>Desi Putri</v>
      </c>
      <c r="E949" s="6" t="str">
        <f t="array" ref="E949">IFERROR(INDEX(user_table!$E$2:$E3686,MATCH(C949,user_table!$B$2:$B3686,0)),"")
</f>
        <v>4, 6</v>
      </c>
      <c r="F949" s="6" t="str">
        <f t="shared" si="2"/>
        <v>1175142</v>
      </c>
      <c r="G949" s="16">
        <v>5.0</v>
      </c>
      <c r="H949" s="17">
        <v>44761.0</v>
      </c>
      <c r="I949" s="18" t="s">
        <v>944</v>
      </c>
    </row>
    <row r="950">
      <c r="A950" s="5" t="str">
        <f t="array" ref="A950">INDEX(event_table!$A$2:$A$69, RANDBETWEEN(1, COUNTA(event_table!$A$2:$A$69)))</f>
        <v>1313</v>
      </c>
      <c r="B950" s="6">
        <f t="array" ref="B950">IFERROR(INDEX(event_table!$E$1:$E3686,MATCH(A950,event_table!$A$1:$A3686,0)),"")
</f>
        <v>3</v>
      </c>
      <c r="C950" s="7">
        <f t="shared" si="1"/>
        <v>112</v>
      </c>
      <c r="D950" s="6" t="str">
        <f t="array" ref="D950">IFERROR(INDEX(user_table!$C$2:$C3686,MATCH(C950,user_table!$B$2:$B3686,0)),"")
</f>
        <v>Ani Hadiwijaya</v>
      </c>
      <c r="E950" s="6" t="str">
        <f t="array" ref="E950">IFERROR(INDEX(user_table!$E$2:$E3686,MATCH(C950,user_table!$B$2:$B3686,0)),"")
</f>
        <v>3, 5</v>
      </c>
      <c r="F950" s="6" t="str">
        <f t="shared" si="2"/>
        <v>131353112</v>
      </c>
      <c r="G950" s="16">
        <v>5.0</v>
      </c>
      <c r="H950" s="17">
        <v>44760.0</v>
      </c>
      <c r="I950" s="18" t="s">
        <v>945</v>
      </c>
    </row>
    <row r="951">
      <c r="A951" s="5" t="str">
        <f t="array" ref="A951">INDEX(event_table!$A$2:$A$69, RANDBETWEEN(1, COUNTA(event_table!$A$2:$A$69)))</f>
        <v>1641</v>
      </c>
      <c r="B951" s="6">
        <f t="array" ref="B951">IFERROR(INDEX(event_table!$E$1:$E3686,MATCH(A951,event_table!$A$1:$A3686,0)),"")
</f>
        <v>6</v>
      </c>
      <c r="C951" s="7">
        <f t="shared" si="1"/>
        <v>154</v>
      </c>
      <c r="D951" s="6" t="str">
        <f t="array" ref="D951">IFERROR(INDEX(user_table!$C$2:$C3686,MATCH(C951,user_table!$B$2:$B3686,0)),"")
</f>
        <v>Dian Nurhayati</v>
      </c>
      <c r="E951" s="6" t="str">
        <f t="array" ref="E951">IFERROR(INDEX(user_table!$E$2:$E3686,MATCH(C951,user_table!$B$2:$B3686,0)),"")
</f>
        <v>5, 3</v>
      </c>
      <c r="F951" s="6" t="str">
        <f t="shared" si="2"/>
        <v>164146154</v>
      </c>
      <c r="G951" s="16">
        <v>4.0</v>
      </c>
      <c r="H951" s="17">
        <v>44931.0</v>
      </c>
      <c r="I951" s="18" t="s">
        <v>946</v>
      </c>
    </row>
    <row r="952">
      <c r="A952" s="5" t="str">
        <f t="array" ref="A952">INDEX(event_table!$A$2:$A$69, RANDBETWEEN(1, COUNTA(event_table!$A$2:$A$69)))</f>
        <v>3455</v>
      </c>
      <c r="B952" s="6">
        <f t="array" ref="B952">IFERROR(INDEX(event_table!$E$1:$E3686,MATCH(A952,event_table!$A$1:$A3686,0)),"")
</f>
        <v>4</v>
      </c>
      <c r="C952" s="7">
        <f t="shared" si="1"/>
        <v>60</v>
      </c>
      <c r="D952" s="6" t="str">
        <f t="array" ref="D952">IFERROR(INDEX(user_table!$C$2:$C3686,MATCH(C952,user_table!$B$2:$B3686,0)),"")
</f>
        <v>Rudi Septiani</v>
      </c>
      <c r="E952" s="6" t="str">
        <f t="array" ref="E952">IFERROR(INDEX(user_table!$E$2:$E3686,MATCH(C952,user_table!$B$2:$B3686,0)),"")
</f>
        <v>6, 2</v>
      </c>
      <c r="F952" s="6" t="str">
        <f t="shared" si="2"/>
        <v>34554460</v>
      </c>
      <c r="G952" s="16">
        <v>4.0</v>
      </c>
      <c r="H952" s="17">
        <v>44767.0</v>
      </c>
      <c r="I952" s="18" t="s">
        <v>947</v>
      </c>
    </row>
    <row r="953">
      <c r="A953" s="5" t="str">
        <f t="array" ref="A953">INDEX(event_table!$A$2:$A$69, RANDBETWEEN(1, COUNTA(event_table!$A$2:$A$69)))</f>
        <v>117</v>
      </c>
      <c r="B953" s="6">
        <f t="array" ref="B953">IFERROR(INDEX(event_table!$E$1:$E3686,MATCH(A953,event_table!$A$1:$A3686,0)),"")
</f>
        <v>1</v>
      </c>
      <c r="C953" s="7">
        <f t="shared" si="1"/>
        <v>79</v>
      </c>
      <c r="D953" s="6" t="str">
        <f t="array" ref="D953">IFERROR(INDEX(user_table!$C$2:$C3686,MATCH(C953,user_table!$B$2:$B3686,0)),"")
</f>
        <v>Arif Nugroho</v>
      </c>
      <c r="E953" s="6" t="str">
        <f t="array" ref="E953">IFERROR(INDEX(user_table!$E$2:$E3686,MATCH(C953,user_table!$B$2:$B3686,0)),"")
</f>
        <v>2, 3</v>
      </c>
      <c r="F953" s="6" t="str">
        <f t="shared" si="2"/>
        <v>1174179</v>
      </c>
      <c r="G953" s="16">
        <v>4.0</v>
      </c>
      <c r="H953" s="17">
        <v>44765.0</v>
      </c>
      <c r="I953" s="18" t="s">
        <v>948</v>
      </c>
    </row>
    <row r="954">
      <c r="A954" s="5" t="str">
        <f t="array" ref="A954">INDEX(event_table!$A$2:$A$69, RANDBETWEEN(1, COUNTA(event_table!$A$2:$A$69)))</f>
        <v>3163</v>
      </c>
      <c r="B954" s="6">
        <f t="array" ref="B954">IFERROR(INDEX(event_table!$E$1:$E3686,MATCH(A954,event_table!$A$1:$A3686,0)),"")
</f>
        <v>1</v>
      </c>
      <c r="C954" s="7">
        <f t="shared" si="1"/>
        <v>129</v>
      </c>
      <c r="D954" s="6" t="str">
        <f t="array" ref="D954">IFERROR(INDEX(user_table!$C$2:$C3686,MATCH(C954,user_table!$B$2:$B3686,0)),"")
</f>
        <v>Maya Kusuma</v>
      </c>
      <c r="E954" s="6" t="str">
        <f t="array" ref="E954">IFERROR(INDEX(user_table!$E$2:$E3686,MATCH(C954,user_table!$B$2:$B3686,0)),"")
</f>
        <v>4, 6</v>
      </c>
      <c r="F954" s="6" t="str">
        <f t="shared" si="2"/>
        <v>316341129</v>
      </c>
      <c r="G954" s="16">
        <v>4.0</v>
      </c>
      <c r="H954" s="17">
        <v>44687.0</v>
      </c>
      <c r="I954" s="18" t="s">
        <v>949</v>
      </c>
    </row>
    <row r="955">
      <c r="A955" s="5" t="str">
        <f t="array" ref="A955">INDEX(event_table!$A$2:$A$69, RANDBETWEEN(1, COUNTA(event_table!$A$2:$A$69)))</f>
        <v>1645</v>
      </c>
      <c r="B955" s="6">
        <f t="array" ref="B955">IFERROR(INDEX(event_table!$E$1:$E3686,MATCH(A955,event_table!$A$1:$A3686,0)),"")
</f>
        <v>6</v>
      </c>
      <c r="C955" s="7">
        <f t="shared" si="1"/>
        <v>32</v>
      </c>
      <c r="D955" s="6" t="str">
        <f t="array" ref="D955">IFERROR(INDEX(user_table!$C$2:$C3686,MATCH(C955,user_table!$B$2:$B3686,0)),"")
</f>
        <v>Ani Setiawan</v>
      </c>
      <c r="E955" s="6" t="str">
        <f t="array" ref="E955">IFERROR(INDEX(user_table!$E$2:$E3686,MATCH(C955,user_table!$B$2:$B3686,0)),"")
</f>
        <v>6, 3</v>
      </c>
      <c r="F955" s="6" t="str">
        <f t="shared" si="2"/>
        <v>16453632</v>
      </c>
      <c r="G955" s="16">
        <v>3.0</v>
      </c>
      <c r="H955" s="17">
        <v>44794.0</v>
      </c>
      <c r="I955" s="18" t="s">
        <v>950</v>
      </c>
    </row>
    <row r="956">
      <c r="A956" s="5" t="str">
        <f t="array" ref="A956">INDEX(event_table!$A$2:$A$69, RANDBETWEEN(1, COUNTA(event_table!$A$2:$A$69)))</f>
        <v>1421</v>
      </c>
      <c r="B956" s="6">
        <f t="array" ref="B956">IFERROR(INDEX(event_table!$E$1:$E3686,MATCH(A956,event_table!$A$1:$A3686,0)),"")
</f>
        <v>4</v>
      </c>
      <c r="C956" s="7">
        <f t="shared" si="1"/>
        <v>94</v>
      </c>
      <c r="D956" s="6" t="str">
        <f t="array" ref="D956">IFERROR(INDEX(user_table!$C$2:$C3686,MATCH(C956,user_table!$B$2:$B3686,0)),"")
</f>
        <v>Ani Susanto</v>
      </c>
      <c r="E956" s="6" t="str">
        <f t="array" ref="E956">IFERROR(INDEX(user_table!$E$2:$E3686,MATCH(C956,user_table!$B$2:$B3686,0)),"")
</f>
        <v>2, 4</v>
      </c>
      <c r="F956" s="6" t="str">
        <f t="shared" si="2"/>
        <v>14213494</v>
      </c>
      <c r="G956" s="16">
        <v>3.0</v>
      </c>
      <c r="H956" s="17">
        <v>44687.0</v>
      </c>
      <c r="I956" s="18" t="s">
        <v>951</v>
      </c>
    </row>
    <row r="957">
      <c r="A957" s="5" t="str">
        <f t="array" ref="A957">INDEX(event_table!$A$2:$A$69, RANDBETWEEN(1, COUNTA(event_table!$A$2:$A$69)))</f>
        <v>116</v>
      </c>
      <c r="B957" s="6">
        <f t="array" ref="B957">IFERROR(INDEX(event_table!$E$1:$E3686,MATCH(A957,event_table!$A$1:$A3686,0)),"")
</f>
        <v>1</v>
      </c>
      <c r="C957" s="7">
        <f t="shared" si="1"/>
        <v>76</v>
      </c>
      <c r="D957" s="6" t="str">
        <f t="array" ref="D957">IFERROR(INDEX(user_table!$C$2:$C3686,MATCH(C957,user_table!$B$2:$B3686,0)),"")
</f>
        <v>Sinta Hidayat</v>
      </c>
      <c r="E957" s="6" t="str">
        <f t="array" ref="E957">IFERROR(INDEX(user_table!$E$2:$E3686,MATCH(C957,user_table!$B$2:$B3686,0)),"")
</f>
        <v>3, 2</v>
      </c>
      <c r="F957" s="6" t="str">
        <f t="shared" si="2"/>
        <v>1163176</v>
      </c>
      <c r="G957" s="16">
        <v>3.0</v>
      </c>
      <c r="H957" s="17">
        <v>44756.0</v>
      </c>
      <c r="I957" s="18" t="s">
        <v>952</v>
      </c>
    </row>
    <row r="958">
      <c r="A958" s="5" t="str">
        <f t="array" ref="A958">INDEX(event_table!$A$2:$A$69, RANDBETWEEN(1, COUNTA(event_table!$A$2:$A$69)))</f>
        <v>3166</v>
      </c>
      <c r="B958" s="6">
        <f t="array" ref="B958">IFERROR(INDEX(event_table!$E$1:$E3686,MATCH(A958,event_table!$A$1:$A3686,0)),"")
</f>
        <v>1</v>
      </c>
      <c r="C958" s="7">
        <f t="shared" si="1"/>
        <v>161</v>
      </c>
      <c r="D958" s="6" t="str">
        <f t="array" ref="D958">IFERROR(INDEX(user_table!$C$2:$C3686,MATCH(C958,user_table!$B$2:$B3686,0)),"")
</f>
        <v>Lina Nugroho</v>
      </c>
      <c r="E958" s="6" t="str">
        <f t="array" ref="E958">IFERROR(INDEX(user_table!$E$2:$E3686,MATCH(C958,user_table!$B$2:$B3686,0)),"")
</f>
        <v>6, 5</v>
      </c>
      <c r="F958" s="6" t="str">
        <f t="shared" si="2"/>
        <v>316631161</v>
      </c>
      <c r="G958" s="16">
        <v>3.0</v>
      </c>
      <c r="H958" s="17">
        <v>45205.0</v>
      </c>
      <c r="I958" s="18" t="s">
        <v>953</v>
      </c>
    </row>
    <row r="959">
      <c r="A959" s="5" t="str">
        <f t="array" ref="A959">INDEX(event_table!$A$2:$A$69, RANDBETWEEN(1, COUNTA(event_table!$A$2:$A$69)))</f>
        <v>1313</v>
      </c>
      <c r="B959" s="6">
        <f t="array" ref="B959">IFERROR(INDEX(event_table!$E$1:$E3686,MATCH(A959,event_table!$A$1:$A3686,0)),"")
</f>
        <v>3</v>
      </c>
      <c r="C959" s="7">
        <f t="shared" si="1"/>
        <v>158</v>
      </c>
      <c r="D959" s="6" t="str">
        <f t="array" ref="D959">IFERROR(INDEX(user_table!$C$2:$C3686,MATCH(C959,user_table!$B$2:$B3686,0)),"")
</f>
        <v>Maya Wijaya</v>
      </c>
      <c r="E959" s="6" t="str">
        <f t="array" ref="E959">IFERROR(INDEX(user_table!$E$2:$E3686,MATCH(C959,user_table!$B$2:$B3686,0)),"")
</f>
        <v>3, 4</v>
      </c>
      <c r="F959" s="6" t="str">
        <f t="shared" si="2"/>
        <v>131333158</v>
      </c>
      <c r="G959" s="16">
        <v>3.0</v>
      </c>
      <c r="H959" s="17">
        <v>45186.0</v>
      </c>
      <c r="I959" s="18" t="s">
        <v>954</v>
      </c>
    </row>
    <row r="960">
      <c r="A960" s="5" t="str">
        <f t="array" ref="A960">INDEX(event_table!$A$2:$A$69, RANDBETWEEN(1, COUNTA(event_table!$A$2:$A$69)))</f>
        <v>3166</v>
      </c>
      <c r="B960" s="6">
        <f t="array" ref="B960">IFERROR(INDEX(event_table!$E$1:$E3686,MATCH(A960,event_table!$A$1:$A3686,0)),"")
</f>
        <v>1</v>
      </c>
      <c r="C960" s="7">
        <f t="shared" si="1"/>
        <v>15</v>
      </c>
      <c r="D960" s="6" t="str">
        <f t="array" ref="D960">IFERROR(INDEX(user_table!$C$2:$C3686,MATCH(C960,user_table!$B$2:$B3686,0)),"")
</f>
        <v>Arif Kurniawan</v>
      </c>
      <c r="E960" s="6" t="str">
        <f t="array" ref="E960">IFERROR(INDEX(user_table!$E$2:$E3686,MATCH(C960,user_table!$B$2:$B3686,0)),"")
</f>
        <v>3, 1</v>
      </c>
      <c r="F960" s="6" t="str">
        <f t="shared" si="2"/>
        <v>31663115</v>
      </c>
      <c r="G960" s="16">
        <v>3.0</v>
      </c>
      <c r="H960" s="17">
        <v>45159.0</v>
      </c>
      <c r="I960" s="18" t="s">
        <v>955</v>
      </c>
    </row>
    <row r="961">
      <c r="A961" s="5" t="str">
        <f t="array" ref="A961">INDEX(event_table!$A$2:$A$69, RANDBETWEEN(1, COUNTA(event_table!$A$2:$A$69)))</f>
        <v>1215</v>
      </c>
      <c r="B961" s="6">
        <f t="array" ref="B961">IFERROR(INDEX(event_table!$E$1:$E3686,MATCH(A961,event_table!$A$1:$A3686,0)),"")
</f>
        <v>2</v>
      </c>
      <c r="C961" s="7">
        <f t="shared" si="1"/>
        <v>140</v>
      </c>
      <c r="D961" s="6" t="str">
        <f t="array" ref="D961">IFERROR(INDEX(user_table!$C$2:$C3686,MATCH(C961,user_table!$B$2:$B3686,0)),"")
</f>
        <v>Maya Wijaya</v>
      </c>
      <c r="E961" s="6" t="str">
        <f t="array" ref="E961">IFERROR(INDEX(user_table!$E$2:$E3686,MATCH(C961,user_table!$B$2:$B3686,0)),"")
</f>
        <v>3, 2</v>
      </c>
      <c r="F961" s="6" t="str">
        <f t="shared" si="2"/>
        <v>121532140</v>
      </c>
      <c r="G961" s="16">
        <v>3.0</v>
      </c>
      <c r="H961" s="17">
        <v>45158.0</v>
      </c>
      <c r="I961" s="18" t="s">
        <v>956</v>
      </c>
    </row>
    <row r="962">
      <c r="A962" s="5" t="str">
        <f t="array" ref="A962">INDEX(event_table!$A$2:$A$69, RANDBETWEEN(1, COUNTA(event_table!$A$2:$A$69)))</f>
        <v>119</v>
      </c>
      <c r="B962" s="6">
        <f t="array" ref="B962">IFERROR(INDEX(event_table!$E$1:$E3686,MATCH(A962,event_table!$A$1:$A3686,0)),"")
</f>
        <v>1</v>
      </c>
      <c r="C962" s="7">
        <f t="shared" si="1"/>
        <v>164</v>
      </c>
      <c r="D962" s="6" t="str">
        <f t="array" ref="D962">IFERROR(INDEX(user_table!$C$2:$C3686,MATCH(C962,user_table!$B$2:$B3686,0)),"")
</f>
        <v>Bambang Purnama</v>
      </c>
      <c r="E962" s="6" t="str">
        <f t="array" ref="E962">IFERROR(INDEX(user_table!$E$2:$E3686,MATCH(C962,user_table!$B$2:$B3686,0)),"")
</f>
        <v>2, 3</v>
      </c>
      <c r="F962" s="6" t="str">
        <f t="shared" si="2"/>
        <v>11931164</v>
      </c>
      <c r="G962" s="16">
        <v>3.0</v>
      </c>
      <c r="H962" s="17">
        <v>45138.0</v>
      </c>
      <c r="I962" s="18" t="s">
        <v>957</v>
      </c>
    </row>
    <row r="963">
      <c r="A963" s="5" t="str">
        <f t="array" ref="A963">INDEX(event_table!$A$2:$A$69, RANDBETWEEN(1, COUNTA(event_table!$A$2:$A$69)))</f>
        <v>1417</v>
      </c>
      <c r="B963" s="6">
        <f t="array" ref="B963">IFERROR(INDEX(event_table!$E$1:$E3686,MATCH(A963,event_table!$A$1:$A3686,0)),"")
</f>
        <v>4</v>
      </c>
      <c r="C963" s="7">
        <f t="shared" si="1"/>
        <v>133</v>
      </c>
      <c r="D963" s="6" t="str">
        <f t="array" ref="D963">IFERROR(INDEX(user_table!$C$2:$C3686,MATCH(C963,user_table!$B$2:$B3686,0)),"")
</f>
        <v>Dewi Sari</v>
      </c>
      <c r="E963" s="6" t="str">
        <f t="array" ref="E963">IFERROR(INDEX(user_table!$E$2:$E3686,MATCH(C963,user_table!$B$2:$B3686,0)),"")
</f>
        <v>6, 5</v>
      </c>
      <c r="F963" s="6" t="str">
        <f t="shared" si="2"/>
        <v>141734133</v>
      </c>
      <c r="G963" s="16">
        <v>3.0</v>
      </c>
      <c r="H963" s="17">
        <v>45101.0</v>
      </c>
      <c r="I963" s="18" t="s">
        <v>549</v>
      </c>
    </row>
    <row r="964">
      <c r="A964" s="5" t="str">
        <f t="array" ref="A964">INDEX(event_table!$A$2:$A$69, RANDBETWEEN(1, COUNTA(event_table!$A$2:$A$69)))</f>
        <v>122</v>
      </c>
      <c r="B964" s="6">
        <f t="array" ref="B964">IFERROR(INDEX(event_table!$E$1:$E3686,MATCH(A964,event_table!$A$1:$A3686,0)),"")
</f>
        <v>2</v>
      </c>
      <c r="C964" s="7">
        <f t="shared" si="1"/>
        <v>186</v>
      </c>
      <c r="D964" s="6" t="str">
        <f t="array" ref="D964">IFERROR(INDEX(user_table!$C$2:$C3686,MATCH(C964,user_table!$B$2:$B3686,0)),"")
</f>
        <v>Budi Wijaya</v>
      </c>
      <c r="E964" s="6" t="str">
        <f t="array" ref="E964">IFERROR(INDEX(user_table!$E$2:$E3686,MATCH(C964,user_table!$B$2:$B3686,0)),"")
</f>
        <v>1, 4</v>
      </c>
      <c r="F964" s="6" t="str">
        <f t="shared" si="2"/>
        <v>12222186</v>
      </c>
      <c r="G964" s="16">
        <v>2.0</v>
      </c>
      <c r="H964" s="17">
        <v>45042.0</v>
      </c>
      <c r="I964" s="18" t="s">
        <v>958</v>
      </c>
    </row>
    <row r="965">
      <c r="A965" s="5" t="str">
        <f t="array" ref="A965">INDEX(event_table!$A$2:$A$69, RANDBETWEEN(1, COUNTA(event_table!$A$2:$A$69)))</f>
        <v>1652</v>
      </c>
      <c r="B965" s="6">
        <f t="array" ref="B965">IFERROR(INDEX(event_table!$E$1:$E3686,MATCH(A965,event_table!$A$1:$A3686,0)),"")
</f>
        <v>6</v>
      </c>
      <c r="C965" s="7">
        <f t="shared" si="1"/>
        <v>86</v>
      </c>
      <c r="D965" s="6" t="str">
        <f t="array" ref="D965">IFERROR(INDEX(user_table!$C$2:$C3686,MATCH(C965,user_table!$B$2:$B3686,0)),"")
</f>
        <v>Lina Santoso</v>
      </c>
      <c r="E965" s="6" t="str">
        <f t="array" ref="E965">IFERROR(INDEX(user_table!$E$2:$E3686,MATCH(C965,user_table!$B$2:$B3686,0)),"")
</f>
        <v>4, 3</v>
      </c>
      <c r="F965" s="6" t="str">
        <f t="shared" si="2"/>
        <v>16522686</v>
      </c>
      <c r="G965" s="16">
        <v>2.0</v>
      </c>
      <c r="H965" s="17">
        <v>44954.0</v>
      </c>
      <c r="I965" s="18" t="s">
        <v>959</v>
      </c>
    </row>
    <row r="966">
      <c r="A966" s="5" t="str">
        <f t="array" ref="A966">INDEX(event_table!$A$2:$A$69, RANDBETWEEN(1, COUNTA(event_table!$A$2:$A$69)))</f>
        <v>1652</v>
      </c>
      <c r="B966" s="6">
        <f t="array" ref="B966">IFERROR(INDEX(event_table!$E$1:$E3686,MATCH(A966,event_table!$A$1:$A3686,0)),"")
</f>
        <v>6</v>
      </c>
      <c r="C966" s="7">
        <f t="shared" si="1"/>
        <v>60</v>
      </c>
      <c r="D966" s="6" t="str">
        <f t="array" ref="D966">IFERROR(INDEX(user_table!$C$2:$C3686,MATCH(C966,user_table!$B$2:$B3686,0)),"")
</f>
        <v>Rudi Septiani</v>
      </c>
      <c r="E966" s="6" t="str">
        <f t="array" ref="E966">IFERROR(INDEX(user_table!$E$2:$E3686,MATCH(C966,user_table!$B$2:$B3686,0)),"")
</f>
        <v>6, 2</v>
      </c>
      <c r="F966" s="6" t="str">
        <f t="shared" si="2"/>
        <v>16522660</v>
      </c>
      <c r="G966" s="16">
        <v>2.0</v>
      </c>
      <c r="H966" s="17">
        <v>44715.0</v>
      </c>
      <c r="I966" s="18" t="s">
        <v>960</v>
      </c>
    </row>
    <row r="967">
      <c r="A967" s="5" t="str">
        <f t="array" ref="A967">INDEX(event_table!$A$2:$A$69, RANDBETWEEN(1, COUNTA(event_table!$A$2:$A$69)))</f>
        <v>1644</v>
      </c>
      <c r="B967" s="6">
        <f t="array" ref="B967">IFERROR(INDEX(event_table!$E$1:$E3686,MATCH(A967,event_table!$A$1:$A3686,0)),"")
</f>
        <v>6</v>
      </c>
      <c r="C967" s="7">
        <f t="shared" si="1"/>
        <v>23</v>
      </c>
      <c r="D967" s="6" t="str">
        <f t="array" ref="D967">IFERROR(INDEX(user_table!$C$2:$C3686,MATCH(C967,user_table!$B$2:$B3686,0)),"")
</f>
        <v>Fajar Kusuma</v>
      </c>
      <c r="E967" s="6" t="str">
        <f t="array" ref="E967">IFERROR(INDEX(user_table!$E$2:$E3686,MATCH(C967,user_table!$B$2:$B3686,0)),"")
</f>
        <v>4, 1</v>
      </c>
      <c r="F967" s="6" t="str">
        <f t="shared" si="2"/>
        <v>16442623</v>
      </c>
      <c r="G967" s="16">
        <v>2.0</v>
      </c>
      <c r="H967" s="17">
        <v>44665.0</v>
      </c>
      <c r="I967" s="18" t="s">
        <v>961</v>
      </c>
    </row>
    <row r="968">
      <c r="A968" s="5" t="str">
        <f t="array" ref="A968">INDEX(event_table!$A$2:$A$69, RANDBETWEEN(1, COUNTA(event_table!$A$2:$A$69)))</f>
        <v>3165</v>
      </c>
      <c r="B968" s="6">
        <f t="array" ref="B968">IFERROR(INDEX(event_table!$E$1:$E3686,MATCH(A968,event_table!$A$1:$A3686,0)),"")
</f>
        <v>1</v>
      </c>
      <c r="C968" s="7">
        <f t="shared" si="1"/>
        <v>107</v>
      </c>
      <c r="D968" s="6" t="str">
        <f t="array" ref="D968">IFERROR(INDEX(user_table!$C$2:$C3686,MATCH(C968,user_table!$B$2:$B3686,0)),"")
</f>
        <v>Citra Rahayu</v>
      </c>
      <c r="E968" s="6" t="str">
        <f t="array" ref="E968">IFERROR(INDEX(user_table!$E$2:$E3686,MATCH(C968,user_table!$B$2:$B3686,0)),"")
</f>
        <v>1, 5</v>
      </c>
      <c r="F968" s="6" t="str">
        <f t="shared" si="2"/>
        <v>316521107</v>
      </c>
      <c r="G968" s="16">
        <v>2.0</v>
      </c>
      <c r="H968" s="17">
        <v>44351.0</v>
      </c>
      <c r="I968" s="18" t="s">
        <v>962</v>
      </c>
    </row>
    <row r="969">
      <c r="A969" s="5" t="str">
        <f t="array" ref="A969">INDEX(event_table!$A$2:$A$69, RANDBETWEEN(1, COUNTA(event_table!$A$2:$A$69)))</f>
        <v>111</v>
      </c>
      <c r="B969" s="6">
        <f t="array" ref="B969">IFERROR(INDEX(event_table!$E$1:$E3686,MATCH(A969,event_table!$A$1:$A3686,0)),"")
</f>
        <v>1</v>
      </c>
      <c r="C969" s="7">
        <f t="shared" si="1"/>
        <v>67</v>
      </c>
      <c r="D969" s="6" t="str">
        <f t="array" ref="D969">IFERROR(INDEX(user_table!$C$2:$C3686,MATCH(C969,user_table!$B$2:$B3686,0)),"")
</f>
        <v>Joko Pratama</v>
      </c>
      <c r="E969" s="6" t="str">
        <f t="array" ref="E969">IFERROR(INDEX(user_table!$E$2:$E3686,MATCH(C969,user_table!$B$2:$B3686,0)),"")
</f>
        <v>1, 3</v>
      </c>
      <c r="F969" s="6" t="str">
        <f t="shared" si="2"/>
        <v>1112167</v>
      </c>
      <c r="G969" s="16">
        <v>2.0</v>
      </c>
      <c r="H969" s="17">
        <v>44315.0</v>
      </c>
      <c r="I969" s="18" t="s">
        <v>963</v>
      </c>
    </row>
    <row r="970">
      <c r="A970" s="5" t="str">
        <f t="array" ref="A970">INDEX(event_table!$A$2:$A$69, RANDBETWEEN(1, COUNTA(event_table!$A$2:$A$69)))</f>
        <v>1421</v>
      </c>
      <c r="B970" s="6">
        <f t="array" ref="B970">IFERROR(INDEX(event_table!$E$1:$E3686,MATCH(A970,event_table!$A$1:$A3686,0)),"")
</f>
        <v>4</v>
      </c>
      <c r="C970" s="7">
        <f t="shared" si="1"/>
        <v>150</v>
      </c>
      <c r="D970" s="6" t="str">
        <f t="array" ref="D970">IFERROR(INDEX(user_table!$C$2:$C3686,MATCH(C970,user_table!$B$2:$B3686,0)),"")
</f>
        <v>Dina Susanto</v>
      </c>
      <c r="E970" s="6" t="str">
        <f t="array" ref="E970">IFERROR(INDEX(user_table!$E$2:$E3686,MATCH(C970,user_table!$B$2:$B3686,0)),"")
</f>
        <v>2, 6</v>
      </c>
      <c r="F970" s="6" t="str">
        <f t="shared" si="2"/>
        <v>142124150</v>
      </c>
      <c r="G970" s="16">
        <v>2.0</v>
      </c>
      <c r="H970" s="17">
        <v>45197.0</v>
      </c>
      <c r="I970" s="18" t="s">
        <v>964</v>
      </c>
    </row>
    <row r="971">
      <c r="A971" s="5" t="str">
        <f t="array" ref="A971">INDEX(event_table!$A$2:$A$69, RANDBETWEEN(1, COUNTA(event_table!$A$2:$A$69)))</f>
        <v>1652</v>
      </c>
      <c r="B971" s="6">
        <f t="array" ref="B971">IFERROR(INDEX(event_table!$E$1:$E3686,MATCH(A971,event_table!$A$1:$A3686,0)),"")
</f>
        <v>6</v>
      </c>
      <c r="C971" s="7">
        <f t="shared" si="1"/>
        <v>179</v>
      </c>
      <c r="D971" s="6" t="str">
        <f t="array" ref="D971">IFERROR(INDEX(user_table!$C$2:$C3686,MATCH(C971,user_table!$B$2:$B3686,0)),"")
</f>
        <v>Andi Susanto</v>
      </c>
      <c r="E971" s="6" t="str">
        <f t="array" ref="E971">IFERROR(INDEX(user_table!$E$2:$E3686,MATCH(C971,user_table!$B$2:$B3686,0)),"")
</f>
        <v>1, 6</v>
      </c>
      <c r="F971" s="6" t="str">
        <f t="shared" si="2"/>
        <v>165226179</v>
      </c>
      <c r="G971" s="16">
        <v>2.0</v>
      </c>
      <c r="H971" s="17">
        <v>45121.0</v>
      </c>
      <c r="I971" s="18" t="s">
        <v>965</v>
      </c>
    </row>
    <row r="972">
      <c r="A972" s="5" t="str">
        <f t="array" ref="A972">INDEX(event_table!$A$2:$A$69, RANDBETWEEN(1, COUNTA(event_table!$A$2:$A$69)))</f>
        <v>1420</v>
      </c>
      <c r="B972" s="6">
        <f t="array" ref="B972">IFERROR(INDEX(event_table!$E$1:$E3686,MATCH(A972,event_table!$A$1:$A3686,0)),"")
</f>
        <v>4</v>
      </c>
      <c r="C972" s="7">
        <f t="shared" si="1"/>
        <v>44</v>
      </c>
      <c r="D972" s="6" t="str">
        <f t="array" ref="D972">IFERROR(INDEX(user_table!$C$2:$C3686,MATCH(C972,user_table!$B$2:$B3686,0)),"")
</f>
        <v>Arif Sari</v>
      </c>
      <c r="E972" s="6" t="str">
        <f t="array" ref="E972">IFERROR(INDEX(user_table!$E$2:$E3686,MATCH(C972,user_table!$B$2:$B3686,0)),"")
</f>
        <v>2, 4</v>
      </c>
      <c r="F972" s="6" t="str">
        <f t="shared" si="2"/>
        <v>14202444</v>
      </c>
      <c r="G972" s="16">
        <v>2.0</v>
      </c>
      <c r="H972" s="17">
        <v>45056.0</v>
      </c>
      <c r="I972" s="18" t="s">
        <v>966</v>
      </c>
    </row>
    <row r="973">
      <c r="A973" s="5" t="str">
        <f t="array" ref="A973">INDEX(event_table!$A$2:$A$69, RANDBETWEEN(1, COUNTA(event_table!$A$2:$A$69)))</f>
        <v>116</v>
      </c>
      <c r="B973" s="6">
        <f t="array" ref="B973">IFERROR(INDEX(event_table!$E$1:$E3686,MATCH(A973,event_table!$A$1:$A3686,0)),"")
</f>
        <v>1</v>
      </c>
      <c r="C973" s="7">
        <f t="shared" si="1"/>
        <v>96</v>
      </c>
      <c r="D973" s="6" t="str">
        <f t="array" ref="D973">IFERROR(INDEX(user_table!$C$2:$C3686,MATCH(C973,user_table!$B$2:$B3686,0)),"")
</f>
        <v>Budi Sari</v>
      </c>
      <c r="E973" s="6" t="str">
        <f t="array" ref="E973">IFERROR(INDEX(user_table!$E$2:$E3686,MATCH(C973,user_table!$B$2:$B3686,0)),"")
</f>
        <v>3, 2</v>
      </c>
      <c r="F973" s="6" t="str">
        <f t="shared" si="2"/>
        <v>1162196</v>
      </c>
      <c r="G973" s="16">
        <v>2.0</v>
      </c>
      <c r="H973" s="17">
        <v>45041.0</v>
      </c>
      <c r="I973" s="18" t="s">
        <v>967</v>
      </c>
    </row>
    <row r="974">
      <c r="A974" s="5" t="str">
        <f t="array" ref="A974">INDEX(event_table!$A$2:$A$69, RANDBETWEEN(1, COUNTA(event_table!$A$2:$A$69)))</f>
        <v>1416</v>
      </c>
      <c r="B974" s="6">
        <f t="array" ref="B974">IFERROR(INDEX(event_table!$E$1:$E3686,MATCH(A974,event_table!$A$1:$A3686,0)),"")
</f>
        <v>4</v>
      </c>
      <c r="C974" s="7">
        <f t="shared" si="1"/>
        <v>87</v>
      </c>
      <c r="D974" s="6" t="str">
        <f t="array" ref="D974">IFERROR(INDEX(user_table!$C$2:$C3686,MATCH(C974,user_table!$B$2:$B3686,0)),"")
</f>
        <v>Budi Setiawan</v>
      </c>
      <c r="E974" s="6" t="str">
        <f t="array" ref="E974">IFERROR(INDEX(user_table!$E$2:$E3686,MATCH(C974,user_table!$B$2:$B3686,0)),"")
</f>
        <v>3, 5</v>
      </c>
      <c r="F974" s="6" t="str">
        <f t="shared" si="2"/>
        <v>14161487</v>
      </c>
      <c r="G974" s="16">
        <v>1.0</v>
      </c>
      <c r="H974" s="17">
        <v>45219.0</v>
      </c>
      <c r="I974" s="18" t="s">
        <v>968</v>
      </c>
    </row>
    <row r="975">
      <c r="A975" s="5" t="str">
        <f t="array" ref="A975">INDEX(event_table!$A$2:$A$69, RANDBETWEEN(1, COUNTA(event_table!$A$2:$A$69)))</f>
        <v>1647</v>
      </c>
      <c r="B975" s="6">
        <f t="array" ref="B975">IFERROR(INDEX(event_table!$E$1:$E3686,MATCH(A975,event_table!$A$1:$A3686,0)),"")
</f>
        <v>6</v>
      </c>
      <c r="C975" s="7">
        <f t="shared" si="1"/>
        <v>12</v>
      </c>
      <c r="D975" s="6" t="str">
        <f t="array" ref="D975">IFERROR(INDEX(user_table!$C$2:$C3686,MATCH(C975,user_table!$B$2:$B3686,0)),"")
</f>
        <v>Joko Susanto</v>
      </c>
      <c r="E975" s="6" t="str">
        <f t="array" ref="E975">IFERROR(INDEX(user_table!$E$2:$E3686,MATCH(C975,user_table!$B$2:$B3686,0)),"")
</f>
        <v>4, 2</v>
      </c>
      <c r="F975" s="6" t="str">
        <f t="shared" si="2"/>
        <v>16471612</v>
      </c>
      <c r="G975" s="16">
        <v>1.0</v>
      </c>
      <c r="H975" s="17">
        <v>45261.0</v>
      </c>
      <c r="I975" s="18" t="s">
        <v>969</v>
      </c>
    </row>
    <row r="976">
      <c r="A976" s="5" t="str">
        <f t="array" ref="A976">INDEX(event_table!$A$2:$A$69, RANDBETWEEN(1, COUNTA(event_table!$A$2:$A$69)))</f>
        <v>1215</v>
      </c>
      <c r="B976" s="6">
        <f t="array" ref="B976">IFERROR(INDEX(event_table!$E$1:$E3686,MATCH(A976,event_table!$A$1:$A3686,0)),"")
</f>
        <v>2</v>
      </c>
      <c r="C976" s="7">
        <f t="shared" si="1"/>
        <v>112</v>
      </c>
      <c r="D976" s="6" t="str">
        <f t="array" ref="D976">IFERROR(INDEX(user_table!$C$2:$C3686,MATCH(C976,user_table!$B$2:$B3686,0)),"")
</f>
        <v>Ani Hadiwijaya</v>
      </c>
      <c r="E976" s="6" t="str">
        <f t="array" ref="E976">IFERROR(INDEX(user_table!$E$2:$E3686,MATCH(C976,user_table!$B$2:$B3686,0)),"")
</f>
        <v>3, 5</v>
      </c>
      <c r="F976" s="6" t="str">
        <f t="shared" si="2"/>
        <v>121512112</v>
      </c>
      <c r="G976" s="16">
        <v>1.0</v>
      </c>
      <c r="H976" s="17">
        <v>45235.0</v>
      </c>
      <c r="I976" s="18" t="s">
        <v>970</v>
      </c>
    </row>
    <row r="977">
      <c r="A977" s="5" t="str">
        <f t="array" ref="A977">INDEX(event_table!$A$2:$A$69, RANDBETWEEN(1, COUNTA(event_table!$A$2:$A$69)))</f>
        <v>1416</v>
      </c>
      <c r="B977" s="6">
        <f t="array" ref="B977">IFERROR(INDEX(event_table!$E$1:$E3686,MATCH(A977,event_table!$A$1:$A3686,0)),"")
</f>
        <v>4</v>
      </c>
      <c r="C977" s="7">
        <f t="shared" si="1"/>
        <v>25</v>
      </c>
      <c r="D977" s="6" t="str">
        <f t="array" ref="D977">IFERROR(INDEX(user_table!$C$2:$C3686,MATCH(C977,user_table!$B$2:$B3686,0)),"")
</f>
        <v>Agus Hartono</v>
      </c>
      <c r="E977" s="6" t="str">
        <f t="array" ref="E977">IFERROR(INDEX(user_table!$E$2:$E3686,MATCH(C977,user_table!$B$2:$B3686,0)),"")
</f>
        <v>6, 3</v>
      </c>
      <c r="F977" s="6" t="str">
        <f t="shared" si="2"/>
        <v>14161425</v>
      </c>
      <c r="G977" s="16">
        <v>1.0</v>
      </c>
      <c r="H977" s="17">
        <v>45207.0</v>
      </c>
      <c r="I977" s="18" t="s">
        <v>971</v>
      </c>
    </row>
    <row r="978">
      <c r="A978" s="5" t="str">
        <f t="array" ref="A978">INDEX(event_table!$A$2:$A$69, RANDBETWEEN(1, COUNTA(event_table!$A$2:$A$69)))</f>
        <v>111</v>
      </c>
      <c r="B978" s="6">
        <f t="array" ref="B978">IFERROR(INDEX(event_table!$E$1:$E3686,MATCH(A978,event_table!$A$1:$A3686,0)),"")
</f>
        <v>1</v>
      </c>
      <c r="C978" s="7">
        <f t="shared" si="1"/>
        <v>71</v>
      </c>
      <c r="D978" s="6" t="str">
        <f t="array" ref="D978">IFERROR(INDEX(user_table!$C$2:$C3686,MATCH(C978,user_table!$B$2:$B3686,0)),"")
</f>
        <v>Hadi Putri</v>
      </c>
      <c r="E978" s="6" t="str">
        <f t="array" ref="E978">IFERROR(INDEX(user_table!$E$2:$E3686,MATCH(C978,user_table!$B$2:$B3686,0)),"")
</f>
        <v>3, 3</v>
      </c>
      <c r="F978" s="6" t="str">
        <f t="shared" si="2"/>
        <v>1111171</v>
      </c>
      <c r="G978" s="16">
        <v>1.0</v>
      </c>
      <c r="H978" s="17">
        <v>45144.0</v>
      </c>
      <c r="I978" s="18" t="s">
        <v>972</v>
      </c>
    </row>
    <row r="979">
      <c r="A979" s="5" t="str">
        <f t="array" ref="A979">INDEX(event_table!$A$2:$A$69, RANDBETWEEN(1, COUNTA(event_table!$A$2:$A$69)))</f>
        <v>1638</v>
      </c>
      <c r="B979" s="6">
        <f t="array" ref="B979">IFERROR(INDEX(event_table!$E$1:$E3686,MATCH(A979,event_table!$A$1:$A3686,0)),"")
</f>
        <v>6</v>
      </c>
      <c r="C979" s="7">
        <f t="shared" si="1"/>
        <v>35</v>
      </c>
      <c r="D979" s="6" t="str">
        <f t="array" ref="D979">IFERROR(INDEX(user_table!$C$2:$C3686,MATCH(C979,user_table!$B$2:$B3686,0)),"")
</f>
        <v>Maya Nugroho</v>
      </c>
      <c r="E979" s="6" t="str">
        <f t="array" ref="E979">IFERROR(INDEX(user_table!$E$2:$E3686,MATCH(C979,user_table!$B$2:$B3686,0)),"")
</f>
        <v>6, 2</v>
      </c>
      <c r="F979" s="6" t="str">
        <f t="shared" si="2"/>
        <v>16381635</v>
      </c>
      <c r="G979" s="16">
        <v>1.0</v>
      </c>
      <c r="H979" s="17">
        <v>45144.0</v>
      </c>
      <c r="I979" s="18" t="s">
        <v>973</v>
      </c>
    </row>
    <row r="980">
      <c r="A980" s="5" t="str">
        <f t="array" ref="A980">INDEX(event_table!$A$2:$A$69, RANDBETWEEN(1, COUNTA(event_table!$A$2:$A$69)))</f>
        <v>116</v>
      </c>
      <c r="B980" s="6">
        <f t="array" ref="B980">IFERROR(INDEX(event_table!$E$1:$E3686,MATCH(A980,event_table!$A$1:$A3686,0)),"")
</f>
        <v>1</v>
      </c>
      <c r="C980" s="7">
        <f t="shared" si="1"/>
        <v>66</v>
      </c>
      <c r="D980" s="6" t="str">
        <f t="array" ref="D980">IFERROR(INDEX(user_table!$C$2:$C3686,MATCH(C980,user_table!$B$2:$B3686,0)),"")
</f>
        <v>Agus Wijaya</v>
      </c>
      <c r="E980" s="6" t="str">
        <f t="array" ref="E980">IFERROR(INDEX(user_table!$E$2:$E3686,MATCH(C980,user_table!$B$2:$B3686,0)),"")
</f>
        <v>5, 3</v>
      </c>
      <c r="F980" s="6" t="str">
        <f t="shared" si="2"/>
        <v>1161166</v>
      </c>
      <c r="G980" s="16">
        <v>1.0</v>
      </c>
      <c r="H980" s="17">
        <v>45103.0</v>
      </c>
      <c r="I980" s="18" t="s">
        <v>974</v>
      </c>
    </row>
    <row r="981">
      <c r="A981" s="5" t="str">
        <f t="array" ref="A981">INDEX(event_table!$A$2:$A$69, RANDBETWEEN(1, COUNTA(event_table!$A$2:$A$69)))</f>
        <v>1642</v>
      </c>
      <c r="B981" s="6">
        <f t="array" ref="B981">IFERROR(INDEX(event_table!$E$1:$E3686,MATCH(A981,event_table!$A$1:$A3686,0)),"")
</f>
        <v>6</v>
      </c>
      <c r="C981" s="7">
        <f t="shared" si="1"/>
        <v>152</v>
      </c>
      <c r="D981" s="6" t="str">
        <f t="array" ref="D981">IFERROR(INDEX(user_table!$C$2:$C3686,MATCH(C981,user_table!$B$2:$B3686,0)),"")
</f>
        <v>Budi Kurniawan</v>
      </c>
      <c r="E981" s="6" t="str">
        <f t="array" ref="E981">IFERROR(INDEX(user_table!$E$2:$E3686,MATCH(C981,user_table!$B$2:$B3686,0)),"")
</f>
        <v>5, 5</v>
      </c>
      <c r="F981" s="6" t="str">
        <f t="shared" si="2"/>
        <v>164216152</v>
      </c>
      <c r="G981" s="16">
        <v>1.0</v>
      </c>
      <c r="H981" s="17">
        <v>45097.0</v>
      </c>
      <c r="I981" s="18" t="s">
        <v>975</v>
      </c>
    </row>
    <row r="982">
      <c r="A982" s="5" t="str">
        <f t="array" ref="A982">INDEX(event_table!$A$2:$A$69, RANDBETWEEN(1, COUNTA(event_table!$A$2:$A$69)))</f>
        <v>1334</v>
      </c>
      <c r="B982" s="6">
        <f t="array" ref="B982">IFERROR(INDEX(event_table!$E$1:$E3686,MATCH(A982,event_table!$A$1:$A3686,0)),"")
</f>
        <v>3</v>
      </c>
      <c r="C982" s="7">
        <f t="shared" si="1"/>
        <v>115</v>
      </c>
      <c r="D982" s="6" t="str">
        <f t="array" ref="D982">IFERROR(INDEX(user_table!$C$2:$C3686,MATCH(C982,user_table!$B$2:$B3686,0)),"")
</f>
        <v>Dewi Septiani</v>
      </c>
      <c r="E982" s="6" t="str">
        <f t="array" ref="E982">IFERROR(INDEX(user_table!$E$2:$E3686,MATCH(C982,user_table!$B$2:$B3686,0)),"")
</f>
        <v>6, 3</v>
      </c>
      <c r="F982" s="6" t="str">
        <f t="shared" si="2"/>
        <v>133413115</v>
      </c>
      <c r="G982" s="16">
        <v>1.0</v>
      </c>
      <c r="H982" s="17">
        <v>45091.0</v>
      </c>
      <c r="I982" s="18" t="s">
        <v>976</v>
      </c>
    </row>
    <row r="983">
      <c r="A983" s="5" t="str">
        <f t="array" ref="A983">INDEX(event_table!$A$2:$A$69, RANDBETWEEN(1, COUNTA(event_table!$A$2:$A$69)))</f>
        <v>1423</v>
      </c>
      <c r="B983" s="6">
        <f t="array" ref="B983">IFERROR(INDEX(event_table!$E$1:$E3686,MATCH(A983,event_table!$A$1:$A3686,0)),"")
</f>
        <v>4</v>
      </c>
      <c r="C983" s="7">
        <f t="shared" si="1"/>
        <v>90</v>
      </c>
      <c r="D983" s="6" t="str">
        <f t="array" ref="D983">IFERROR(INDEX(user_table!$C$2:$C3686,MATCH(C983,user_table!$B$2:$B3686,0)),"")
</f>
        <v>Dina Saputra</v>
      </c>
      <c r="E983" s="6" t="str">
        <f t="array" ref="E983">IFERROR(INDEX(user_table!$E$2:$E3686,MATCH(C983,user_table!$B$2:$B3686,0)),"")
</f>
        <v>1, 2</v>
      </c>
      <c r="F983" s="6" t="str">
        <f t="shared" si="2"/>
        <v>14231490</v>
      </c>
      <c r="G983" s="16">
        <v>1.0</v>
      </c>
      <c r="H983" s="17">
        <v>45054.0</v>
      </c>
      <c r="I983" s="18" t="s">
        <v>977</v>
      </c>
    </row>
    <row r="984">
      <c r="A984" s="5" t="str">
        <f t="array" ref="A984">INDEX(event_table!$A$2:$A$69, RANDBETWEEN(1, COUNTA(event_table!$A$2:$A$69)))</f>
        <v>1526</v>
      </c>
      <c r="B984" s="6">
        <f t="array" ref="B984">IFERROR(INDEX(event_table!$E$1:$E3686,MATCH(A984,event_table!$A$1:$A3686,0)),"")
</f>
        <v>5</v>
      </c>
      <c r="C984" s="7">
        <f t="shared" si="1"/>
        <v>40</v>
      </c>
      <c r="D984" s="6" t="str">
        <f t="array" ref="D984">IFERROR(INDEX(user_table!$C$2:$C3686,MATCH(C984,user_table!$B$2:$B3686,0)),"")
</f>
        <v>Joko Sari</v>
      </c>
      <c r="E984" s="6" t="str">
        <f t="array" ref="E984">IFERROR(INDEX(user_table!$E$2:$E3686,MATCH(C984,user_table!$B$2:$B3686,0)),"")
</f>
        <v>5, 6</v>
      </c>
      <c r="F984" s="6" t="str">
        <f t="shared" si="2"/>
        <v>15261540</v>
      </c>
      <c r="G984" s="16">
        <v>1.0</v>
      </c>
      <c r="H984" s="17">
        <v>45020.0</v>
      </c>
      <c r="I984" s="18" t="s">
        <v>978</v>
      </c>
    </row>
    <row r="985">
      <c r="A985" s="5" t="str">
        <f t="array" ref="A985">INDEX(event_table!$A$2:$A$69, RANDBETWEEN(1, COUNTA(event_table!$A$2:$A$69)))</f>
        <v>1636</v>
      </c>
      <c r="B985" s="6">
        <f t="array" ref="B985">IFERROR(INDEX(event_table!$E$1:$E3686,MATCH(A985,event_table!$A$1:$A3686,0)),"")
</f>
        <v>6</v>
      </c>
      <c r="C985" s="7">
        <f t="shared" si="1"/>
        <v>54</v>
      </c>
      <c r="D985" s="6" t="str">
        <f t="array" ref="D985">IFERROR(INDEX(user_table!$C$2:$C3686,MATCH(C985,user_table!$B$2:$B3686,0)),"")
</f>
        <v>Andi Kurniawan</v>
      </c>
      <c r="E985" s="6" t="str">
        <f t="array" ref="E985">IFERROR(INDEX(user_table!$E$2:$E3686,MATCH(C985,user_table!$B$2:$B3686,0)),"")
</f>
        <v>4, 4</v>
      </c>
      <c r="F985" s="6" t="str">
        <f t="shared" si="2"/>
        <v>16365654</v>
      </c>
      <c r="G985" s="16">
        <v>5.0</v>
      </c>
      <c r="H985" s="17">
        <v>44725.0</v>
      </c>
      <c r="I985" s="18" t="s">
        <v>979</v>
      </c>
    </row>
    <row r="986">
      <c r="A986" s="5" t="str">
        <f t="array" ref="A986">INDEX(event_table!$A$2:$A$69, RANDBETWEEN(1, COUNTA(event_table!$A$2:$A$69)))</f>
        <v>1636</v>
      </c>
      <c r="B986" s="6">
        <f t="array" ref="B986">IFERROR(INDEX(event_table!$E$1:$E3686,MATCH(A986,event_table!$A$1:$A3686,0)),"")
</f>
        <v>6</v>
      </c>
      <c r="C986" s="7">
        <f t="shared" si="1"/>
        <v>1</v>
      </c>
      <c r="D986" s="6" t="str">
        <f t="array" ref="D986">IFERROR(INDEX(user_table!$C$2:$C3686,MATCH(C986,user_table!$B$2:$B3686,0)),"")
</f>
        <v>Maya Putri</v>
      </c>
      <c r="E986" s="6" t="str">
        <f t="array" ref="E986">IFERROR(INDEX(user_table!$E$2:$E3686,MATCH(C986,user_table!$B$2:$B3686,0)),"")
</f>
        <v>5, 6</v>
      </c>
      <c r="F986" s="6" t="str">
        <f t="shared" si="2"/>
        <v>1636561</v>
      </c>
      <c r="G986" s="16">
        <v>5.0</v>
      </c>
      <c r="H986" s="17">
        <v>44724.0</v>
      </c>
      <c r="I986" s="18" t="s">
        <v>980</v>
      </c>
    </row>
    <row r="987">
      <c r="A987" s="5" t="str">
        <f t="array" ref="A987">INDEX(event_table!$A$2:$A$69, RANDBETWEEN(1, COUNTA(event_table!$A$2:$A$69)))</f>
        <v>1215</v>
      </c>
      <c r="B987" s="6">
        <f t="array" ref="B987">IFERROR(INDEX(event_table!$E$1:$E3686,MATCH(A987,event_table!$A$1:$A3686,0)),"")
</f>
        <v>2</v>
      </c>
      <c r="C987" s="7">
        <f t="shared" si="1"/>
        <v>11</v>
      </c>
      <c r="D987" s="6" t="str">
        <f t="array" ref="D987">IFERROR(INDEX(user_table!$C$2:$C3686,MATCH(C987,user_table!$B$2:$B3686,0)),"")
</f>
        <v>Arif Sari</v>
      </c>
      <c r="E987" s="6" t="str">
        <f t="array" ref="E987">IFERROR(INDEX(user_table!$E$2:$E3686,MATCH(C987,user_table!$B$2:$B3686,0)),"")
</f>
        <v>5, 2</v>
      </c>
      <c r="F987" s="6" t="str">
        <f t="shared" si="2"/>
        <v>12155211</v>
      </c>
      <c r="G987" s="16">
        <v>5.0</v>
      </c>
      <c r="H987" s="17">
        <v>44710.0</v>
      </c>
      <c r="I987" s="18" t="s">
        <v>981</v>
      </c>
    </row>
    <row r="988">
      <c r="A988" s="5" t="str">
        <f t="array" ref="A988">INDEX(event_table!$A$2:$A$69, RANDBETWEEN(1, COUNTA(event_table!$A$2:$A$69)))</f>
        <v>1519</v>
      </c>
      <c r="B988" s="6">
        <f t="array" ref="B988">IFERROR(INDEX(event_table!$E$1:$E3686,MATCH(A988,event_table!$A$1:$A3686,0)),"")
</f>
        <v>5</v>
      </c>
      <c r="C988" s="7">
        <f t="shared" si="1"/>
        <v>31</v>
      </c>
      <c r="D988" s="6" t="str">
        <f t="array" ref="D988">IFERROR(INDEX(user_table!$C$2:$C3686,MATCH(C988,user_table!$B$2:$B3686,0)),"")
</f>
        <v>Dian Hidayat</v>
      </c>
      <c r="E988" s="6" t="str">
        <f t="array" ref="E988">IFERROR(INDEX(user_table!$E$2:$E3686,MATCH(C988,user_table!$B$2:$B3686,0)),"")
</f>
        <v>3, 5</v>
      </c>
      <c r="F988" s="6" t="str">
        <f t="shared" si="2"/>
        <v>15195531</v>
      </c>
      <c r="G988" s="16">
        <v>5.0</v>
      </c>
      <c r="H988" s="17">
        <v>44696.0</v>
      </c>
      <c r="I988" s="18" t="s">
        <v>982</v>
      </c>
    </row>
    <row r="989">
      <c r="A989" s="5" t="str">
        <f t="array" ref="A989">INDEX(event_table!$A$2:$A$69, RANDBETWEEN(1, COUNTA(event_table!$A$2:$A$69)))</f>
        <v>1637</v>
      </c>
      <c r="B989" s="6">
        <f t="array" ref="B989">IFERROR(INDEX(event_table!$E$1:$E3686,MATCH(A989,event_table!$A$1:$A3686,0)),"")
</f>
        <v>6</v>
      </c>
      <c r="C989" s="7">
        <f t="shared" si="1"/>
        <v>124</v>
      </c>
      <c r="D989" s="6" t="str">
        <f t="array" ref="D989">IFERROR(INDEX(user_table!$C$2:$C3686,MATCH(C989,user_table!$B$2:$B3686,0)),"")
</f>
        <v>Fandi Setiawan</v>
      </c>
      <c r="E989" s="6" t="str">
        <f t="array" ref="E989">IFERROR(INDEX(user_table!$E$2:$E3686,MATCH(C989,user_table!$B$2:$B3686,0)),"")
</f>
        <v>5, 4</v>
      </c>
      <c r="F989" s="6" t="str">
        <f t="shared" si="2"/>
        <v>163756124</v>
      </c>
      <c r="G989" s="16">
        <v>5.0</v>
      </c>
      <c r="H989" s="17">
        <v>44694.0</v>
      </c>
      <c r="I989" s="18" t="s">
        <v>983</v>
      </c>
    </row>
    <row r="990">
      <c r="A990" s="5" t="str">
        <f t="array" ref="A990">INDEX(event_table!$A$2:$A$69, RANDBETWEEN(1, COUNTA(event_table!$A$2:$A$69)))</f>
        <v>1215</v>
      </c>
      <c r="B990" s="6">
        <f t="array" ref="B990">IFERROR(INDEX(event_table!$E$1:$E3686,MATCH(A990,event_table!$A$1:$A3686,0)),"")
</f>
        <v>2</v>
      </c>
      <c r="C990" s="7">
        <f t="shared" si="1"/>
        <v>133</v>
      </c>
      <c r="D990" s="6" t="str">
        <f t="array" ref="D990">IFERROR(INDEX(user_table!$C$2:$C3686,MATCH(C990,user_table!$B$2:$B3686,0)),"")
</f>
        <v>Dewi Sari</v>
      </c>
      <c r="E990" s="6" t="str">
        <f t="array" ref="E990">IFERROR(INDEX(user_table!$E$2:$E3686,MATCH(C990,user_table!$B$2:$B3686,0)),"")
</f>
        <v>6, 5</v>
      </c>
      <c r="F990" s="6" t="str">
        <f t="shared" si="2"/>
        <v>121552133</v>
      </c>
      <c r="G990" s="16">
        <v>5.0</v>
      </c>
      <c r="H990" s="17">
        <v>44687.0</v>
      </c>
      <c r="I990" s="18" t="s">
        <v>984</v>
      </c>
    </row>
    <row r="991">
      <c r="A991" s="5" t="str">
        <f t="array" ref="A991">INDEX(event_table!$A$2:$A$69, RANDBETWEEN(1, COUNTA(event_table!$A$2:$A$69)))</f>
        <v>3167</v>
      </c>
      <c r="B991" s="6">
        <f t="array" ref="B991">IFERROR(INDEX(event_table!$E$1:$E3686,MATCH(A991,event_table!$A$1:$A3686,0)),"")
</f>
        <v>1</v>
      </c>
      <c r="C991" s="7">
        <f t="shared" si="1"/>
        <v>54</v>
      </c>
      <c r="D991" s="6" t="str">
        <f t="array" ref="D991">IFERROR(INDEX(user_table!$C$2:$C3686,MATCH(C991,user_table!$B$2:$B3686,0)),"")
</f>
        <v>Andi Kurniawan</v>
      </c>
      <c r="E991" s="6" t="str">
        <f t="array" ref="E991">IFERROR(INDEX(user_table!$E$2:$E3686,MATCH(C991,user_table!$B$2:$B3686,0)),"")
</f>
        <v>4, 4</v>
      </c>
      <c r="F991" s="6" t="str">
        <f t="shared" si="2"/>
        <v>31675154</v>
      </c>
      <c r="G991" s="16">
        <v>5.0</v>
      </c>
      <c r="H991" s="17">
        <v>44684.0</v>
      </c>
      <c r="I991" s="18" t="s">
        <v>985</v>
      </c>
    </row>
    <row r="992">
      <c r="A992" s="5" t="str">
        <f t="array" ref="A992">INDEX(event_table!$A$2:$A$69, RANDBETWEEN(1, COUNTA(event_table!$A$2:$A$69)))</f>
        <v>1638</v>
      </c>
      <c r="B992" s="6">
        <f t="array" ref="B992">IFERROR(INDEX(event_table!$E$1:$E3686,MATCH(A992,event_table!$A$1:$A3686,0)),"")
</f>
        <v>6</v>
      </c>
      <c r="C992" s="7">
        <f t="shared" si="1"/>
        <v>62</v>
      </c>
      <c r="D992" s="6" t="str">
        <f t="array" ref="D992">IFERROR(INDEX(user_table!$C$2:$C3686,MATCH(C992,user_table!$B$2:$B3686,0)),"")
</f>
        <v>Joko Sari</v>
      </c>
      <c r="E992" s="6" t="str">
        <f t="array" ref="E992">IFERROR(INDEX(user_table!$E$2:$E3686,MATCH(C992,user_table!$B$2:$B3686,0)),"")
</f>
        <v>6, 1</v>
      </c>
      <c r="F992" s="6" t="str">
        <f t="shared" si="2"/>
        <v>16385662</v>
      </c>
      <c r="G992" s="16">
        <v>5.0</v>
      </c>
      <c r="H992" s="17">
        <v>44680.0</v>
      </c>
      <c r="I992" s="18" t="s">
        <v>986</v>
      </c>
    </row>
    <row r="993">
      <c r="A993" s="5" t="str">
        <f t="array" ref="A993">INDEX(event_table!$A$2:$A$69, RANDBETWEEN(1, COUNTA(event_table!$A$2:$A$69)))</f>
        <v>1114</v>
      </c>
      <c r="B993" s="6">
        <f t="array" ref="B993">IFERROR(INDEX(event_table!$E$1:$E3686,MATCH(A993,event_table!$A$1:$A3686,0)),"")
</f>
        <v>1</v>
      </c>
      <c r="C993" s="7">
        <f t="shared" si="1"/>
        <v>58</v>
      </c>
      <c r="D993" s="6" t="str">
        <f t="array" ref="D993">IFERROR(INDEX(user_table!$C$2:$C3686,MATCH(C993,user_table!$B$2:$B3686,0)),"")
</f>
        <v>Joko Septiani</v>
      </c>
      <c r="E993" s="6" t="str">
        <f t="array" ref="E993">IFERROR(INDEX(user_table!$E$2:$E3686,MATCH(C993,user_table!$B$2:$B3686,0)),"")
</f>
        <v>2, 5</v>
      </c>
      <c r="F993" s="6" t="str">
        <f t="shared" si="2"/>
        <v>11145158</v>
      </c>
      <c r="G993" s="16">
        <v>5.0</v>
      </c>
      <c r="H993" s="17">
        <v>45233.0</v>
      </c>
      <c r="I993" s="18" t="s">
        <v>706</v>
      </c>
    </row>
    <row r="994">
      <c r="A994" s="5" t="str">
        <f t="array" ref="A994">INDEX(event_table!$A$2:$A$69, RANDBETWEEN(1, COUNTA(event_table!$A$2:$A$69)))</f>
        <v>1648</v>
      </c>
      <c r="B994" s="6">
        <f t="array" ref="B994">IFERROR(INDEX(event_table!$E$1:$E3686,MATCH(A994,event_table!$A$1:$A3686,0)),"")
</f>
        <v>6</v>
      </c>
      <c r="C994" s="7">
        <f t="shared" si="1"/>
        <v>84</v>
      </c>
      <c r="D994" s="6" t="str">
        <f t="array" ref="D994">IFERROR(INDEX(user_table!$C$2:$C3686,MATCH(C994,user_table!$B$2:$B3686,0)),"")
</f>
        <v>Budi Hermawan</v>
      </c>
      <c r="E994" s="6" t="str">
        <f t="array" ref="E994">IFERROR(INDEX(user_table!$E$2:$E3686,MATCH(C994,user_table!$B$2:$B3686,0)),"")
</f>
        <v>5, 5</v>
      </c>
      <c r="F994" s="6" t="str">
        <f t="shared" si="2"/>
        <v>16485684</v>
      </c>
      <c r="G994" s="16">
        <v>5.0</v>
      </c>
      <c r="H994" s="17">
        <v>45087.0</v>
      </c>
      <c r="I994" s="18" t="s">
        <v>987</v>
      </c>
    </row>
    <row r="995">
      <c r="A995" s="5" t="str">
        <f t="array" ref="A995">INDEX(event_table!$A$2:$A$69, RANDBETWEEN(1, COUNTA(event_table!$A$2:$A$69)))</f>
        <v>3163</v>
      </c>
      <c r="B995" s="6">
        <f t="array" ref="B995">IFERROR(INDEX(event_table!$E$1:$E3686,MATCH(A995,event_table!$A$1:$A3686,0)),"")
</f>
        <v>1</v>
      </c>
      <c r="C995" s="7">
        <f t="shared" si="1"/>
        <v>92</v>
      </c>
      <c r="D995" s="6" t="str">
        <f t="array" ref="D995">IFERROR(INDEX(user_table!$C$2:$C3686,MATCH(C995,user_table!$B$2:$B3686,0)),"")
</f>
        <v>Andi Susanto</v>
      </c>
      <c r="E995" s="6" t="str">
        <f t="array" ref="E995">IFERROR(INDEX(user_table!$E$2:$E3686,MATCH(C995,user_table!$B$2:$B3686,0)),"")
</f>
        <v>4, 4</v>
      </c>
      <c r="F995" s="6" t="str">
        <f t="shared" si="2"/>
        <v>31635192</v>
      </c>
      <c r="G995" s="16">
        <v>5.0</v>
      </c>
      <c r="H995" s="17">
        <v>45025.0</v>
      </c>
      <c r="I995" s="18" t="s">
        <v>988</v>
      </c>
    </row>
    <row r="996">
      <c r="A996" s="5" t="str">
        <f t="array" ref="A996">INDEX(event_table!$A$2:$A$69, RANDBETWEEN(1, COUNTA(event_table!$A$2:$A$69)))</f>
        <v>1640</v>
      </c>
      <c r="B996" s="6">
        <f t="array" ref="B996">IFERROR(INDEX(event_table!$E$1:$E3686,MATCH(A996,event_table!$A$1:$A3686,0)),"")
</f>
        <v>6</v>
      </c>
      <c r="C996" s="7">
        <f t="shared" si="1"/>
        <v>164</v>
      </c>
      <c r="D996" s="6" t="str">
        <f t="array" ref="D996">IFERROR(INDEX(user_table!$C$2:$C3686,MATCH(C996,user_table!$B$2:$B3686,0)),"")
</f>
        <v>Bambang Purnama</v>
      </c>
      <c r="E996" s="6" t="str">
        <f t="array" ref="E996">IFERROR(INDEX(user_table!$E$2:$E3686,MATCH(C996,user_table!$B$2:$B3686,0)),"")
</f>
        <v>2, 3</v>
      </c>
      <c r="F996" s="6" t="str">
        <f t="shared" si="2"/>
        <v>164056164</v>
      </c>
      <c r="G996" s="16">
        <v>5.0</v>
      </c>
      <c r="H996" s="17">
        <v>44950.0</v>
      </c>
      <c r="I996" s="18" t="s">
        <v>989</v>
      </c>
    </row>
    <row r="997">
      <c r="A997" s="5" t="str">
        <f t="array" ref="A997">INDEX(event_table!$A$2:$A$69, RANDBETWEEN(1, COUNTA(event_table!$A$2:$A$69)))</f>
        <v>118</v>
      </c>
      <c r="B997" s="6">
        <f t="array" ref="B997">IFERROR(INDEX(event_table!$E$1:$E3686,MATCH(A997,event_table!$A$1:$A3686,0)),"")
</f>
        <v>1</v>
      </c>
      <c r="C997" s="7">
        <f t="shared" si="1"/>
        <v>120</v>
      </c>
      <c r="D997" s="6" t="str">
        <f t="array" ref="D997">IFERROR(INDEX(user_table!$C$2:$C3686,MATCH(C997,user_table!$B$2:$B3686,0)),"")
</f>
        <v>Dewi Septiani</v>
      </c>
      <c r="E997" s="6" t="str">
        <f t="array" ref="E997">IFERROR(INDEX(user_table!$E$2:$E3686,MATCH(C997,user_table!$B$2:$B3686,0)),"")
</f>
        <v>5, 3</v>
      </c>
      <c r="F997" s="6" t="str">
        <f t="shared" si="2"/>
        <v>11851120</v>
      </c>
      <c r="G997" s="16">
        <v>5.0</v>
      </c>
      <c r="H997" s="17">
        <v>44901.0</v>
      </c>
      <c r="I997" s="18" t="s">
        <v>990</v>
      </c>
    </row>
    <row r="998">
      <c r="A998" s="5" t="str">
        <f t="array" ref="A998">INDEX(event_table!$A$2:$A$69, RANDBETWEEN(1, COUNTA(event_table!$A$2:$A$69)))</f>
        <v>1334</v>
      </c>
      <c r="B998" s="6">
        <f t="array" ref="B998">IFERROR(INDEX(event_table!$E$1:$E3686,MATCH(A998,event_table!$A$1:$A3686,0)),"")
</f>
        <v>3</v>
      </c>
      <c r="C998" s="7">
        <f t="shared" si="1"/>
        <v>43</v>
      </c>
      <c r="D998" s="6" t="str">
        <f t="array" ref="D998">IFERROR(INDEX(user_table!$C$2:$C3686,MATCH(C998,user_table!$B$2:$B3686,0)),"")
</f>
        <v>Lina Putri</v>
      </c>
      <c r="E998" s="6" t="str">
        <f t="array" ref="E998">IFERROR(INDEX(user_table!$E$2:$E3686,MATCH(C998,user_table!$B$2:$B3686,0)),"")
</f>
        <v>1, 6</v>
      </c>
      <c r="F998" s="6" t="str">
        <f t="shared" si="2"/>
        <v>13345343</v>
      </c>
      <c r="G998" s="16">
        <v>5.0</v>
      </c>
      <c r="H998" s="17">
        <v>44881.0</v>
      </c>
      <c r="I998" s="18" t="s">
        <v>991</v>
      </c>
    </row>
    <row r="999">
      <c r="A999" s="5" t="str">
        <f t="array" ref="A999">INDEX(event_table!$A$2:$A$69, RANDBETWEEN(1, COUNTA(event_table!$A$2:$A$69)))</f>
        <v>1421</v>
      </c>
      <c r="B999" s="6">
        <f t="array" ref="B999">IFERROR(INDEX(event_table!$E$1:$E3686,MATCH(A999,event_table!$A$1:$A3686,0)),"")
</f>
        <v>4</v>
      </c>
      <c r="C999" s="7">
        <f t="shared" si="1"/>
        <v>171</v>
      </c>
      <c r="D999" s="6" t="str">
        <f t="array" ref="D999">IFERROR(INDEX(user_table!$C$2:$C3686,MATCH(C999,user_table!$B$2:$B3686,0)),"")
</f>
        <v>Andi Santoso</v>
      </c>
      <c r="E999" s="6" t="str">
        <f t="array" ref="E999">IFERROR(INDEX(user_table!$E$2:$E3686,MATCH(C999,user_table!$B$2:$B3686,0)),"")
</f>
        <v>4, 3</v>
      </c>
      <c r="F999" s="6" t="str">
        <f t="shared" si="2"/>
        <v>142154171</v>
      </c>
      <c r="G999" s="16">
        <v>5.0</v>
      </c>
      <c r="H999" s="17">
        <v>44865.0</v>
      </c>
      <c r="I999" s="18" t="s">
        <v>992</v>
      </c>
    </row>
    <row r="1000">
      <c r="A1000" s="5" t="str">
        <f t="array" ref="A1000">INDEX(event_table!$A$2:$A$69, RANDBETWEEN(1, COUNTA(event_table!$A$2:$A$69)))</f>
        <v>1334</v>
      </c>
      <c r="B1000" s="6">
        <f t="array" ref="B1000">IFERROR(INDEX(event_table!$E$1:$E3686,MATCH(A1000,event_table!$A$1:$A3686,0)),"")
</f>
        <v>3</v>
      </c>
      <c r="C1000" s="7">
        <f t="shared" si="1"/>
        <v>76</v>
      </c>
      <c r="D1000" s="6" t="str">
        <f t="array" ref="D1000">IFERROR(INDEX(user_table!$C$2:$C3686,MATCH(C1000,user_table!$B$2:$B3686,0)),"")
</f>
        <v>Sinta Hidayat</v>
      </c>
      <c r="E1000" s="6" t="str">
        <f t="array" ref="E1000">IFERROR(INDEX(user_table!$E$2:$E3686,MATCH(C1000,user_table!$B$2:$B3686,0)),"")
</f>
        <v>3, 2</v>
      </c>
      <c r="F1000" s="6" t="str">
        <f t="shared" si="2"/>
        <v>13345376</v>
      </c>
      <c r="G1000" s="16">
        <v>5.0</v>
      </c>
      <c r="H1000" s="17">
        <v>44853.0</v>
      </c>
      <c r="I1000" s="18" t="s">
        <v>993</v>
      </c>
    </row>
    <row r="1001">
      <c r="A1001" s="5" t="str">
        <f t="array" ref="A1001">INDEX(event_table!$A$2:$A$69, RANDBETWEEN(1, COUNTA(event_table!$A$2:$A$69)))</f>
        <v>1519</v>
      </c>
      <c r="B1001" s="6">
        <f t="array" ref="B1001">IFERROR(INDEX(event_table!$E$1:$E3686,MATCH(A1001,event_table!$A$1:$A3686,0)),"")
</f>
        <v>5</v>
      </c>
      <c r="C1001" s="7">
        <f t="shared" si="1"/>
        <v>85</v>
      </c>
      <c r="D1001" s="6" t="str">
        <f t="array" ref="D1001">IFERROR(INDEX(user_table!$C$2:$C3686,MATCH(C1001,user_table!$B$2:$B3686,0)),"")
</f>
        <v>Maya Susanto</v>
      </c>
      <c r="E1001" s="6" t="str">
        <f t="array" ref="E1001">IFERROR(INDEX(user_table!$E$2:$E3686,MATCH(C1001,user_table!$B$2:$B3686,0)),"")
</f>
        <v>6, 5</v>
      </c>
      <c r="F1001" s="6" t="str">
        <f t="shared" si="2"/>
        <v>15195585</v>
      </c>
      <c r="G1001" s="16">
        <v>5.0</v>
      </c>
      <c r="H1001" s="17">
        <v>44780.0</v>
      </c>
      <c r="I1001" s="18" t="s">
        <v>994</v>
      </c>
    </row>
    <row r="1002">
      <c r="A1002" s="5" t="str">
        <f t="array" ref="A1002">INDEX(event_table!$A$2:$A$69, RANDBETWEEN(1, COUNTA(event_table!$A$2:$A$69)))</f>
        <v>3166</v>
      </c>
      <c r="B1002" s="6">
        <f t="array" ref="B1002">IFERROR(INDEX(event_table!$E$1:$E3686,MATCH(A1002,event_table!$A$1:$A3686,0)),"")
</f>
        <v>1</v>
      </c>
      <c r="C1002" s="7">
        <f t="shared" si="1"/>
        <v>157</v>
      </c>
      <c r="D1002" s="6" t="str">
        <f t="array" ref="D1002">IFERROR(INDEX(user_table!$C$2:$C3686,MATCH(C1002,user_table!$B$2:$B3686,0)),"")
</f>
        <v>Ani Susanto</v>
      </c>
      <c r="E1002" s="6" t="str">
        <f t="array" ref="E1002">IFERROR(INDEX(user_table!$E$2:$E3686,MATCH(C1002,user_table!$B$2:$B3686,0)),"")
</f>
        <v>4, 1</v>
      </c>
      <c r="F1002" s="6" t="str">
        <f t="shared" si="2"/>
        <v>316651157</v>
      </c>
      <c r="G1002" s="16">
        <v>5.0</v>
      </c>
      <c r="H1002" s="17">
        <v>44723.0</v>
      </c>
      <c r="I1002" s="18" t="s">
        <v>995</v>
      </c>
    </row>
    <row r="1003">
      <c r="A1003" s="5" t="str">
        <f t="array" ref="A1003">INDEX(event_table!$A$2:$A$69, RANDBETWEEN(1, COUNTA(event_table!$A$2:$A$69)))</f>
        <v>1416</v>
      </c>
      <c r="B1003" s="6">
        <f t="array" ref="B1003">IFERROR(INDEX(event_table!$E$1:$E3686,MATCH(A1003,event_table!$A$1:$A3686,0)),"")
</f>
        <v>4</v>
      </c>
      <c r="C1003" s="7">
        <f t="shared" si="1"/>
        <v>190</v>
      </c>
      <c r="D1003" s="6" t="str">
        <f t="array" ref="D1003">IFERROR(INDEX(user_table!$C$2:$C3686,MATCH(C1003,user_table!$B$2:$B3686,0)),"")
</f>
        <v>Fajar Santoso</v>
      </c>
      <c r="E1003" s="6" t="str">
        <f t="array" ref="E1003">IFERROR(INDEX(user_table!$E$2:$E3686,MATCH(C1003,user_table!$B$2:$B3686,0)),"")
</f>
        <v>1, 3</v>
      </c>
      <c r="F1003" s="6" t="str">
        <f t="shared" si="2"/>
        <v>141654190</v>
      </c>
      <c r="G1003" s="16">
        <v>5.0</v>
      </c>
      <c r="H1003" s="17">
        <v>44695.0</v>
      </c>
      <c r="I1003" s="18" t="s">
        <v>996</v>
      </c>
    </row>
    <row r="1004">
      <c r="A1004" s="5" t="str">
        <f t="array" ref="A1004">INDEX(event_table!$A$2:$A$69, RANDBETWEEN(1, COUNTA(event_table!$A$2:$A$69)))</f>
        <v>1417</v>
      </c>
      <c r="B1004" s="6">
        <f t="array" ref="B1004">IFERROR(INDEX(event_table!$E$1:$E3686,MATCH(A1004,event_table!$A$1:$A3686,0)),"")
</f>
        <v>4</v>
      </c>
      <c r="C1004" s="7">
        <f t="shared" si="1"/>
        <v>132</v>
      </c>
      <c r="D1004" s="6" t="str">
        <f t="array" ref="D1004">IFERROR(INDEX(user_table!$C$2:$C3686,MATCH(C1004,user_table!$B$2:$B3686,0)),"")
</f>
        <v>Joko Hartono</v>
      </c>
      <c r="E1004" s="6" t="str">
        <f t="array" ref="E1004">IFERROR(INDEX(user_table!$E$2:$E3686,MATCH(C1004,user_table!$B$2:$B3686,0)),"")
</f>
        <v>1, 3</v>
      </c>
      <c r="F1004" s="6" t="str">
        <f t="shared" si="2"/>
        <v>141754132</v>
      </c>
      <c r="G1004" s="16">
        <v>5.0</v>
      </c>
      <c r="H1004" s="17">
        <v>44687.0</v>
      </c>
      <c r="I1004" s="18" t="s">
        <v>997</v>
      </c>
    </row>
    <row r="1005">
      <c r="A1005" s="5" t="str">
        <f t="array" ref="A1005">INDEX(event_table!$A$2:$A$69, RANDBETWEEN(1, COUNTA(event_table!$A$2:$A$69)))</f>
        <v>1652</v>
      </c>
      <c r="B1005" s="6">
        <f t="array" ref="B1005">IFERROR(INDEX(event_table!$E$1:$E3686,MATCH(A1005,event_table!$A$1:$A3686,0)),"")
</f>
        <v>6</v>
      </c>
      <c r="C1005" s="7">
        <f t="shared" si="1"/>
        <v>75</v>
      </c>
      <c r="D1005" s="6" t="str">
        <f t="array" ref="D1005">IFERROR(INDEX(user_table!$C$2:$C3686,MATCH(C1005,user_table!$B$2:$B3686,0)),"")
</f>
        <v>Citra Sari</v>
      </c>
      <c r="E1005" s="6" t="str">
        <f t="array" ref="E1005">IFERROR(INDEX(user_table!$E$2:$E3686,MATCH(C1005,user_table!$B$2:$B3686,0)),"")
</f>
        <v>2, 5</v>
      </c>
      <c r="F1005" s="6" t="str">
        <f t="shared" si="2"/>
        <v>16525675</v>
      </c>
      <c r="G1005" s="16">
        <v>5.0</v>
      </c>
      <c r="H1005" s="17">
        <v>44687.0</v>
      </c>
      <c r="I1005" s="18" t="s">
        <v>998</v>
      </c>
    </row>
    <row r="1006">
      <c r="A1006" s="5" t="str">
        <f t="array" ref="A1006">INDEX(event_table!$A$2:$A$69, RANDBETWEEN(1, COUNTA(event_table!$A$2:$A$69)))</f>
        <v>1643</v>
      </c>
      <c r="B1006" s="6">
        <f t="array" ref="B1006">IFERROR(INDEX(event_table!$E$1:$E3686,MATCH(A1006,event_table!$A$1:$A3686,0)),"")
</f>
        <v>6</v>
      </c>
      <c r="C1006" s="7">
        <f t="shared" si="1"/>
        <v>195</v>
      </c>
      <c r="D1006" s="6" t="str">
        <f t="array" ref="D1006">IFERROR(INDEX(user_table!$C$2:$C3686,MATCH(C1006,user_table!$B$2:$B3686,0)),"")
</f>
        <v>Rudi Purnama</v>
      </c>
      <c r="E1006" s="6" t="str">
        <f t="array" ref="E1006">IFERROR(INDEX(user_table!$E$2:$E3686,MATCH(C1006,user_table!$B$2:$B3686,0)),"")
</f>
        <v>2, 4</v>
      </c>
      <c r="F1006" s="6" t="str">
        <f t="shared" si="2"/>
        <v>164346195</v>
      </c>
      <c r="G1006" s="16">
        <v>4.0</v>
      </c>
      <c r="H1006" s="17">
        <v>44818.0</v>
      </c>
      <c r="I1006" s="18" t="s">
        <v>999</v>
      </c>
    </row>
    <row r="1007">
      <c r="A1007" s="5" t="str">
        <f t="array" ref="A1007">INDEX(event_table!$A$2:$A$69, RANDBETWEEN(1, COUNTA(event_table!$A$2:$A$69)))</f>
        <v>1519</v>
      </c>
      <c r="B1007" s="6">
        <f t="array" ref="B1007">IFERROR(INDEX(event_table!$E$1:$E3686,MATCH(A1007,event_table!$A$1:$A3686,0)),"")
</f>
        <v>5</v>
      </c>
      <c r="C1007" s="7">
        <f t="shared" si="1"/>
        <v>176</v>
      </c>
      <c r="D1007" s="6" t="str">
        <f t="array" ref="D1007">IFERROR(INDEX(user_table!$C$2:$C3686,MATCH(C1007,user_table!$B$2:$B3686,0)),"")
</f>
        <v>Ani Hartono</v>
      </c>
      <c r="E1007" s="6" t="str">
        <f t="array" ref="E1007">IFERROR(INDEX(user_table!$E$2:$E3686,MATCH(C1007,user_table!$B$2:$B3686,0)),"")
</f>
        <v>2, 3</v>
      </c>
      <c r="F1007" s="6" t="str">
        <f t="shared" si="2"/>
        <v>151945176</v>
      </c>
      <c r="G1007" s="16">
        <v>4.0</v>
      </c>
      <c r="H1007" s="17">
        <v>44723.0</v>
      </c>
      <c r="I1007" s="18" t="s">
        <v>1000</v>
      </c>
    </row>
    <row r="1008">
      <c r="A1008" s="5" t="str">
        <f t="array" ref="A1008">INDEX(event_table!$A$2:$A$69, RANDBETWEEN(1, COUNTA(event_table!$A$2:$A$69)))</f>
        <v>1332</v>
      </c>
      <c r="B1008" s="6">
        <f t="array" ref="B1008">IFERROR(INDEX(event_table!$E$1:$E3686,MATCH(A1008,event_table!$A$1:$A3686,0)),"")
</f>
        <v>3</v>
      </c>
      <c r="C1008" s="7">
        <f t="shared" si="1"/>
        <v>26</v>
      </c>
      <c r="D1008" s="6" t="str">
        <f t="array" ref="D1008">IFERROR(INDEX(user_table!$C$2:$C3686,MATCH(C1008,user_table!$B$2:$B3686,0)),"")
</f>
        <v>Citra Sari</v>
      </c>
      <c r="E1008" s="6" t="str">
        <f t="array" ref="E1008">IFERROR(INDEX(user_table!$E$2:$E3686,MATCH(C1008,user_table!$B$2:$B3686,0)),"")
</f>
        <v>5, 1</v>
      </c>
      <c r="F1008" s="6" t="str">
        <f t="shared" si="2"/>
        <v>13323326</v>
      </c>
      <c r="G1008" s="16">
        <v>3.0</v>
      </c>
      <c r="H1008" s="17">
        <v>44965.0</v>
      </c>
      <c r="I1008" s="18" t="s">
        <v>1001</v>
      </c>
    </row>
    <row r="1009">
      <c r="A1009" s="5" t="str">
        <f t="array" ref="A1009">INDEX(event_table!$A$2:$A$69, RANDBETWEEN(1, COUNTA(event_table!$A$2:$A$69)))</f>
        <v>1646</v>
      </c>
      <c r="B1009" s="6">
        <f t="array" ref="B1009">IFERROR(INDEX(event_table!$E$1:$E3686,MATCH(A1009,event_table!$A$1:$A3686,0)),"")
</f>
        <v>6</v>
      </c>
      <c r="C1009" s="7">
        <f t="shared" si="1"/>
        <v>70</v>
      </c>
      <c r="D1009" s="6" t="str">
        <f t="array" ref="D1009">IFERROR(INDEX(user_table!$C$2:$C3686,MATCH(C1009,user_table!$B$2:$B3686,0)),"")
</f>
        <v>Fandi Hadiwijaya</v>
      </c>
      <c r="E1009" s="6" t="str">
        <f t="array" ref="E1009">IFERROR(INDEX(user_table!$E$2:$E3686,MATCH(C1009,user_table!$B$2:$B3686,0)),"")
</f>
        <v>1, 4</v>
      </c>
      <c r="F1009" s="6" t="str">
        <f t="shared" si="2"/>
        <v>16463670</v>
      </c>
      <c r="G1009" s="16">
        <v>3.0</v>
      </c>
      <c r="H1009" s="17">
        <v>44689.0</v>
      </c>
      <c r="I1009" s="18" t="s">
        <v>1002</v>
      </c>
    </row>
    <row r="1010">
      <c r="A1010" s="5" t="str">
        <f t="array" ref="A1010">INDEX(event_table!$A$2:$A$69, RANDBETWEEN(1, COUNTA(event_table!$A$2:$A$69)))</f>
        <v>1641</v>
      </c>
      <c r="B1010" s="6">
        <f t="array" ref="B1010">IFERROR(INDEX(event_table!$E$1:$E3686,MATCH(A1010,event_table!$A$1:$A3686,0)),"")
</f>
        <v>6</v>
      </c>
      <c r="C1010" s="7">
        <f t="shared" si="1"/>
        <v>144</v>
      </c>
      <c r="D1010" s="6" t="str">
        <f t="array" ref="D1010">IFERROR(INDEX(user_table!$C$2:$C3686,MATCH(C1010,user_table!$B$2:$B3686,0)),"")
</f>
        <v>Sinta Rahayu</v>
      </c>
      <c r="E1010" s="6" t="str">
        <f t="array" ref="E1010">IFERROR(INDEX(user_table!$E$2:$E3686,MATCH(C1010,user_table!$B$2:$B3686,0)),"")
</f>
        <v>6, 3</v>
      </c>
      <c r="F1010" s="6" t="str">
        <f t="shared" si="2"/>
        <v>164136144</v>
      </c>
      <c r="G1010" s="16">
        <v>3.0</v>
      </c>
      <c r="H1010" s="17">
        <v>44679.0</v>
      </c>
      <c r="I1010" s="18" t="s">
        <v>1003</v>
      </c>
    </row>
    <row r="1011">
      <c r="A1011" s="5" t="str">
        <f t="array" ref="A1011">INDEX(event_table!$A$2:$A$69, RANDBETWEEN(1, COUNTA(event_table!$A$2:$A$69)))</f>
        <v>1651</v>
      </c>
      <c r="B1011" s="6">
        <f t="array" ref="B1011">IFERROR(INDEX(event_table!$E$1:$E3686,MATCH(A1011,event_table!$A$1:$A3686,0)),"")
</f>
        <v>6</v>
      </c>
      <c r="C1011" s="7">
        <f t="shared" si="1"/>
        <v>122</v>
      </c>
      <c r="D1011" s="6" t="str">
        <f t="array" ref="D1011">IFERROR(INDEX(user_table!$C$2:$C3686,MATCH(C1011,user_table!$B$2:$B3686,0)),"")
</f>
        <v>Maya Setiawan</v>
      </c>
      <c r="E1011" s="6" t="str">
        <f t="array" ref="E1011">IFERROR(INDEX(user_table!$E$2:$E3686,MATCH(C1011,user_table!$B$2:$B3686,0)),"")
</f>
        <v>2, 3</v>
      </c>
      <c r="F1011" s="6" t="str">
        <f t="shared" si="2"/>
        <v>165136122</v>
      </c>
      <c r="G1011" s="16">
        <v>3.0</v>
      </c>
      <c r="H1011" s="17">
        <v>45177.0</v>
      </c>
      <c r="I1011" s="18" t="s">
        <v>1004</v>
      </c>
    </row>
    <row r="1012">
      <c r="A1012" s="5" t="str">
        <f t="array" ref="A1012">INDEX(event_table!$A$2:$A$69, RANDBETWEEN(1, COUNTA(event_table!$A$2:$A$69)))</f>
        <v>3455</v>
      </c>
      <c r="B1012" s="6">
        <f t="array" ref="B1012">IFERROR(INDEX(event_table!$E$1:$E3686,MATCH(A1012,event_table!$A$1:$A3686,0)),"")
</f>
        <v>4</v>
      </c>
      <c r="C1012" s="7">
        <f t="shared" si="1"/>
        <v>110</v>
      </c>
      <c r="D1012" s="6" t="str">
        <f t="array" ref="D1012">IFERROR(INDEX(user_table!$C$2:$C3686,MATCH(C1012,user_table!$B$2:$B3686,0)),"")
</f>
        <v>Fajar Wijaya</v>
      </c>
      <c r="E1012" s="6" t="str">
        <f t="array" ref="E1012">IFERROR(INDEX(user_table!$E$2:$E3686,MATCH(C1012,user_table!$B$2:$B3686,0)),"")
</f>
        <v>3, 6</v>
      </c>
      <c r="F1012" s="6" t="str">
        <f t="shared" si="2"/>
        <v>345534110</v>
      </c>
      <c r="G1012" s="16">
        <v>3.0</v>
      </c>
      <c r="H1012" s="17">
        <v>45148.0</v>
      </c>
      <c r="I1012" s="18" t="s">
        <v>914</v>
      </c>
    </row>
    <row r="1013">
      <c r="A1013" s="5" t="str">
        <f t="array" ref="A1013">INDEX(event_table!$A$2:$A$69, RANDBETWEEN(1, COUNTA(event_table!$A$2:$A$69)))</f>
        <v>1528</v>
      </c>
      <c r="B1013" s="6">
        <f t="array" ref="B1013">IFERROR(INDEX(event_table!$E$1:$E3686,MATCH(A1013,event_table!$A$1:$A3686,0)),"")
</f>
        <v>5</v>
      </c>
      <c r="C1013" s="7">
        <f t="shared" si="1"/>
        <v>109</v>
      </c>
      <c r="D1013" s="6" t="str">
        <f t="array" ref="D1013">IFERROR(INDEX(user_table!$C$2:$C3686,MATCH(C1013,user_table!$B$2:$B3686,0)),"")
</f>
        <v>Ani Sari</v>
      </c>
      <c r="E1013" s="6" t="str">
        <f t="array" ref="E1013">IFERROR(INDEX(user_table!$E$2:$E3686,MATCH(C1013,user_table!$B$2:$B3686,0)),"")
</f>
        <v>4, 5</v>
      </c>
      <c r="F1013" s="6" t="str">
        <f t="shared" si="2"/>
        <v>152835109</v>
      </c>
      <c r="G1013" s="16">
        <v>3.0</v>
      </c>
      <c r="H1013" s="17">
        <v>45105.0</v>
      </c>
      <c r="I1013" s="18" t="s">
        <v>1005</v>
      </c>
    </row>
    <row r="1014">
      <c r="A1014" s="5" t="str">
        <f t="array" ref="A1014">INDEX(event_table!$A$2:$A$69, RANDBETWEEN(1, COUNTA(event_table!$A$2:$A$69)))</f>
        <v>1642</v>
      </c>
      <c r="B1014" s="6">
        <f t="array" ref="B1014">IFERROR(INDEX(event_table!$E$1:$E3686,MATCH(A1014,event_table!$A$1:$A3686,0)),"")
</f>
        <v>6</v>
      </c>
      <c r="C1014" s="7">
        <f t="shared" si="1"/>
        <v>22</v>
      </c>
      <c r="D1014" s="6" t="str">
        <f t="array" ref="D1014">IFERROR(INDEX(user_table!$C$2:$C3686,MATCH(C1014,user_table!$B$2:$B3686,0)),"")
</f>
        <v>Fajar Wijaya</v>
      </c>
      <c r="E1014" s="6" t="str">
        <f t="array" ref="E1014">IFERROR(INDEX(user_table!$E$2:$E3686,MATCH(C1014,user_table!$B$2:$B3686,0)),"")
</f>
        <v>2, 6</v>
      </c>
      <c r="F1014" s="6" t="str">
        <f t="shared" si="2"/>
        <v>16422622</v>
      </c>
      <c r="G1014" s="16">
        <v>2.0</v>
      </c>
      <c r="H1014" s="17">
        <v>44722.0</v>
      </c>
      <c r="I1014" s="18" t="s">
        <v>1006</v>
      </c>
    </row>
    <row r="1015">
      <c r="A1015" s="5" t="str">
        <f t="array" ref="A1015">INDEX(event_table!$A$2:$A$69, RANDBETWEEN(1, COUNTA(event_table!$A$2:$A$69)))</f>
        <v>1639</v>
      </c>
      <c r="B1015" s="6">
        <f t="array" ref="B1015">IFERROR(INDEX(event_table!$E$1:$E3686,MATCH(A1015,event_table!$A$1:$A3686,0)),"")
</f>
        <v>6</v>
      </c>
      <c r="C1015" s="7">
        <f t="shared" si="1"/>
        <v>158</v>
      </c>
      <c r="D1015" s="6" t="str">
        <f t="array" ref="D1015">IFERROR(INDEX(user_table!$C$2:$C3686,MATCH(C1015,user_table!$B$2:$B3686,0)),"")
</f>
        <v>Maya Wijaya</v>
      </c>
      <c r="E1015" s="6" t="str">
        <f t="array" ref="E1015">IFERROR(INDEX(user_table!$E$2:$E3686,MATCH(C1015,user_table!$B$2:$B3686,0)),"")
</f>
        <v>3, 4</v>
      </c>
      <c r="F1015" s="6" t="str">
        <f t="shared" si="2"/>
        <v>163926158</v>
      </c>
      <c r="G1015" s="16">
        <v>2.0</v>
      </c>
      <c r="H1015" s="17">
        <v>44687.0</v>
      </c>
      <c r="I1015" s="18" t="s">
        <v>1007</v>
      </c>
    </row>
    <row r="1016">
      <c r="A1016" s="5" t="str">
        <f t="array" ref="A1016">INDEX(event_table!$A$2:$A$69, RANDBETWEEN(1, COUNTA(event_table!$A$2:$A$69)))</f>
        <v>1638</v>
      </c>
      <c r="B1016" s="6">
        <f t="array" ref="B1016">IFERROR(INDEX(event_table!$E$1:$E3686,MATCH(A1016,event_table!$A$1:$A3686,0)),"")
</f>
        <v>6</v>
      </c>
      <c r="C1016" s="7">
        <f t="shared" si="1"/>
        <v>104</v>
      </c>
      <c r="D1016" s="6" t="str">
        <f t="array" ref="D1016">IFERROR(INDEX(user_table!$C$2:$C3686,MATCH(C1016,user_table!$B$2:$B3686,0)),"")
</f>
        <v>Fajar Utami</v>
      </c>
      <c r="E1016" s="6" t="str">
        <f t="array" ref="E1016">IFERROR(INDEX(user_table!$E$2:$E3686,MATCH(C1016,user_table!$B$2:$B3686,0)),"")
</f>
        <v>2, 5</v>
      </c>
      <c r="F1016" s="6" t="str">
        <f t="shared" si="2"/>
        <v>163826104</v>
      </c>
      <c r="G1016" s="16">
        <v>2.0</v>
      </c>
      <c r="H1016" s="17">
        <v>44878.0</v>
      </c>
      <c r="I1016" s="18" t="s">
        <v>1008</v>
      </c>
    </row>
    <row r="1017">
      <c r="A1017" s="5" t="str">
        <f t="array" ref="A1017">INDEX(event_table!$A$2:$A$69, RANDBETWEEN(1, COUNTA(event_table!$A$2:$A$69)))</f>
        <v>3162</v>
      </c>
      <c r="B1017" s="6">
        <f t="array" ref="B1017">IFERROR(INDEX(event_table!$E$1:$E3686,MATCH(A1017,event_table!$A$1:$A3686,0)),"")
</f>
        <v>1</v>
      </c>
      <c r="C1017" s="7">
        <f t="shared" si="1"/>
        <v>77</v>
      </c>
      <c r="D1017" s="6" t="str">
        <f t="array" ref="D1017">IFERROR(INDEX(user_table!$C$2:$C3686,MATCH(C1017,user_table!$B$2:$B3686,0)),"")
</f>
        <v>Desi Wijaya</v>
      </c>
      <c r="E1017" s="6" t="str">
        <f t="array" ref="E1017">IFERROR(INDEX(user_table!$E$2:$E3686,MATCH(C1017,user_table!$B$2:$B3686,0)),"")
</f>
        <v>3, 1</v>
      </c>
      <c r="F1017" s="6" t="str">
        <f t="shared" si="2"/>
        <v>31622177</v>
      </c>
      <c r="G1017" s="16">
        <v>2.0</v>
      </c>
      <c r="H1017" s="17">
        <v>45239.0</v>
      </c>
      <c r="I1017" s="18" t="s">
        <v>1009</v>
      </c>
    </row>
    <row r="1018">
      <c r="A1018" s="5" t="str">
        <f t="array" ref="A1018">INDEX(event_table!$A$2:$A$69, RANDBETWEEN(1, COUNTA(event_table!$A$2:$A$69)))</f>
        <v>1649</v>
      </c>
      <c r="B1018" s="6">
        <f t="array" ref="B1018">IFERROR(INDEX(event_table!$E$1:$E3686,MATCH(A1018,event_table!$A$1:$A3686,0)),"")
</f>
        <v>6</v>
      </c>
      <c r="C1018" s="7">
        <f t="shared" si="1"/>
        <v>168</v>
      </c>
      <c r="D1018" s="6" t="str">
        <f t="array" ref="D1018">IFERROR(INDEX(user_table!$C$2:$C3686,MATCH(C1018,user_table!$B$2:$B3686,0)),"")
</f>
        <v>Lina Kurniawan</v>
      </c>
      <c r="E1018" s="6" t="str">
        <f t="array" ref="E1018">IFERROR(INDEX(user_table!$E$2:$E3686,MATCH(C1018,user_table!$B$2:$B3686,0)),"")
</f>
        <v>2, 2</v>
      </c>
      <c r="F1018" s="6" t="str">
        <f t="shared" si="2"/>
        <v>164926168</v>
      </c>
      <c r="G1018" s="16">
        <v>2.0</v>
      </c>
      <c r="H1018" s="17">
        <v>44950.0</v>
      </c>
      <c r="I1018" s="18" t="s">
        <v>1010</v>
      </c>
    </row>
    <row r="1019">
      <c r="A1019" s="5" t="str">
        <f t="array" ref="A1019">INDEX(event_table!$A$2:$A$69, RANDBETWEEN(1, COUNTA(event_table!$A$2:$A$69)))</f>
        <v>116</v>
      </c>
      <c r="B1019" s="6">
        <f t="array" ref="B1019">IFERROR(INDEX(event_table!$E$1:$E3686,MATCH(A1019,event_table!$A$1:$A3686,0)),"")
</f>
        <v>1</v>
      </c>
      <c r="C1019" s="7">
        <f t="shared" si="1"/>
        <v>44</v>
      </c>
      <c r="D1019" s="6" t="str">
        <f t="array" ref="D1019">IFERROR(INDEX(user_table!$C$2:$C3686,MATCH(C1019,user_table!$B$2:$B3686,0)),"")
</f>
        <v>Arif Sari</v>
      </c>
      <c r="E1019" s="6" t="str">
        <f t="array" ref="E1019">IFERROR(INDEX(user_table!$E$2:$E3686,MATCH(C1019,user_table!$B$2:$B3686,0)),"")
</f>
        <v>2, 4</v>
      </c>
      <c r="F1019" s="6" t="str">
        <f t="shared" si="2"/>
        <v>1162144</v>
      </c>
      <c r="G1019" s="16">
        <v>2.0</v>
      </c>
      <c r="H1019" s="17">
        <v>44560.0</v>
      </c>
      <c r="I1019" s="18" t="s">
        <v>1011</v>
      </c>
    </row>
    <row r="1020">
      <c r="A1020" s="5" t="str">
        <f t="array" ref="A1020">INDEX(event_table!$A$2:$A$69, RANDBETWEEN(1, COUNTA(event_table!$A$2:$A$69)))</f>
        <v>1641</v>
      </c>
      <c r="B1020" s="6">
        <f t="array" ref="B1020">IFERROR(INDEX(event_table!$E$1:$E3686,MATCH(A1020,event_table!$A$1:$A3686,0)),"")
</f>
        <v>6</v>
      </c>
      <c r="C1020" s="7">
        <f t="shared" si="1"/>
        <v>84</v>
      </c>
      <c r="D1020" s="6" t="str">
        <f t="array" ref="D1020">IFERROR(INDEX(user_table!$C$2:$C3686,MATCH(C1020,user_table!$B$2:$B3686,0)),"")
</f>
        <v>Budi Hermawan</v>
      </c>
      <c r="E1020" s="6" t="str">
        <f t="array" ref="E1020">IFERROR(INDEX(user_table!$E$2:$E3686,MATCH(C1020,user_table!$B$2:$B3686,0)),"")
</f>
        <v>5, 5</v>
      </c>
      <c r="F1020" s="6" t="str">
        <f t="shared" si="2"/>
        <v>16412684</v>
      </c>
      <c r="G1020" s="16">
        <v>2.0</v>
      </c>
      <c r="H1020" s="17">
        <v>44487.0</v>
      </c>
      <c r="I1020" s="18" t="s">
        <v>1012</v>
      </c>
    </row>
    <row r="1021">
      <c r="A1021" s="5" t="str">
        <f t="array" ref="A1021">INDEX(event_table!$A$2:$A$69, RANDBETWEEN(1, COUNTA(event_table!$A$2:$A$69)))</f>
        <v>118</v>
      </c>
      <c r="B1021" s="6">
        <f t="array" ref="B1021">IFERROR(INDEX(event_table!$E$1:$E3686,MATCH(A1021,event_table!$A$1:$A3686,0)),"")
</f>
        <v>1</v>
      </c>
      <c r="C1021" s="7">
        <f t="shared" si="1"/>
        <v>119</v>
      </c>
      <c r="D1021" s="6" t="str">
        <f t="array" ref="D1021">IFERROR(INDEX(user_table!$C$2:$C3686,MATCH(C1021,user_table!$B$2:$B3686,0)),"")
</f>
        <v>Budi Rahayu</v>
      </c>
      <c r="E1021" s="6" t="str">
        <f t="array" ref="E1021">IFERROR(INDEX(user_table!$E$2:$E3686,MATCH(C1021,user_table!$B$2:$B3686,0)),"")
</f>
        <v>1, 2</v>
      </c>
      <c r="F1021" s="6" t="str">
        <f t="shared" si="2"/>
        <v>11821119</v>
      </c>
      <c r="G1021" s="16">
        <v>2.0</v>
      </c>
      <c r="H1021" s="17">
        <v>44361.0</v>
      </c>
      <c r="I1021" s="18" t="s">
        <v>1013</v>
      </c>
    </row>
    <row r="1022">
      <c r="A1022" s="5" t="str">
        <f t="array" ref="A1022">INDEX(event_table!$A$2:$A$69, RANDBETWEEN(1, COUNTA(event_table!$A$2:$A$69)))</f>
        <v>1335</v>
      </c>
      <c r="B1022" s="6">
        <f t="array" ref="B1022">IFERROR(INDEX(event_table!$E$1:$E3686,MATCH(A1022,event_table!$A$1:$A3686,0)),"")
</f>
        <v>3</v>
      </c>
      <c r="C1022" s="7">
        <f t="shared" si="1"/>
        <v>148</v>
      </c>
      <c r="D1022" s="6" t="str">
        <f t="array" ref="D1022">IFERROR(INDEX(user_table!$C$2:$C3686,MATCH(C1022,user_table!$B$2:$B3686,0)),"")
</f>
        <v>Fajar Setiawan</v>
      </c>
      <c r="E1022" s="6" t="str">
        <f t="array" ref="E1022">IFERROR(INDEX(user_table!$E$2:$E3686,MATCH(C1022,user_table!$B$2:$B3686,0)),"")
</f>
        <v>6, 4</v>
      </c>
      <c r="F1022" s="6" t="str">
        <f t="shared" si="2"/>
        <v>133523148</v>
      </c>
      <c r="G1022" s="16">
        <v>2.0</v>
      </c>
      <c r="H1022" s="17">
        <v>45227.0</v>
      </c>
      <c r="I1022" s="18" t="s">
        <v>1014</v>
      </c>
    </row>
    <row r="1023">
      <c r="A1023" s="5" t="str">
        <f t="array" ref="A1023">INDEX(event_table!$A$2:$A$69, RANDBETWEEN(1, COUNTA(event_table!$A$2:$A$69)))</f>
        <v>1648</v>
      </c>
      <c r="B1023" s="6">
        <f t="array" ref="B1023">IFERROR(INDEX(event_table!$E$1:$E3686,MATCH(A1023,event_table!$A$1:$A3686,0)),"")
</f>
        <v>6</v>
      </c>
      <c r="C1023" s="7">
        <f t="shared" si="1"/>
        <v>95</v>
      </c>
      <c r="D1023" s="6" t="str">
        <f t="array" ref="D1023">IFERROR(INDEX(user_table!$C$2:$C3686,MATCH(C1023,user_table!$B$2:$B3686,0)),"")
</f>
        <v>Ani Pratama</v>
      </c>
      <c r="E1023" s="6" t="str">
        <f t="array" ref="E1023">IFERROR(INDEX(user_table!$E$2:$E3686,MATCH(C1023,user_table!$B$2:$B3686,0)),"")
</f>
        <v>3, 5</v>
      </c>
      <c r="F1023" s="6" t="str">
        <f t="shared" si="2"/>
        <v>16482695</v>
      </c>
      <c r="G1023" s="16">
        <v>2.0</v>
      </c>
      <c r="H1023" s="17">
        <v>45206.0</v>
      </c>
      <c r="I1023" s="18" t="s">
        <v>1015</v>
      </c>
    </row>
    <row r="1024">
      <c r="A1024" s="5" t="str">
        <f t="array" ref="A1024">INDEX(event_table!$A$2:$A$69, RANDBETWEEN(1, COUNTA(event_table!$A$2:$A$69)))</f>
        <v>1212</v>
      </c>
      <c r="B1024" s="6">
        <f t="array" ref="B1024">IFERROR(INDEX(event_table!$E$1:$E3686,MATCH(A1024,event_table!$A$1:$A3686,0)),"")
</f>
        <v>2</v>
      </c>
      <c r="C1024" s="7">
        <f t="shared" si="1"/>
        <v>56</v>
      </c>
      <c r="D1024" s="6" t="str">
        <f t="array" ref="D1024">IFERROR(INDEX(user_table!$C$2:$C3686,MATCH(C1024,user_table!$B$2:$B3686,0)),"")
</f>
        <v>Desi Putri</v>
      </c>
      <c r="E1024" s="6" t="str">
        <f t="array" ref="E1024">IFERROR(INDEX(user_table!$E$2:$E3686,MATCH(C1024,user_table!$B$2:$B3686,0)),"")
</f>
        <v>1, 3</v>
      </c>
      <c r="F1024" s="6" t="str">
        <f t="shared" si="2"/>
        <v>12122256</v>
      </c>
      <c r="G1024" s="16">
        <v>2.0</v>
      </c>
      <c r="H1024" s="17">
        <v>45146.0</v>
      </c>
      <c r="I1024" s="18" t="s">
        <v>1016</v>
      </c>
    </row>
    <row r="1025">
      <c r="A1025" s="5" t="str">
        <f t="array" ref="A1025">INDEX(event_table!$A$2:$A$69, RANDBETWEEN(1, COUNTA(event_table!$A$2:$A$69)))</f>
        <v>1332</v>
      </c>
      <c r="B1025" s="6">
        <f t="array" ref="B1025">IFERROR(INDEX(event_table!$E$1:$E3686,MATCH(A1025,event_table!$A$1:$A3686,0)),"")
</f>
        <v>3</v>
      </c>
      <c r="C1025" s="7">
        <f t="shared" si="1"/>
        <v>117</v>
      </c>
      <c r="D1025" s="6" t="str">
        <f t="array" ref="D1025">IFERROR(INDEX(user_table!$C$2:$C3686,MATCH(C1025,user_table!$B$2:$B3686,0)),"")
</f>
        <v>Wahyu Sari</v>
      </c>
      <c r="E1025" s="6" t="str">
        <f t="array" ref="E1025">IFERROR(INDEX(user_table!$E$2:$E3686,MATCH(C1025,user_table!$B$2:$B3686,0)),"")
</f>
        <v>4, 2</v>
      </c>
      <c r="F1025" s="6" t="str">
        <f t="shared" si="2"/>
        <v>133223117</v>
      </c>
      <c r="G1025" s="16">
        <v>2.0</v>
      </c>
      <c r="H1025" s="17">
        <v>45114.0</v>
      </c>
      <c r="I1025" s="18" t="s">
        <v>1017</v>
      </c>
    </row>
    <row r="1026">
      <c r="A1026" s="5" t="str">
        <f t="array" ref="A1026">INDEX(event_table!$A$2:$A$69, RANDBETWEEN(1, COUNTA(event_table!$A$2:$A$69)))</f>
        <v>1416</v>
      </c>
      <c r="B1026" s="6">
        <f t="array" ref="B1026">IFERROR(INDEX(event_table!$E$1:$E3686,MATCH(A1026,event_table!$A$1:$A3686,0)),"")
</f>
        <v>4</v>
      </c>
      <c r="C1026" s="7">
        <f t="shared" si="1"/>
        <v>20</v>
      </c>
      <c r="D1026" s="6" t="str">
        <f t="array" ref="D1026">IFERROR(INDEX(user_table!$C$2:$C3686,MATCH(C1026,user_table!$B$2:$B3686,0)),"")
</f>
        <v>Arif Septiani</v>
      </c>
      <c r="E1026" s="6" t="str">
        <f t="array" ref="E1026">IFERROR(INDEX(user_table!$E$2:$E3686,MATCH(C1026,user_table!$B$2:$B3686,0)),"")
</f>
        <v>6, 3</v>
      </c>
      <c r="F1026" s="6" t="str">
        <f t="shared" si="2"/>
        <v>14161420</v>
      </c>
      <c r="G1026" s="16">
        <v>1.0</v>
      </c>
      <c r="H1026" s="17">
        <v>45191.0</v>
      </c>
      <c r="I1026" s="18" t="s">
        <v>1018</v>
      </c>
    </row>
    <row r="1027">
      <c r="A1027" s="5" t="str">
        <f t="array" ref="A1027">INDEX(event_table!$A$2:$A$69, RANDBETWEEN(1, COUNTA(event_table!$A$2:$A$69)))</f>
        <v>1645</v>
      </c>
      <c r="B1027" s="6">
        <f t="array" ref="B1027">IFERROR(INDEX(event_table!$E$1:$E3686,MATCH(A1027,event_table!$A$1:$A3686,0)),"")
</f>
        <v>6</v>
      </c>
      <c r="C1027" s="7">
        <f t="shared" si="1"/>
        <v>150</v>
      </c>
      <c r="D1027" s="6" t="str">
        <f t="array" ref="D1027">IFERROR(INDEX(user_table!$C$2:$C3686,MATCH(C1027,user_table!$B$2:$B3686,0)),"")
</f>
        <v>Dina Susanto</v>
      </c>
      <c r="E1027" s="6" t="str">
        <f t="array" ref="E1027">IFERROR(INDEX(user_table!$E$2:$E3686,MATCH(C1027,user_table!$B$2:$B3686,0)),"")
</f>
        <v>2, 6</v>
      </c>
      <c r="F1027" s="6" t="str">
        <f t="shared" si="2"/>
        <v>164516150</v>
      </c>
      <c r="G1027" s="16">
        <v>1.0</v>
      </c>
      <c r="H1027" s="17">
        <v>45210.0</v>
      </c>
      <c r="I1027" s="18" t="s">
        <v>1019</v>
      </c>
    </row>
    <row r="1028">
      <c r="A1028" s="5" t="str">
        <f t="array" ref="A1028">INDEX(event_table!$A$2:$A$69, RANDBETWEEN(1, COUNTA(event_table!$A$2:$A$69)))</f>
        <v>114</v>
      </c>
      <c r="B1028" s="6">
        <f t="array" ref="B1028">IFERROR(INDEX(event_table!$E$1:$E3686,MATCH(A1028,event_table!$A$1:$A3686,0)),"")
</f>
        <v>1</v>
      </c>
      <c r="C1028" s="7">
        <f t="shared" si="1"/>
        <v>13</v>
      </c>
      <c r="D1028" s="6" t="str">
        <f t="array" ref="D1028">IFERROR(INDEX(user_table!$C$2:$C3686,MATCH(C1028,user_table!$B$2:$B3686,0)),"")
</f>
        <v>Hadi Kurniawan</v>
      </c>
      <c r="E1028" s="6" t="str">
        <f t="array" ref="E1028">IFERROR(INDEX(user_table!$E$2:$E3686,MATCH(C1028,user_table!$B$2:$B3686,0)),"")
</f>
        <v>4, 3</v>
      </c>
      <c r="F1028" s="6" t="str">
        <f t="shared" si="2"/>
        <v>1141113</v>
      </c>
      <c r="G1028" s="16">
        <v>1.0</v>
      </c>
      <c r="H1028" s="17">
        <v>45153.0</v>
      </c>
      <c r="I1028" s="18" t="s">
        <v>1020</v>
      </c>
    </row>
    <row r="1029">
      <c r="A1029" s="5" t="str">
        <f t="array" ref="A1029">INDEX(event_table!$A$2:$A$69, RANDBETWEEN(1, COUNTA(event_table!$A$2:$A$69)))</f>
        <v>1640</v>
      </c>
      <c r="B1029" s="6">
        <f t="array" ref="B1029">IFERROR(INDEX(event_table!$E$1:$E3686,MATCH(A1029,event_table!$A$1:$A3686,0)),"")
</f>
        <v>6</v>
      </c>
      <c r="C1029" s="7">
        <f t="shared" si="1"/>
        <v>115</v>
      </c>
      <c r="D1029" s="6" t="str">
        <f t="array" ref="D1029">IFERROR(INDEX(user_table!$C$2:$C3686,MATCH(C1029,user_table!$B$2:$B3686,0)),"")
</f>
        <v>Dewi Septiani</v>
      </c>
      <c r="E1029" s="6" t="str">
        <f t="array" ref="E1029">IFERROR(INDEX(user_table!$E$2:$E3686,MATCH(C1029,user_table!$B$2:$B3686,0)),"")
</f>
        <v>6, 3</v>
      </c>
      <c r="F1029" s="6" t="str">
        <f t="shared" si="2"/>
        <v>164016115</v>
      </c>
      <c r="G1029" s="16">
        <v>1.0</v>
      </c>
      <c r="H1029" s="17">
        <v>45153.0</v>
      </c>
      <c r="I1029" s="18" t="s">
        <v>1021</v>
      </c>
    </row>
    <row r="1030">
      <c r="A1030" s="5" t="str">
        <f t="array" ref="A1030">INDEX(event_table!$A$2:$A$69, RANDBETWEEN(1, COUNTA(event_table!$A$2:$A$69)))</f>
        <v>1529</v>
      </c>
      <c r="B1030" s="6">
        <f t="array" ref="B1030">IFERROR(INDEX(event_table!$E$1:$E3686,MATCH(A1030,event_table!$A$1:$A3686,0)),"")
</f>
        <v>5</v>
      </c>
      <c r="C1030" s="7">
        <f t="shared" si="1"/>
        <v>10</v>
      </c>
      <c r="D1030" s="6" t="str">
        <f t="array" ref="D1030">IFERROR(INDEX(user_table!$C$2:$C3686,MATCH(C1030,user_table!$B$2:$B3686,0)),"")
</f>
        <v>Dina Susanto</v>
      </c>
      <c r="E1030" s="6" t="str">
        <f t="array" ref="E1030">IFERROR(INDEX(user_table!$E$2:$E3686,MATCH(C1030,user_table!$B$2:$B3686,0)),"")
</f>
        <v>4, 5</v>
      </c>
      <c r="F1030" s="6" t="str">
        <f t="shared" si="2"/>
        <v>15291510</v>
      </c>
      <c r="G1030" s="16">
        <v>1.0</v>
      </c>
      <c r="H1030" s="17">
        <v>45150.0</v>
      </c>
      <c r="I1030" s="18" t="s">
        <v>1022</v>
      </c>
    </row>
    <row r="1031">
      <c r="A1031" s="5" t="str">
        <f t="array" ref="A1031">INDEX(event_table!$A$2:$A$69, RANDBETWEEN(1, COUNTA(event_table!$A$2:$A$69)))</f>
        <v>1652</v>
      </c>
      <c r="B1031" s="6">
        <f t="array" ref="B1031">IFERROR(INDEX(event_table!$E$1:$E3686,MATCH(A1031,event_table!$A$1:$A3686,0)),"")
</f>
        <v>6</v>
      </c>
      <c r="C1031" s="7">
        <f t="shared" si="1"/>
        <v>74</v>
      </c>
      <c r="D1031" s="6" t="str">
        <f t="array" ref="D1031">IFERROR(INDEX(user_table!$C$2:$C3686,MATCH(C1031,user_table!$B$2:$B3686,0)),"")
</f>
        <v>Arif Purnama</v>
      </c>
      <c r="E1031" s="6" t="str">
        <f t="array" ref="E1031">IFERROR(INDEX(user_table!$E$2:$E3686,MATCH(C1031,user_table!$B$2:$B3686,0)),"")
</f>
        <v>3, 2</v>
      </c>
      <c r="F1031" s="6" t="str">
        <f t="shared" si="2"/>
        <v>16521674</v>
      </c>
      <c r="G1031" s="16">
        <v>1.0</v>
      </c>
      <c r="H1031" s="17">
        <v>45143.0</v>
      </c>
      <c r="I1031" s="18" t="s">
        <v>1023</v>
      </c>
    </row>
    <row r="1032">
      <c r="A1032" s="5" t="str">
        <f t="array" ref="A1032">INDEX(event_table!$A$2:$A$69, RANDBETWEEN(1, COUNTA(event_table!$A$2:$A$69)))</f>
        <v>1652</v>
      </c>
      <c r="B1032" s="6">
        <f t="array" ref="B1032">IFERROR(INDEX(event_table!$E$1:$E3686,MATCH(A1032,event_table!$A$1:$A3686,0)),"")
</f>
        <v>6</v>
      </c>
      <c r="C1032" s="7">
        <f t="shared" si="1"/>
        <v>27</v>
      </c>
      <c r="D1032" s="6" t="str">
        <f t="array" ref="D1032">IFERROR(INDEX(user_table!$C$2:$C3686,MATCH(C1032,user_table!$B$2:$B3686,0)),"")
</f>
        <v>Fandi Purnama</v>
      </c>
      <c r="E1032" s="6" t="str">
        <f t="array" ref="E1032">IFERROR(INDEX(user_table!$E$2:$E3686,MATCH(C1032,user_table!$B$2:$B3686,0)),"")
</f>
        <v>4, 6</v>
      </c>
      <c r="F1032" s="6" t="str">
        <f t="shared" si="2"/>
        <v>16521627</v>
      </c>
      <c r="G1032" s="16">
        <v>1.0</v>
      </c>
      <c r="H1032" s="17">
        <v>45129.0</v>
      </c>
      <c r="I1032" s="18" t="s">
        <v>1024</v>
      </c>
    </row>
    <row r="1033">
      <c r="A1033" s="5" t="str">
        <f t="array" ref="A1033">INDEX(event_table!$A$2:$A$69, RANDBETWEEN(1, COUNTA(event_table!$A$2:$A$69)))</f>
        <v>115</v>
      </c>
      <c r="B1033" s="6">
        <f t="array" ref="B1033">IFERROR(INDEX(event_table!$E$1:$E3686,MATCH(A1033,event_table!$A$1:$A3686,0)),"")
</f>
        <v>1</v>
      </c>
      <c r="C1033" s="7">
        <f t="shared" si="1"/>
        <v>90</v>
      </c>
      <c r="D1033" s="6" t="str">
        <f t="array" ref="D1033">IFERROR(INDEX(user_table!$C$2:$C3686,MATCH(C1033,user_table!$B$2:$B3686,0)),"")
</f>
        <v>Dina Saputra</v>
      </c>
      <c r="E1033" s="6" t="str">
        <f t="array" ref="E1033">IFERROR(INDEX(user_table!$E$2:$E3686,MATCH(C1033,user_table!$B$2:$B3686,0)),"")
</f>
        <v>1, 2</v>
      </c>
      <c r="F1033" s="6" t="str">
        <f t="shared" si="2"/>
        <v>1151190</v>
      </c>
      <c r="G1033" s="16">
        <v>1.0</v>
      </c>
      <c r="H1033" s="17">
        <v>45116.0</v>
      </c>
      <c r="I1033" s="18" t="s">
        <v>1025</v>
      </c>
    </row>
    <row r="1034">
      <c r="A1034" s="5" t="str">
        <f t="array" ref="A1034">INDEX(event_table!$A$2:$A$69, RANDBETWEEN(1, COUNTA(event_table!$A$2:$A$69)))</f>
        <v>1648</v>
      </c>
      <c r="B1034" s="6">
        <f t="array" ref="B1034">IFERROR(INDEX(event_table!$E$1:$E3686,MATCH(A1034,event_table!$A$1:$A3686,0)),"")
</f>
        <v>6</v>
      </c>
      <c r="C1034" s="7">
        <f t="shared" si="1"/>
        <v>12</v>
      </c>
      <c r="D1034" s="6" t="str">
        <f t="array" ref="D1034">IFERROR(INDEX(user_table!$C$2:$C3686,MATCH(C1034,user_table!$B$2:$B3686,0)),"")
</f>
        <v>Joko Susanto</v>
      </c>
      <c r="E1034" s="6" t="str">
        <f t="array" ref="E1034">IFERROR(INDEX(user_table!$E$2:$E3686,MATCH(C1034,user_table!$B$2:$B3686,0)),"")
</f>
        <v>4, 2</v>
      </c>
      <c r="F1034" s="6" t="str">
        <f t="shared" si="2"/>
        <v>16481612</v>
      </c>
      <c r="G1034" s="16">
        <v>1.0</v>
      </c>
      <c r="H1034" s="17">
        <v>45099.0</v>
      </c>
      <c r="I1034" s="18" t="s">
        <v>1026</v>
      </c>
    </row>
    <row r="1035">
      <c r="A1035" s="5" t="str">
        <f t="array" ref="A1035">INDEX(event_table!$A$2:$A$69, RANDBETWEEN(1, COUNTA(event_table!$A$2:$A$69)))</f>
        <v>1212</v>
      </c>
      <c r="B1035" s="6">
        <f t="array" ref="B1035">IFERROR(INDEX(event_table!$E$1:$E3686,MATCH(A1035,event_table!$A$1:$A3686,0)),"")
</f>
        <v>2</v>
      </c>
      <c r="C1035" s="7">
        <f t="shared" si="1"/>
        <v>69</v>
      </c>
      <c r="D1035" s="6" t="str">
        <f t="array" ref="D1035">IFERROR(INDEX(user_table!$C$2:$C3686,MATCH(C1035,user_table!$B$2:$B3686,0)),"")
</f>
        <v>Citra Rahayu</v>
      </c>
      <c r="E1035" s="6" t="str">
        <f t="array" ref="E1035">IFERROR(INDEX(user_table!$E$2:$E3686,MATCH(C1035,user_table!$B$2:$B3686,0)),"")
</f>
        <v>5, 5</v>
      </c>
      <c r="F1035" s="6" t="str">
        <f t="shared" si="2"/>
        <v>12121269</v>
      </c>
      <c r="G1035" s="16">
        <v>1.0</v>
      </c>
      <c r="H1035" s="17">
        <v>45095.0</v>
      </c>
      <c r="I1035" s="18" t="s">
        <v>1027</v>
      </c>
    </row>
    <row r="1036">
      <c r="A1036" s="5" t="str">
        <f t="array" ref="A1036">INDEX(event_table!$A$2:$A$69, RANDBETWEEN(1, COUNTA(event_table!$A$2:$A$69)))</f>
        <v>1646</v>
      </c>
      <c r="B1036" s="6">
        <f t="array" ref="B1036">IFERROR(INDEX(event_table!$E$1:$E3686,MATCH(A1036,event_table!$A$1:$A3686,0)),"")
</f>
        <v>6</v>
      </c>
      <c r="C1036" s="7">
        <f t="shared" si="1"/>
        <v>139</v>
      </c>
      <c r="D1036" s="6" t="str">
        <f t="array" ref="D1036">IFERROR(INDEX(user_table!$C$2:$C3686,MATCH(C1036,user_table!$B$2:$B3686,0)),"")
</f>
        <v>Sinta Kurniawan</v>
      </c>
      <c r="E1036" s="6" t="str">
        <f t="array" ref="E1036">IFERROR(INDEX(user_table!$E$2:$E3686,MATCH(C1036,user_table!$B$2:$B3686,0)),"")
</f>
        <v>4, 6</v>
      </c>
      <c r="F1036" s="6" t="str">
        <f t="shared" si="2"/>
        <v>164616139</v>
      </c>
      <c r="G1036" s="16">
        <v>1.0</v>
      </c>
      <c r="H1036" s="17">
        <v>45082.0</v>
      </c>
      <c r="I1036" s="18" t="s">
        <v>1028</v>
      </c>
    </row>
    <row r="1037">
      <c r="A1037" s="5" t="str">
        <f t="array" ref="A1037">INDEX(event_table!$A$2:$A$69, RANDBETWEEN(1, COUNTA(event_table!$A$2:$A$69)))</f>
        <v>1332</v>
      </c>
      <c r="B1037" s="6">
        <f t="array" ref="B1037">IFERROR(INDEX(event_table!$E$1:$E3686,MATCH(A1037,event_table!$A$1:$A3686,0)),"")
</f>
        <v>3</v>
      </c>
      <c r="C1037" s="7">
        <f t="shared" si="1"/>
        <v>46</v>
      </c>
      <c r="D1037" s="6" t="str">
        <f t="array" ref="D1037">IFERROR(INDEX(user_table!$C$2:$C3686,MATCH(C1037,user_table!$B$2:$B3686,0)),"")
</f>
        <v>Dian Wijaya</v>
      </c>
      <c r="E1037" s="6" t="str">
        <f t="array" ref="E1037">IFERROR(INDEX(user_table!$E$2:$E3686,MATCH(C1037,user_table!$B$2:$B3686,0)),"")
</f>
        <v>2, 2</v>
      </c>
      <c r="F1037" s="6" t="str">
        <f t="shared" si="2"/>
        <v>13321346</v>
      </c>
      <c r="G1037" s="16">
        <v>1.0</v>
      </c>
      <c r="H1037" s="17">
        <v>45079.0</v>
      </c>
      <c r="I1037" s="18" t="s">
        <v>1029</v>
      </c>
    </row>
    <row r="1038">
      <c r="A1038" s="5" t="str">
        <f t="array" ref="A1038">INDEX(event_table!$A$2:$A$69, RANDBETWEEN(1, COUNTA(event_table!$A$2:$A$69)))</f>
        <v>1334</v>
      </c>
      <c r="B1038" s="6">
        <f t="array" ref="B1038">IFERROR(INDEX(event_table!$E$1:$E3686,MATCH(A1038,event_table!$A$1:$A3686,0)),"")
</f>
        <v>3</v>
      </c>
      <c r="C1038" s="7">
        <f t="shared" si="1"/>
        <v>94</v>
      </c>
      <c r="D1038" s="6" t="str">
        <f t="array" ref="D1038">IFERROR(INDEX(user_table!$C$2:$C3686,MATCH(C1038,user_table!$B$2:$B3686,0)),"")
</f>
        <v>Ani Susanto</v>
      </c>
      <c r="E1038" s="6" t="str">
        <f t="array" ref="E1038">IFERROR(INDEX(user_table!$E$2:$E3686,MATCH(C1038,user_table!$B$2:$B3686,0)),"")
</f>
        <v>2, 4</v>
      </c>
      <c r="F1038" s="6" t="str">
        <f t="shared" si="2"/>
        <v>13341394</v>
      </c>
      <c r="G1038" s="16">
        <v>1.0</v>
      </c>
      <c r="H1038" s="17">
        <v>45071.0</v>
      </c>
      <c r="I1038" s="18" t="s">
        <v>1030</v>
      </c>
    </row>
    <row r="1039">
      <c r="A1039" s="5" t="str">
        <f t="array" ref="A1039">INDEX(event_table!$A$2:$A$69, RANDBETWEEN(1, COUNTA(event_table!$A$2:$A$69)))</f>
        <v>1313</v>
      </c>
      <c r="B1039" s="6">
        <f t="array" ref="B1039">IFERROR(INDEX(event_table!$E$1:$E3686,MATCH(A1039,event_table!$A$1:$A3686,0)),"")
</f>
        <v>3</v>
      </c>
      <c r="C1039" s="7">
        <f t="shared" si="1"/>
        <v>48</v>
      </c>
      <c r="D1039" s="6" t="str">
        <f t="array" ref="D1039">IFERROR(INDEX(user_table!$C$2:$C3686,MATCH(C1039,user_table!$B$2:$B3686,0)),"")
</f>
        <v>Maya Kusuma</v>
      </c>
      <c r="E1039" s="6" t="str">
        <f t="array" ref="E1039">IFERROR(INDEX(user_table!$E$2:$E3686,MATCH(C1039,user_table!$B$2:$B3686,0)),"")
</f>
        <v>2, 3</v>
      </c>
      <c r="F1039" s="6" t="str">
        <f t="shared" si="2"/>
        <v>13131348</v>
      </c>
      <c r="G1039" s="16">
        <v>1.0</v>
      </c>
      <c r="H1039" s="17">
        <v>45048.0</v>
      </c>
      <c r="I1039" s="18" t="s">
        <v>1031</v>
      </c>
    </row>
    <row r="1040">
      <c r="A1040" s="5" t="str">
        <f t="array" ref="A1040">INDEX(event_table!$A$2:$A$69, RANDBETWEEN(1, COUNTA(event_table!$A$2:$A$69)))</f>
        <v>122</v>
      </c>
      <c r="B1040" s="6">
        <f t="array" ref="B1040">IFERROR(INDEX(event_table!$E$1:$E3686,MATCH(A1040,event_table!$A$1:$A3686,0)),"")
</f>
        <v>2</v>
      </c>
      <c r="C1040" s="7">
        <f t="shared" si="1"/>
        <v>62</v>
      </c>
      <c r="D1040" s="6" t="str">
        <f t="array" ref="D1040">IFERROR(INDEX(user_table!$C$2:$C3686,MATCH(C1040,user_table!$B$2:$B3686,0)),"")
</f>
        <v>Joko Sari</v>
      </c>
      <c r="E1040" s="6" t="str">
        <f t="array" ref="E1040">IFERROR(INDEX(user_table!$E$2:$E3686,MATCH(C1040,user_table!$B$2:$B3686,0)),"")
</f>
        <v>6, 1</v>
      </c>
      <c r="F1040" s="6" t="str">
        <f t="shared" si="2"/>
        <v>1221262</v>
      </c>
      <c r="G1040" s="16">
        <v>1.0</v>
      </c>
      <c r="H1040" s="17">
        <v>45027.0</v>
      </c>
      <c r="I1040" s="18" t="s">
        <v>1032</v>
      </c>
    </row>
    <row r="1041">
      <c r="A1041" s="5" t="str">
        <f t="array" ref="A1041">INDEX(event_table!$A$2:$A$69, RANDBETWEEN(1, COUNTA(event_table!$A$2:$A$69)))</f>
        <v>3166</v>
      </c>
      <c r="B1041" s="6">
        <f t="array" ref="B1041">IFERROR(INDEX(event_table!$E$1:$E3686,MATCH(A1041,event_table!$A$1:$A3686,0)),"")
</f>
        <v>1</v>
      </c>
      <c r="C1041" s="7">
        <f t="shared" si="1"/>
        <v>2</v>
      </c>
      <c r="D1041" s="6" t="str">
        <f t="array" ref="D1041">IFERROR(INDEX(user_table!$C$2:$C3686,MATCH(C1041,user_table!$B$2:$B3686,0)),"")
</f>
        <v>Dian Putri</v>
      </c>
      <c r="E1041" s="6" t="str">
        <f t="array" ref="E1041">IFERROR(INDEX(user_table!$E$2:$E3686,MATCH(C1041,user_table!$B$2:$B3686,0)),"")
</f>
        <v>1, 6</v>
      </c>
      <c r="F1041" s="6" t="str">
        <f t="shared" si="2"/>
        <v>3166512</v>
      </c>
      <c r="G1041" s="16">
        <v>5.0</v>
      </c>
      <c r="H1041" s="17">
        <v>44745.0</v>
      </c>
      <c r="I1041" s="18" t="s">
        <v>1033</v>
      </c>
    </row>
    <row r="1042">
      <c r="A1042" s="5" t="str">
        <f t="array" ref="A1042">INDEX(event_table!$A$2:$A$69, RANDBETWEEN(1, COUNTA(event_table!$A$2:$A$69)))</f>
        <v>3169</v>
      </c>
      <c r="B1042" s="6">
        <f t="array" ref="B1042">IFERROR(INDEX(event_table!$E$1:$E3686,MATCH(A1042,event_table!$A$1:$A3686,0)),"")
</f>
        <v>1</v>
      </c>
      <c r="C1042" s="7">
        <f t="shared" si="1"/>
        <v>164</v>
      </c>
      <c r="D1042" s="6" t="str">
        <f t="array" ref="D1042">IFERROR(INDEX(user_table!$C$2:$C3686,MATCH(C1042,user_table!$B$2:$B3686,0)),"")
</f>
        <v>Bambang Purnama</v>
      </c>
      <c r="E1042" s="6" t="str">
        <f t="array" ref="E1042">IFERROR(INDEX(user_table!$E$2:$E3686,MATCH(C1042,user_table!$B$2:$B3686,0)),"")
</f>
        <v>2, 3</v>
      </c>
      <c r="F1042" s="6" t="str">
        <f t="shared" si="2"/>
        <v>316951164</v>
      </c>
      <c r="G1042" s="16">
        <v>5.0</v>
      </c>
      <c r="H1042" s="17">
        <v>44725.0</v>
      </c>
      <c r="I1042" s="18" t="s">
        <v>1034</v>
      </c>
    </row>
    <row r="1043">
      <c r="A1043" s="5" t="str">
        <f t="array" ref="A1043">INDEX(event_table!$A$2:$A$69, RANDBETWEEN(1, COUNTA(event_table!$A$2:$A$69)))</f>
        <v>1427</v>
      </c>
      <c r="B1043" s="6">
        <f t="array" ref="B1043">IFERROR(INDEX(event_table!$E$1:$E3686,MATCH(A1043,event_table!$A$1:$A3686,0)),"")
</f>
        <v>4</v>
      </c>
      <c r="C1043" s="7">
        <f t="shared" si="1"/>
        <v>65</v>
      </c>
      <c r="D1043" s="6" t="str">
        <f t="array" ref="D1043">IFERROR(INDEX(user_table!$C$2:$C3686,MATCH(C1043,user_table!$B$2:$B3686,0)),"")
</f>
        <v>Siti Pratama</v>
      </c>
      <c r="E1043" s="6" t="str">
        <f t="array" ref="E1043">IFERROR(INDEX(user_table!$E$2:$E3686,MATCH(C1043,user_table!$B$2:$B3686,0)),"")
</f>
        <v>5, 6</v>
      </c>
      <c r="F1043" s="6" t="str">
        <f t="shared" si="2"/>
        <v>14275465</v>
      </c>
      <c r="G1043" s="16">
        <v>5.0</v>
      </c>
      <c r="H1043" s="17">
        <v>44719.0</v>
      </c>
      <c r="I1043" s="18" t="s">
        <v>1035</v>
      </c>
    </row>
    <row r="1044">
      <c r="A1044" s="5" t="str">
        <f t="array" ref="A1044">INDEX(event_table!$A$2:$A$69, RANDBETWEEN(1, COUNTA(event_table!$A$2:$A$69)))</f>
        <v>1422</v>
      </c>
      <c r="B1044" s="6">
        <f t="array" ref="B1044">IFERROR(INDEX(event_table!$E$1:$E3686,MATCH(A1044,event_table!$A$1:$A3686,0)),"")
</f>
        <v>4</v>
      </c>
      <c r="C1044" s="7">
        <f t="shared" si="1"/>
        <v>158</v>
      </c>
      <c r="D1044" s="6" t="str">
        <f t="array" ref="D1044">IFERROR(INDEX(user_table!$C$2:$C3686,MATCH(C1044,user_table!$B$2:$B3686,0)),"")
</f>
        <v>Maya Wijaya</v>
      </c>
      <c r="E1044" s="6" t="str">
        <f t="array" ref="E1044">IFERROR(INDEX(user_table!$E$2:$E3686,MATCH(C1044,user_table!$B$2:$B3686,0)),"")
</f>
        <v>3, 4</v>
      </c>
      <c r="F1044" s="6" t="str">
        <f t="shared" si="2"/>
        <v>142254158</v>
      </c>
      <c r="G1044" s="16">
        <v>5.0</v>
      </c>
      <c r="H1044" s="17">
        <v>44715.0</v>
      </c>
      <c r="I1044" s="18" t="s">
        <v>1036</v>
      </c>
    </row>
    <row r="1045">
      <c r="A1045" s="5" t="str">
        <f t="array" ref="A1045">INDEX(event_table!$A$2:$A$69, RANDBETWEEN(1, COUNTA(event_table!$A$2:$A$69)))</f>
        <v>1427</v>
      </c>
      <c r="B1045" s="6">
        <f t="array" ref="B1045">IFERROR(INDEX(event_table!$E$1:$E3686,MATCH(A1045,event_table!$A$1:$A3686,0)),"")
</f>
        <v>4</v>
      </c>
      <c r="C1045" s="7">
        <f t="shared" si="1"/>
        <v>140</v>
      </c>
      <c r="D1045" s="6" t="str">
        <f t="array" ref="D1045">IFERROR(INDEX(user_table!$C$2:$C3686,MATCH(C1045,user_table!$B$2:$B3686,0)),"")
</f>
        <v>Maya Wijaya</v>
      </c>
      <c r="E1045" s="6" t="str">
        <f t="array" ref="E1045">IFERROR(INDEX(user_table!$E$2:$E3686,MATCH(C1045,user_table!$B$2:$B3686,0)),"")
</f>
        <v>3, 2</v>
      </c>
      <c r="F1045" s="6" t="str">
        <f t="shared" si="2"/>
        <v>142754140</v>
      </c>
      <c r="G1045" s="16">
        <v>5.0</v>
      </c>
      <c r="H1045" s="17">
        <v>44690.0</v>
      </c>
      <c r="I1045" s="18" t="s">
        <v>1037</v>
      </c>
    </row>
    <row r="1046">
      <c r="A1046" s="5" t="str">
        <f t="array" ref="A1046">INDEX(event_table!$A$2:$A$69, RANDBETWEEN(1, COUNTA(event_table!$A$2:$A$69)))</f>
        <v>118</v>
      </c>
      <c r="B1046" s="6">
        <f t="array" ref="B1046">IFERROR(INDEX(event_table!$E$1:$E3686,MATCH(A1046,event_table!$A$1:$A3686,0)),"")
</f>
        <v>1</v>
      </c>
      <c r="C1046" s="7">
        <f t="shared" si="1"/>
        <v>99</v>
      </c>
      <c r="D1046" s="6" t="str">
        <f t="array" ref="D1046">IFERROR(INDEX(user_table!$C$2:$C3686,MATCH(C1046,user_table!$B$2:$B3686,0)),"")
</f>
        <v>Maya Nugroho</v>
      </c>
      <c r="E1046" s="6" t="str">
        <f t="array" ref="E1046">IFERROR(INDEX(user_table!$E$2:$E3686,MATCH(C1046,user_table!$B$2:$B3686,0)),"")
</f>
        <v>6, 1</v>
      </c>
      <c r="F1046" s="6" t="str">
        <f t="shared" si="2"/>
        <v>1185199</v>
      </c>
      <c r="G1046" s="16">
        <v>5.0</v>
      </c>
      <c r="H1046" s="17">
        <v>45211.0</v>
      </c>
      <c r="I1046" s="18" t="s">
        <v>1038</v>
      </c>
    </row>
    <row r="1047">
      <c r="A1047" s="5" t="str">
        <f t="array" ref="A1047">INDEX(event_table!$A$2:$A$69, RANDBETWEEN(1, COUNTA(event_table!$A$2:$A$69)))</f>
        <v>1114</v>
      </c>
      <c r="B1047" s="6">
        <f t="array" ref="B1047">IFERROR(INDEX(event_table!$E$1:$E3686,MATCH(A1047,event_table!$A$1:$A3686,0)),"")
</f>
        <v>1</v>
      </c>
      <c r="C1047" s="7">
        <f t="shared" si="1"/>
        <v>53</v>
      </c>
      <c r="D1047" s="6" t="str">
        <f t="array" ref="D1047">IFERROR(INDEX(user_table!$C$2:$C3686,MATCH(C1047,user_table!$B$2:$B3686,0)),"")
</f>
        <v>Wahyu Santoso</v>
      </c>
      <c r="E1047" s="6" t="str">
        <f t="array" ref="E1047">IFERROR(INDEX(user_table!$E$2:$E3686,MATCH(C1047,user_table!$B$2:$B3686,0)),"")
</f>
        <v>4, 5</v>
      </c>
      <c r="F1047" s="6" t="str">
        <f t="shared" si="2"/>
        <v>11145153</v>
      </c>
      <c r="G1047" s="16">
        <v>5.0</v>
      </c>
      <c r="H1047" s="17">
        <v>45148.0</v>
      </c>
      <c r="I1047" s="18" t="s">
        <v>1039</v>
      </c>
    </row>
    <row r="1048">
      <c r="A1048" s="5" t="str">
        <f t="array" ref="A1048">INDEX(event_table!$A$2:$A$69, RANDBETWEEN(1, COUNTA(event_table!$A$2:$A$69)))</f>
        <v>1114</v>
      </c>
      <c r="B1048" s="6">
        <f t="array" ref="B1048">IFERROR(INDEX(event_table!$E$1:$E3686,MATCH(A1048,event_table!$A$1:$A3686,0)),"")
</f>
        <v>1</v>
      </c>
      <c r="C1048" s="7">
        <f t="shared" si="1"/>
        <v>193</v>
      </c>
      <c r="D1048" s="6" t="str">
        <f t="array" ref="D1048">IFERROR(INDEX(user_table!$C$2:$C3686,MATCH(C1048,user_table!$B$2:$B3686,0)),"")
</f>
        <v>Dina Wijaya</v>
      </c>
      <c r="E1048" s="6" t="str">
        <f t="array" ref="E1048">IFERROR(INDEX(user_table!$E$2:$E3686,MATCH(C1048,user_table!$B$2:$B3686,0)),"")
</f>
        <v>4, 5</v>
      </c>
      <c r="F1048" s="6" t="str">
        <f t="shared" si="2"/>
        <v>111451193</v>
      </c>
      <c r="G1048" s="16">
        <v>5.0</v>
      </c>
      <c r="H1048" s="17">
        <v>45092.0</v>
      </c>
      <c r="I1048" s="18" t="s">
        <v>1040</v>
      </c>
    </row>
    <row r="1049">
      <c r="A1049" s="5" t="str">
        <f t="array" ref="A1049">INDEX(event_table!$A$2:$A$69, RANDBETWEEN(1, COUNTA(event_table!$A$2:$A$69)))</f>
        <v>1110</v>
      </c>
      <c r="B1049" s="6">
        <f t="array" ref="B1049">IFERROR(INDEX(event_table!$E$1:$E3686,MATCH(A1049,event_table!$A$1:$A3686,0)),"")
</f>
        <v>1</v>
      </c>
      <c r="C1049" s="7">
        <f t="shared" si="1"/>
        <v>129</v>
      </c>
      <c r="D1049" s="6" t="str">
        <f t="array" ref="D1049">IFERROR(INDEX(user_table!$C$2:$C3686,MATCH(C1049,user_table!$B$2:$B3686,0)),"")
</f>
        <v>Maya Kusuma</v>
      </c>
      <c r="E1049" s="6" t="str">
        <f t="array" ref="E1049">IFERROR(INDEX(user_table!$E$2:$E3686,MATCH(C1049,user_table!$B$2:$B3686,0)),"")
</f>
        <v>4, 6</v>
      </c>
      <c r="F1049" s="6" t="str">
        <f t="shared" si="2"/>
        <v>111051129</v>
      </c>
      <c r="G1049" s="16">
        <v>5.0</v>
      </c>
      <c r="H1049" s="17">
        <v>45054.0</v>
      </c>
      <c r="I1049" s="18" t="s">
        <v>1041</v>
      </c>
    </row>
    <row r="1050">
      <c r="A1050" s="5" t="str">
        <f t="array" ref="A1050">INDEX(event_table!$A$2:$A$69, RANDBETWEEN(1, COUNTA(event_table!$A$2:$A$69)))</f>
        <v>1111</v>
      </c>
      <c r="B1050" s="6">
        <f t="array" ref="B1050">IFERROR(INDEX(event_table!$E$1:$E3686,MATCH(A1050,event_table!$A$1:$A3686,0)),"")
</f>
        <v>1</v>
      </c>
      <c r="C1050" s="7">
        <f t="shared" si="1"/>
        <v>60</v>
      </c>
      <c r="D1050" s="6" t="str">
        <f t="array" ref="D1050">IFERROR(INDEX(user_table!$C$2:$C3686,MATCH(C1050,user_table!$B$2:$B3686,0)),"")
</f>
        <v>Rudi Septiani</v>
      </c>
      <c r="E1050" s="6" t="str">
        <f t="array" ref="E1050">IFERROR(INDEX(user_table!$E$2:$E3686,MATCH(C1050,user_table!$B$2:$B3686,0)),"")
</f>
        <v>6, 2</v>
      </c>
      <c r="F1050" s="6" t="str">
        <f t="shared" si="2"/>
        <v>11115160</v>
      </c>
      <c r="G1050" s="16">
        <v>5.0</v>
      </c>
      <c r="H1050" s="17">
        <v>44926.0</v>
      </c>
      <c r="I1050" s="18" t="s">
        <v>1042</v>
      </c>
    </row>
    <row r="1051">
      <c r="A1051" s="5" t="str">
        <f t="array" ref="A1051">INDEX(event_table!$A$2:$A$69, RANDBETWEEN(1, COUNTA(event_table!$A$2:$A$69)))</f>
        <v>1111</v>
      </c>
      <c r="B1051" s="6">
        <f t="array" ref="B1051">IFERROR(INDEX(event_table!$E$1:$E3686,MATCH(A1051,event_table!$A$1:$A3686,0)),"")
</f>
        <v>1</v>
      </c>
      <c r="C1051" s="7">
        <f t="shared" si="1"/>
        <v>171</v>
      </c>
      <c r="D1051" s="6" t="str">
        <f t="array" ref="D1051">IFERROR(INDEX(user_table!$C$2:$C3686,MATCH(C1051,user_table!$B$2:$B3686,0)),"")
</f>
        <v>Andi Santoso</v>
      </c>
      <c r="E1051" s="6" t="str">
        <f t="array" ref="E1051">IFERROR(INDEX(user_table!$E$2:$E3686,MATCH(C1051,user_table!$B$2:$B3686,0)),"")
</f>
        <v>4, 3</v>
      </c>
      <c r="F1051" s="6" t="str">
        <f t="shared" si="2"/>
        <v>111151171</v>
      </c>
      <c r="G1051" s="16">
        <v>5.0</v>
      </c>
      <c r="H1051" s="17">
        <v>44838.0</v>
      </c>
      <c r="I1051" s="18" t="s">
        <v>1043</v>
      </c>
    </row>
    <row r="1052">
      <c r="A1052" s="5" t="str">
        <f t="array" ref="A1052">INDEX(event_table!$A$2:$A$69, RANDBETWEEN(1, COUNTA(event_table!$A$2:$A$69)))</f>
        <v>1530</v>
      </c>
      <c r="B1052" s="6">
        <f t="array" ref="B1052">IFERROR(INDEX(event_table!$E$1:$E3686,MATCH(A1052,event_table!$A$1:$A3686,0)),"")
</f>
        <v>5</v>
      </c>
      <c r="C1052" s="7">
        <f t="shared" si="1"/>
        <v>34</v>
      </c>
      <c r="D1052" s="6" t="str">
        <f t="array" ref="D1052">IFERROR(INDEX(user_table!$C$2:$C3686,MATCH(C1052,user_table!$B$2:$B3686,0)),"")
</f>
        <v>Bambang Putri</v>
      </c>
      <c r="E1052" s="6" t="str">
        <f t="array" ref="E1052">IFERROR(INDEX(user_table!$E$2:$E3686,MATCH(C1052,user_table!$B$2:$B3686,0)),"")
</f>
        <v>3, 5</v>
      </c>
      <c r="F1052" s="6" t="str">
        <f t="shared" si="2"/>
        <v>15305534</v>
      </c>
      <c r="G1052" s="16">
        <v>5.0</v>
      </c>
      <c r="H1052" s="17">
        <v>44823.0</v>
      </c>
      <c r="I1052" s="18" t="s">
        <v>1044</v>
      </c>
    </row>
    <row r="1053">
      <c r="A1053" s="5" t="str">
        <f t="array" ref="A1053">INDEX(event_table!$A$2:$A$69, RANDBETWEEN(1, COUNTA(event_table!$A$2:$A$69)))</f>
        <v>1111</v>
      </c>
      <c r="B1053" s="6">
        <f t="array" ref="B1053">IFERROR(INDEX(event_table!$E$1:$E3686,MATCH(A1053,event_table!$A$1:$A3686,0)),"")
</f>
        <v>1</v>
      </c>
      <c r="C1053" s="7">
        <f t="shared" si="1"/>
        <v>192</v>
      </c>
      <c r="D1053" s="6" t="str">
        <f t="array" ref="D1053">IFERROR(INDEX(user_table!$C$2:$C3686,MATCH(C1053,user_table!$B$2:$B3686,0)),"")
</f>
        <v>Joko Hadiwijaya</v>
      </c>
      <c r="E1053" s="6" t="str">
        <f t="array" ref="E1053">IFERROR(INDEX(user_table!$E$2:$E3686,MATCH(C1053,user_table!$B$2:$B3686,0)),"")
</f>
        <v>1, 3</v>
      </c>
      <c r="F1053" s="6" t="str">
        <f t="shared" si="2"/>
        <v>111151192</v>
      </c>
      <c r="G1053" s="16">
        <v>5.0</v>
      </c>
      <c r="H1053" s="17">
        <v>44809.0</v>
      </c>
      <c r="I1053" s="18" t="s">
        <v>1045</v>
      </c>
    </row>
    <row r="1054">
      <c r="A1054" s="5" t="str">
        <f t="array" ref="A1054">INDEX(event_table!$A$2:$A$69, RANDBETWEEN(1, COUNTA(event_table!$A$2:$A$69)))</f>
        <v>1531</v>
      </c>
      <c r="B1054" s="6">
        <f t="array" ref="B1054">IFERROR(INDEX(event_table!$E$1:$E3686,MATCH(A1054,event_table!$A$1:$A3686,0)),"")
</f>
        <v>5</v>
      </c>
      <c r="C1054" s="7">
        <f t="shared" si="1"/>
        <v>46</v>
      </c>
      <c r="D1054" s="6" t="str">
        <f t="array" ref="D1054">IFERROR(INDEX(user_table!$C$2:$C3686,MATCH(C1054,user_table!$B$2:$B3686,0)),"")
</f>
        <v>Dian Wijaya</v>
      </c>
      <c r="E1054" s="6" t="str">
        <f t="array" ref="E1054">IFERROR(INDEX(user_table!$E$2:$E3686,MATCH(C1054,user_table!$B$2:$B3686,0)),"")
</f>
        <v>2, 2</v>
      </c>
      <c r="F1054" s="6" t="str">
        <f t="shared" si="2"/>
        <v>15315546</v>
      </c>
      <c r="G1054" s="16">
        <v>5.0</v>
      </c>
      <c r="H1054" s="17">
        <v>44797.0</v>
      </c>
      <c r="I1054" s="18" t="s">
        <v>1046</v>
      </c>
    </row>
    <row r="1055">
      <c r="A1055" s="5" t="str">
        <f t="array" ref="A1055">INDEX(event_table!$A$2:$A$69, RANDBETWEEN(1, COUNTA(event_table!$A$2:$A$69)))</f>
        <v>1651</v>
      </c>
      <c r="B1055" s="6">
        <f t="array" ref="B1055">IFERROR(INDEX(event_table!$E$1:$E3686,MATCH(A1055,event_table!$A$1:$A3686,0)),"")
</f>
        <v>6</v>
      </c>
      <c r="C1055" s="7">
        <f t="shared" si="1"/>
        <v>66</v>
      </c>
      <c r="D1055" s="6" t="str">
        <f t="array" ref="D1055">IFERROR(INDEX(user_table!$C$2:$C3686,MATCH(C1055,user_table!$B$2:$B3686,0)),"")
</f>
        <v>Agus Wijaya</v>
      </c>
      <c r="E1055" s="6" t="str">
        <f t="array" ref="E1055">IFERROR(INDEX(user_table!$E$2:$E3686,MATCH(C1055,user_table!$B$2:$B3686,0)),"")
</f>
        <v>5, 3</v>
      </c>
      <c r="F1055" s="6" t="str">
        <f t="shared" si="2"/>
        <v>16515666</v>
      </c>
      <c r="G1055" s="16">
        <v>5.0</v>
      </c>
      <c r="H1055" s="17">
        <v>44751.0</v>
      </c>
      <c r="I1055" s="18" t="s">
        <v>1047</v>
      </c>
    </row>
    <row r="1056">
      <c r="A1056" s="5" t="str">
        <f t="array" ref="A1056">INDEX(event_table!$A$2:$A$69, RANDBETWEEN(1, COUNTA(event_table!$A$2:$A$69)))</f>
        <v>1111</v>
      </c>
      <c r="B1056" s="6">
        <f t="array" ref="B1056">IFERROR(INDEX(event_table!$E$1:$E3686,MATCH(A1056,event_table!$A$1:$A3686,0)),"")
</f>
        <v>1</v>
      </c>
      <c r="C1056" s="7">
        <f t="shared" si="1"/>
        <v>133</v>
      </c>
      <c r="D1056" s="6" t="str">
        <f t="array" ref="D1056">IFERROR(INDEX(user_table!$C$2:$C3686,MATCH(C1056,user_table!$B$2:$B3686,0)),"")
</f>
        <v>Dewi Sari</v>
      </c>
      <c r="E1056" s="6" t="str">
        <f t="array" ref="E1056">IFERROR(INDEX(user_table!$E$2:$E3686,MATCH(C1056,user_table!$B$2:$B3686,0)),"")
</f>
        <v>6, 5</v>
      </c>
      <c r="F1056" s="6" t="str">
        <f t="shared" si="2"/>
        <v>111151133</v>
      </c>
      <c r="G1056" s="16">
        <v>5.0</v>
      </c>
      <c r="H1056" s="17">
        <v>44746.0</v>
      </c>
      <c r="I1056" s="18" t="s">
        <v>1048</v>
      </c>
    </row>
    <row r="1057">
      <c r="A1057" s="5" t="str">
        <f t="array" ref="A1057">INDEX(event_table!$A$2:$A$69, RANDBETWEEN(1, COUNTA(event_table!$A$2:$A$69)))</f>
        <v>3657</v>
      </c>
      <c r="B1057" s="6">
        <f t="array" ref="B1057">IFERROR(INDEX(event_table!$E$1:$E3686,MATCH(A1057,event_table!$A$1:$A3686,0)),"")
</f>
        <v>6</v>
      </c>
      <c r="C1057" s="7">
        <f t="shared" si="1"/>
        <v>172</v>
      </c>
      <c r="D1057" s="6" t="str">
        <f t="array" ref="D1057">IFERROR(INDEX(user_table!$C$2:$C3686,MATCH(C1057,user_table!$B$2:$B3686,0)),"")
</f>
        <v>Dian Kurniawan</v>
      </c>
      <c r="E1057" s="6" t="str">
        <f t="array" ref="E1057">IFERROR(INDEX(user_table!$E$2:$E3686,MATCH(C1057,user_table!$B$2:$B3686,0)),"")
</f>
        <v>1, 2</v>
      </c>
      <c r="F1057" s="6" t="str">
        <f t="shared" si="2"/>
        <v>365756172</v>
      </c>
      <c r="G1057" s="16">
        <v>5.0</v>
      </c>
      <c r="H1057" s="17">
        <v>44740.0</v>
      </c>
      <c r="I1057" s="18" t="s">
        <v>1049</v>
      </c>
    </row>
    <row r="1058">
      <c r="A1058" s="5" t="str">
        <f t="array" ref="A1058">INDEX(event_table!$A$2:$A$69, RANDBETWEEN(1, COUNTA(event_table!$A$2:$A$69)))</f>
        <v>119</v>
      </c>
      <c r="B1058" s="6">
        <f t="array" ref="B1058">IFERROR(INDEX(event_table!$E$1:$E3686,MATCH(A1058,event_table!$A$1:$A3686,0)),"")
</f>
        <v>1</v>
      </c>
      <c r="C1058" s="7">
        <f t="shared" si="1"/>
        <v>6</v>
      </c>
      <c r="D1058" s="6" t="str">
        <f t="array" ref="D1058">IFERROR(INDEX(user_table!$C$2:$C3686,MATCH(C1058,user_table!$B$2:$B3686,0)),"")
</f>
        <v>Arif Putri</v>
      </c>
      <c r="E1058" s="6" t="str">
        <f t="array" ref="E1058">IFERROR(INDEX(user_table!$E$2:$E3686,MATCH(C1058,user_table!$B$2:$B3686,0)),"")
</f>
        <v>5, 2</v>
      </c>
      <c r="F1058" s="6" t="str">
        <f t="shared" si="2"/>
        <v>119516</v>
      </c>
      <c r="G1058" s="16">
        <v>5.0</v>
      </c>
      <c r="H1058" s="17">
        <v>44724.0</v>
      </c>
      <c r="I1058" s="18" t="s">
        <v>1050</v>
      </c>
    </row>
    <row r="1059">
      <c r="A1059" s="5" t="str">
        <f t="array" ref="A1059">INDEX(event_table!$A$2:$A$69, RANDBETWEEN(1, COUNTA(event_table!$A$2:$A$69)))</f>
        <v>1313</v>
      </c>
      <c r="B1059" s="6">
        <f t="array" ref="B1059">IFERROR(INDEX(event_table!$E$1:$E3686,MATCH(A1059,event_table!$A$1:$A3686,0)),"")
</f>
        <v>3</v>
      </c>
      <c r="C1059" s="7">
        <f t="shared" si="1"/>
        <v>70</v>
      </c>
      <c r="D1059" s="6" t="str">
        <f t="array" ref="D1059">IFERROR(INDEX(user_table!$C$2:$C3686,MATCH(C1059,user_table!$B$2:$B3686,0)),"")
</f>
        <v>Fandi Hadiwijaya</v>
      </c>
      <c r="E1059" s="6" t="str">
        <f t="array" ref="E1059">IFERROR(INDEX(user_table!$E$2:$E3686,MATCH(C1059,user_table!$B$2:$B3686,0)),"")
</f>
        <v>1, 4</v>
      </c>
      <c r="F1059" s="6" t="str">
        <f t="shared" si="2"/>
        <v>13135370</v>
      </c>
      <c r="G1059" s="16">
        <v>5.0</v>
      </c>
      <c r="H1059" s="17">
        <v>44718.0</v>
      </c>
      <c r="I1059" s="18" t="s">
        <v>1051</v>
      </c>
    </row>
    <row r="1060">
      <c r="A1060" s="5" t="str">
        <f t="array" ref="A1060">INDEX(event_table!$A$2:$A$69, RANDBETWEEN(1, COUNTA(event_table!$A$2:$A$69)))</f>
        <v>114</v>
      </c>
      <c r="B1060" s="6">
        <f t="array" ref="B1060">IFERROR(INDEX(event_table!$E$1:$E3686,MATCH(A1060,event_table!$A$1:$A3686,0)),"")
</f>
        <v>1</v>
      </c>
      <c r="C1060" s="7">
        <f t="shared" si="1"/>
        <v>79</v>
      </c>
      <c r="D1060" s="6" t="str">
        <f t="array" ref="D1060">IFERROR(INDEX(user_table!$C$2:$C3686,MATCH(C1060,user_table!$B$2:$B3686,0)),"")
</f>
        <v>Arif Nugroho</v>
      </c>
      <c r="E1060" s="6" t="str">
        <f t="array" ref="E1060">IFERROR(INDEX(user_table!$E$2:$E3686,MATCH(C1060,user_table!$B$2:$B3686,0)),"")
</f>
        <v>2, 3</v>
      </c>
      <c r="F1060" s="6" t="str">
        <f t="shared" si="2"/>
        <v>1145179</v>
      </c>
      <c r="G1060" s="16">
        <v>5.0</v>
      </c>
      <c r="H1060" s="17">
        <v>44705.0</v>
      </c>
      <c r="I1060" s="18" t="s">
        <v>1052</v>
      </c>
    </row>
    <row r="1061">
      <c r="A1061" s="5" t="str">
        <f t="array" ref="A1061">INDEX(event_table!$A$2:$A$69, RANDBETWEEN(1, COUNTA(event_table!$A$2:$A$69)))</f>
        <v>1641</v>
      </c>
      <c r="B1061" s="6">
        <f t="array" ref="B1061">IFERROR(INDEX(event_table!$E$1:$E3686,MATCH(A1061,event_table!$A$1:$A3686,0)),"")
</f>
        <v>6</v>
      </c>
      <c r="C1061" s="7">
        <f t="shared" si="1"/>
        <v>129</v>
      </c>
      <c r="D1061" s="6" t="str">
        <f t="array" ref="D1061">IFERROR(INDEX(user_table!$C$2:$C3686,MATCH(C1061,user_table!$B$2:$B3686,0)),"")
</f>
        <v>Maya Kusuma</v>
      </c>
      <c r="E1061" s="6" t="str">
        <f t="array" ref="E1061">IFERROR(INDEX(user_table!$E$2:$E3686,MATCH(C1061,user_table!$B$2:$B3686,0)),"")
</f>
        <v>4, 6</v>
      </c>
      <c r="F1061" s="6" t="str">
        <f t="shared" si="2"/>
        <v>164156129</v>
      </c>
      <c r="G1061" s="16">
        <v>5.0</v>
      </c>
      <c r="H1061" s="17">
        <v>44705.0</v>
      </c>
      <c r="I1061" s="18" t="s">
        <v>1052</v>
      </c>
    </row>
    <row r="1062">
      <c r="A1062" s="5" t="str">
        <f t="array" ref="A1062">INDEX(event_table!$A$2:$A$69, RANDBETWEEN(1, COUNTA(event_table!$A$2:$A$69)))</f>
        <v>3657</v>
      </c>
      <c r="B1062" s="6">
        <f t="array" ref="B1062">IFERROR(INDEX(event_table!$E$1:$E3686,MATCH(A1062,event_table!$A$1:$A3686,0)),"")
</f>
        <v>6</v>
      </c>
      <c r="C1062" s="7">
        <f t="shared" si="1"/>
        <v>146</v>
      </c>
      <c r="D1062" s="6" t="str">
        <f t="array" ref="D1062">IFERROR(INDEX(user_table!$C$2:$C3686,MATCH(C1062,user_table!$B$2:$B3686,0)),"")
</f>
        <v>Rudi Susanto</v>
      </c>
      <c r="E1062" s="6" t="str">
        <f t="array" ref="E1062">IFERROR(INDEX(user_table!$E$2:$E3686,MATCH(C1062,user_table!$B$2:$B3686,0)),"")
</f>
        <v>6, 1</v>
      </c>
      <c r="F1062" s="6" t="str">
        <f t="shared" si="2"/>
        <v>365756146</v>
      </c>
      <c r="G1062" s="16">
        <v>5.0</v>
      </c>
      <c r="H1062" s="17">
        <v>44695.0</v>
      </c>
      <c r="I1062" s="18" t="s">
        <v>1053</v>
      </c>
    </row>
    <row r="1063">
      <c r="A1063" s="5" t="str">
        <f t="array" ref="A1063">INDEX(event_table!$A$2:$A$69, RANDBETWEEN(1, COUNTA(event_table!$A$2:$A$69)))</f>
        <v>1418</v>
      </c>
      <c r="B1063" s="6">
        <f t="array" ref="B1063">IFERROR(INDEX(event_table!$E$1:$E3686,MATCH(A1063,event_table!$A$1:$A3686,0)),"")
</f>
        <v>4</v>
      </c>
      <c r="C1063" s="7">
        <f t="shared" si="1"/>
        <v>113</v>
      </c>
      <c r="D1063" s="6" t="str">
        <f t="array" ref="D1063">IFERROR(INDEX(user_table!$C$2:$C3686,MATCH(C1063,user_table!$B$2:$B3686,0)),"")
</f>
        <v>Budi Wijaya</v>
      </c>
      <c r="E1063" s="6" t="str">
        <f t="array" ref="E1063">IFERROR(INDEX(user_table!$E$2:$E3686,MATCH(C1063,user_table!$B$2:$B3686,0)),"")
</f>
        <v>1, 5</v>
      </c>
      <c r="F1063" s="6" t="str">
        <f t="shared" si="2"/>
        <v>141854113</v>
      </c>
      <c r="G1063" s="16">
        <v>5.0</v>
      </c>
      <c r="H1063" s="17">
        <v>44695.0</v>
      </c>
      <c r="I1063" s="18" t="s">
        <v>1054</v>
      </c>
    </row>
    <row r="1064">
      <c r="A1064" s="5" t="str">
        <f t="array" ref="A1064">INDEX(event_table!$A$2:$A$69, RANDBETWEEN(1, COUNTA(event_table!$A$2:$A$69)))</f>
        <v>1422</v>
      </c>
      <c r="B1064" s="6">
        <f t="array" ref="B1064">IFERROR(INDEX(event_table!$E$1:$E3686,MATCH(A1064,event_table!$A$1:$A3686,0)),"")
</f>
        <v>4</v>
      </c>
      <c r="C1064" s="7">
        <f t="shared" si="1"/>
        <v>17</v>
      </c>
      <c r="D1064" s="6" t="str">
        <f t="array" ref="D1064">IFERROR(INDEX(user_table!$C$2:$C3686,MATCH(C1064,user_table!$B$2:$B3686,0)),"")
</f>
        <v>Fajar Wijaya</v>
      </c>
      <c r="E1064" s="6" t="str">
        <f t="array" ref="E1064">IFERROR(INDEX(user_table!$E$2:$E3686,MATCH(C1064,user_table!$B$2:$B3686,0)),"")
</f>
        <v>1, 1</v>
      </c>
      <c r="F1064" s="6" t="str">
        <f t="shared" si="2"/>
        <v>14224417</v>
      </c>
      <c r="G1064" s="16">
        <v>4.0</v>
      </c>
      <c r="H1064" s="17">
        <v>45145.0</v>
      </c>
      <c r="I1064" s="18" t="s">
        <v>1055</v>
      </c>
    </row>
    <row r="1065">
      <c r="A1065" s="5" t="str">
        <f t="array" ref="A1065">INDEX(event_table!$A$2:$A$69, RANDBETWEEN(1, COUNTA(event_table!$A$2:$A$69)))</f>
        <v>1528</v>
      </c>
      <c r="B1065" s="6">
        <f t="array" ref="B1065">IFERROR(INDEX(event_table!$E$1:$E3686,MATCH(A1065,event_table!$A$1:$A3686,0)),"")
</f>
        <v>5</v>
      </c>
      <c r="C1065" s="7">
        <f t="shared" si="1"/>
        <v>165</v>
      </c>
      <c r="D1065" s="6" t="str">
        <f t="array" ref="D1065">IFERROR(INDEX(user_table!$C$2:$C3686,MATCH(C1065,user_table!$B$2:$B3686,0)),"")
</f>
        <v>Agus Pratama</v>
      </c>
      <c r="E1065" s="6" t="str">
        <f t="array" ref="E1065">IFERROR(INDEX(user_table!$E$2:$E3686,MATCH(C1065,user_table!$B$2:$B3686,0)),"")
</f>
        <v>6, 2</v>
      </c>
      <c r="F1065" s="6" t="str">
        <f t="shared" si="2"/>
        <v>152845165</v>
      </c>
      <c r="G1065" s="16">
        <v>4.0</v>
      </c>
      <c r="H1065" s="17">
        <v>44719.0</v>
      </c>
      <c r="I1065" s="18" t="s">
        <v>1056</v>
      </c>
    </row>
    <row r="1066">
      <c r="A1066" s="5" t="str">
        <f t="array" ref="A1066">INDEX(event_table!$A$2:$A$69, RANDBETWEEN(1, COUNTA(event_table!$A$2:$A$69)))</f>
        <v>1313</v>
      </c>
      <c r="B1066" s="6">
        <f t="array" ref="B1066">IFERROR(INDEX(event_table!$E$1:$E3686,MATCH(A1066,event_table!$A$1:$A3686,0)),"")
</f>
        <v>3</v>
      </c>
      <c r="C1066" s="7">
        <f t="shared" si="1"/>
        <v>143</v>
      </c>
      <c r="D1066" s="6" t="str">
        <f t="array" ref="D1066">IFERROR(INDEX(user_table!$C$2:$C3686,MATCH(C1066,user_table!$B$2:$B3686,0)),"")
</f>
        <v>Agus Putri</v>
      </c>
      <c r="E1066" s="6" t="str">
        <f t="array" ref="E1066">IFERROR(INDEX(user_table!$E$2:$E3686,MATCH(C1066,user_table!$B$2:$B3686,0)),"")
</f>
        <v>3, 3</v>
      </c>
      <c r="F1066" s="6" t="str">
        <f t="shared" si="2"/>
        <v>131343143</v>
      </c>
      <c r="G1066" s="16">
        <v>4.0</v>
      </c>
      <c r="H1066" s="17">
        <v>45113.0</v>
      </c>
      <c r="I1066" s="18" t="s">
        <v>1057</v>
      </c>
    </row>
    <row r="1067">
      <c r="A1067" s="5" t="str">
        <f t="array" ref="A1067">INDEX(event_table!$A$2:$A$69, RANDBETWEEN(1, COUNTA(event_table!$A$2:$A$69)))</f>
        <v>1638</v>
      </c>
      <c r="B1067" s="6">
        <f t="array" ref="B1067">IFERROR(INDEX(event_table!$E$1:$E3686,MATCH(A1067,event_table!$A$1:$A3686,0)),"")
</f>
        <v>6</v>
      </c>
      <c r="C1067" s="7">
        <f t="shared" si="1"/>
        <v>144</v>
      </c>
      <c r="D1067" s="6" t="str">
        <f t="array" ref="D1067">IFERROR(INDEX(user_table!$C$2:$C3686,MATCH(C1067,user_table!$B$2:$B3686,0)),"")
</f>
        <v>Sinta Rahayu</v>
      </c>
      <c r="E1067" s="6" t="str">
        <f t="array" ref="E1067">IFERROR(INDEX(user_table!$E$2:$E3686,MATCH(C1067,user_table!$B$2:$B3686,0)),"")
</f>
        <v>6, 3</v>
      </c>
      <c r="F1067" s="6" t="str">
        <f t="shared" si="2"/>
        <v>163846144</v>
      </c>
      <c r="G1067" s="16">
        <v>4.0</v>
      </c>
      <c r="H1067" s="17">
        <v>45065.0</v>
      </c>
      <c r="I1067" s="18" t="s">
        <v>1058</v>
      </c>
    </row>
    <row r="1068">
      <c r="A1068" s="5" t="str">
        <f t="array" ref="A1068">INDEX(event_table!$A$2:$A$69, RANDBETWEEN(1, COUNTA(event_table!$A$2:$A$69)))</f>
        <v>1652</v>
      </c>
      <c r="B1068" s="6">
        <f t="array" ref="B1068">IFERROR(INDEX(event_table!$E$1:$E3686,MATCH(A1068,event_table!$A$1:$A3686,0)),"")
</f>
        <v>6</v>
      </c>
      <c r="C1068" s="7">
        <f t="shared" si="1"/>
        <v>180</v>
      </c>
      <c r="D1068" s="6" t="str">
        <f t="array" ref="D1068">IFERROR(INDEX(user_table!$C$2:$C3686,MATCH(C1068,user_table!$B$2:$B3686,0)),"")
</f>
        <v>Andi Susanto</v>
      </c>
      <c r="E1068" s="6" t="str">
        <f t="array" ref="E1068">IFERROR(INDEX(user_table!$E$2:$E3686,MATCH(C1068,user_table!$B$2:$B3686,0)),"")
</f>
        <v>6, 5</v>
      </c>
      <c r="F1068" s="6" t="str">
        <f t="shared" si="2"/>
        <v>165246180</v>
      </c>
      <c r="G1068" s="16">
        <v>4.0</v>
      </c>
      <c r="H1068" s="17">
        <v>44934.0</v>
      </c>
      <c r="I1068" s="18" t="s">
        <v>1059</v>
      </c>
    </row>
    <row r="1069">
      <c r="A1069" s="5" t="str">
        <f t="array" ref="A1069">INDEX(event_table!$A$2:$A$69, RANDBETWEEN(1, COUNTA(event_table!$A$2:$A$69)))</f>
        <v>3166</v>
      </c>
      <c r="B1069" s="6">
        <f t="array" ref="B1069">IFERROR(INDEX(event_table!$E$1:$E3686,MATCH(A1069,event_table!$A$1:$A3686,0)),"")
</f>
        <v>1</v>
      </c>
      <c r="C1069" s="7">
        <f t="shared" si="1"/>
        <v>3</v>
      </c>
      <c r="D1069" s="6" t="str">
        <f t="array" ref="D1069">IFERROR(INDEX(user_table!$C$2:$C3686,MATCH(C1069,user_table!$B$2:$B3686,0)),"")
</f>
        <v>Fandi Wijaya</v>
      </c>
      <c r="E1069" s="6" t="str">
        <f t="array" ref="E1069">IFERROR(INDEX(user_table!$E$2:$E3686,MATCH(C1069,user_table!$B$2:$B3686,0)),"")
</f>
        <v>6, 1</v>
      </c>
      <c r="F1069" s="6" t="str">
        <f t="shared" si="2"/>
        <v>3166413</v>
      </c>
      <c r="G1069" s="16">
        <v>4.0</v>
      </c>
      <c r="H1069" s="17">
        <v>44814.0</v>
      </c>
      <c r="I1069" s="18" t="s">
        <v>1060</v>
      </c>
    </row>
    <row r="1070">
      <c r="A1070" s="5" t="str">
        <f t="array" ref="A1070">INDEX(event_table!$A$2:$A$69, RANDBETWEEN(1, COUNTA(event_table!$A$2:$A$69)))</f>
        <v>1647</v>
      </c>
      <c r="B1070" s="6">
        <f t="array" ref="B1070">IFERROR(INDEX(event_table!$E$1:$E3686,MATCH(A1070,event_table!$A$1:$A3686,0)),"")
</f>
        <v>6</v>
      </c>
      <c r="C1070" s="7">
        <f t="shared" si="1"/>
        <v>135</v>
      </c>
      <c r="D1070" s="6" t="str">
        <f t="array" ref="D1070">IFERROR(INDEX(user_table!$C$2:$C3686,MATCH(C1070,user_table!$B$2:$B3686,0)),"")
</f>
        <v>Sinta Hermawan</v>
      </c>
      <c r="E1070" s="6" t="str">
        <f t="array" ref="E1070">IFERROR(INDEX(user_table!$E$2:$E3686,MATCH(C1070,user_table!$B$2:$B3686,0)),"")
</f>
        <v>1, 5</v>
      </c>
      <c r="F1070" s="6" t="str">
        <f t="shared" si="2"/>
        <v>164736135</v>
      </c>
      <c r="G1070" s="16">
        <v>3.0</v>
      </c>
      <c r="H1070" s="17">
        <v>44865.0</v>
      </c>
      <c r="I1070" s="18" t="s">
        <v>1061</v>
      </c>
    </row>
    <row r="1071">
      <c r="A1071" s="5" t="str">
        <f t="array" ref="A1071">INDEX(event_table!$A$2:$A$69, RANDBETWEEN(1, COUNTA(event_table!$A$2:$A$69)))</f>
        <v>1416</v>
      </c>
      <c r="B1071" s="6">
        <f t="array" ref="B1071">IFERROR(INDEX(event_table!$E$1:$E3686,MATCH(A1071,event_table!$A$1:$A3686,0)),"")
</f>
        <v>4</v>
      </c>
      <c r="C1071" s="7">
        <f t="shared" si="1"/>
        <v>96</v>
      </c>
      <c r="D1071" s="6" t="str">
        <f t="array" ref="D1071">IFERROR(INDEX(user_table!$C$2:$C3686,MATCH(C1071,user_table!$B$2:$B3686,0)),"")
</f>
        <v>Budi Sari</v>
      </c>
      <c r="E1071" s="6" t="str">
        <f t="array" ref="E1071">IFERROR(INDEX(user_table!$E$2:$E3686,MATCH(C1071,user_table!$B$2:$B3686,0)),"")
</f>
        <v>3, 2</v>
      </c>
      <c r="F1071" s="6" t="str">
        <f t="shared" si="2"/>
        <v>14163496</v>
      </c>
      <c r="G1071" s="16">
        <v>3.0</v>
      </c>
      <c r="H1071" s="17">
        <v>45267.0</v>
      </c>
      <c r="I1071" s="18" t="s">
        <v>1062</v>
      </c>
    </row>
    <row r="1072">
      <c r="A1072" s="5" t="str">
        <f t="array" ref="A1072">INDEX(event_table!$A$2:$A$69, RANDBETWEEN(1, COUNTA(event_table!$A$2:$A$69)))</f>
        <v>3657</v>
      </c>
      <c r="B1072" s="6">
        <f t="array" ref="B1072">IFERROR(INDEX(event_table!$E$1:$E3686,MATCH(A1072,event_table!$A$1:$A3686,0)),"")
</f>
        <v>6</v>
      </c>
      <c r="C1072" s="7">
        <f t="shared" si="1"/>
        <v>93</v>
      </c>
      <c r="D1072" s="6" t="str">
        <f t="array" ref="D1072">IFERROR(INDEX(user_table!$C$2:$C3686,MATCH(C1072,user_table!$B$2:$B3686,0)),"")
</f>
        <v>Hadi Putri</v>
      </c>
      <c r="E1072" s="6" t="str">
        <f t="array" ref="E1072">IFERROR(INDEX(user_table!$E$2:$E3686,MATCH(C1072,user_table!$B$2:$B3686,0)),"")
</f>
        <v>5, 6</v>
      </c>
      <c r="F1072" s="6" t="str">
        <f t="shared" si="2"/>
        <v>36573693</v>
      </c>
      <c r="G1072" s="16">
        <v>3.0</v>
      </c>
      <c r="H1072" s="17">
        <v>45177.0</v>
      </c>
      <c r="I1072" s="18" t="s">
        <v>1063</v>
      </c>
    </row>
    <row r="1073">
      <c r="A1073" s="5" t="str">
        <f t="array" ref="A1073">INDEX(event_table!$A$2:$A$69, RANDBETWEEN(1, COUNTA(event_table!$A$2:$A$69)))</f>
        <v>1526</v>
      </c>
      <c r="B1073" s="6">
        <f t="array" ref="B1073">IFERROR(INDEX(event_table!$E$1:$E3686,MATCH(A1073,event_table!$A$1:$A3686,0)),"")
</f>
        <v>5</v>
      </c>
      <c r="C1073" s="7">
        <f t="shared" si="1"/>
        <v>97</v>
      </c>
      <c r="D1073" s="6" t="str">
        <f t="array" ref="D1073">IFERROR(INDEX(user_table!$C$2:$C3686,MATCH(C1073,user_table!$B$2:$B3686,0)),"")
</f>
        <v>Dewi Hidayat</v>
      </c>
      <c r="E1073" s="6" t="str">
        <f t="array" ref="E1073">IFERROR(INDEX(user_table!$E$2:$E3686,MATCH(C1073,user_table!$B$2:$B3686,0)),"")
</f>
        <v>2, 2</v>
      </c>
      <c r="F1073" s="6" t="str">
        <f t="shared" si="2"/>
        <v>15262597</v>
      </c>
      <c r="G1073" s="16">
        <v>2.0</v>
      </c>
      <c r="H1073" s="17">
        <v>45162.0</v>
      </c>
      <c r="I1073" s="18" t="s">
        <v>1064</v>
      </c>
    </row>
    <row r="1074">
      <c r="A1074" s="5" t="str">
        <f t="array" ref="A1074">INDEX(event_table!$A$2:$A$69, RANDBETWEEN(1, COUNTA(event_table!$A$2:$A$69)))</f>
        <v>3454</v>
      </c>
      <c r="B1074" s="6">
        <f t="array" ref="B1074">IFERROR(INDEX(event_table!$E$1:$E3686,MATCH(A1074,event_table!$A$1:$A3686,0)),"")
</f>
        <v>4</v>
      </c>
      <c r="C1074" s="7">
        <f t="shared" si="1"/>
        <v>24</v>
      </c>
      <c r="D1074" s="6" t="str">
        <f t="array" ref="D1074">IFERROR(INDEX(user_table!$C$2:$C3686,MATCH(C1074,user_table!$B$2:$B3686,0)),"")
</f>
        <v>Andi Septiani</v>
      </c>
      <c r="E1074" s="6" t="str">
        <f t="array" ref="E1074">IFERROR(INDEX(user_table!$E$2:$E3686,MATCH(C1074,user_table!$B$2:$B3686,0)),"")
</f>
        <v>2, 2</v>
      </c>
      <c r="F1074" s="6" t="str">
        <f t="shared" si="2"/>
        <v>34542424</v>
      </c>
      <c r="G1074" s="16">
        <v>2.0</v>
      </c>
      <c r="H1074" s="17">
        <v>45099.0</v>
      </c>
      <c r="I1074" s="18" t="s">
        <v>1065</v>
      </c>
    </row>
    <row r="1075">
      <c r="A1075" s="5" t="str">
        <f t="array" ref="A1075">INDEX(event_table!$A$2:$A$69, RANDBETWEEN(1, COUNTA(event_table!$A$2:$A$69)))</f>
        <v>1648</v>
      </c>
      <c r="B1075" s="6">
        <f t="array" ref="B1075">IFERROR(INDEX(event_table!$E$1:$E3686,MATCH(A1075,event_table!$A$1:$A3686,0)),"")
</f>
        <v>6</v>
      </c>
      <c r="C1075" s="7">
        <f t="shared" si="1"/>
        <v>13</v>
      </c>
      <c r="D1075" s="6" t="str">
        <f t="array" ref="D1075">IFERROR(INDEX(user_table!$C$2:$C3686,MATCH(C1075,user_table!$B$2:$B3686,0)),"")
</f>
        <v>Hadi Kurniawan</v>
      </c>
      <c r="E1075" s="6" t="str">
        <f t="array" ref="E1075">IFERROR(INDEX(user_table!$E$2:$E3686,MATCH(C1075,user_table!$B$2:$B3686,0)),"")
</f>
        <v>4, 3</v>
      </c>
      <c r="F1075" s="6" t="str">
        <f t="shared" si="2"/>
        <v>16482613</v>
      </c>
      <c r="G1075" s="16">
        <v>2.0</v>
      </c>
      <c r="H1075" s="17">
        <v>44937.0</v>
      </c>
      <c r="I1075" s="18" t="s">
        <v>1066</v>
      </c>
    </row>
    <row r="1076">
      <c r="A1076" s="5" t="str">
        <f t="array" ref="A1076">INDEX(event_table!$A$2:$A$69, RANDBETWEEN(1, COUNTA(event_table!$A$2:$A$69)))</f>
        <v>115</v>
      </c>
      <c r="B1076" s="6">
        <f t="array" ref="B1076">IFERROR(INDEX(event_table!$E$1:$E3686,MATCH(A1076,event_table!$A$1:$A3686,0)),"")
</f>
        <v>1</v>
      </c>
      <c r="C1076" s="7">
        <f t="shared" si="1"/>
        <v>93</v>
      </c>
      <c r="D1076" s="6" t="str">
        <f t="array" ref="D1076">IFERROR(INDEX(user_table!$C$2:$C3686,MATCH(C1076,user_table!$B$2:$B3686,0)),"")
</f>
        <v>Hadi Putri</v>
      </c>
      <c r="E1076" s="6" t="str">
        <f t="array" ref="E1076">IFERROR(INDEX(user_table!$E$2:$E3686,MATCH(C1076,user_table!$B$2:$B3686,0)),"")
</f>
        <v>5, 6</v>
      </c>
      <c r="F1076" s="6" t="str">
        <f t="shared" si="2"/>
        <v>1152193</v>
      </c>
      <c r="G1076" s="16">
        <v>2.0</v>
      </c>
      <c r="H1076" s="17">
        <v>44681.0</v>
      </c>
      <c r="I1076" s="18" t="s">
        <v>1067</v>
      </c>
    </row>
    <row r="1077">
      <c r="A1077" s="5" t="str">
        <f t="array" ref="A1077">INDEX(event_table!$A$2:$A$69, RANDBETWEEN(1, COUNTA(event_table!$A$2:$A$69)))</f>
        <v>1648</v>
      </c>
      <c r="B1077" s="6">
        <f t="array" ref="B1077">IFERROR(INDEX(event_table!$E$1:$E3686,MATCH(A1077,event_table!$A$1:$A3686,0)),"")
</f>
        <v>6</v>
      </c>
      <c r="C1077" s="7">
        <f t="shared" si="1"/>
        <v>2</v>
      </c>
      <c r="D1077" s="6" t="str">
        <f t="array" ref="D1077">IFERROR(INDEX(user_table!$C$2:$C3686,MATCH(C1077,user_table!$B$2:$B3686,0)),"")
</f>
        <v>Dian Putri</v>
      </c>
      <c r="E1077" s="6" t="str">
        <f t="array" ref="E1077">IFERROR(INDEX(user_table!$E$2:$E3686,MATCH(C1077,user_table!$B$2:$B3686,0)),"")
</f>
        <v>1, 6</v>
      </c>
      <c r="F1077" s="6" t="str">
        <f t="shared" si="2"/>
        <v>1648262</v>
      </c>
      <c r="G1077" s="16">
        <v>2.0</v>
      </c>
      <c r="H1077" s="17">
        <v>45247.0</v>
      </c>
      <c r="I1077" s="18" t="s">
        <v>1068</v>
      </c>
    </row>
    <row r="1078">
      <c r="A1078" s="5" t="str">
        <f t="array" ref="A1078">INDEX(event_table!$A$2:$A$69, RANDBETWEEN(1, COUNTA(event_table!$A$2:$A$69)))</f>
        <v>3168</v>
      </c>
      <c r="B1078" s="6">
        <f t="array" ref="B1078">IFERROR(INDEX(event_table!$E$1:$E3686,MATCH(A1078,event_table!$A$1:$A3686,0)),"")
</f>
        <v>1</v>
      </c>
      <c r="C1078" s="7">
        <f t="shared" si="1"/>
        <v>193</v>
      </c>
      <c r="D1078" s="6" t="str">
        <f t="array" ref="D1078">IFERROR(INDEX(user_table!$C$2:$C3686,MATCH(C1078,user_table!$B$2:$B3686,0)),"")
</f>
        <v>Dina Wijaya</v>
      </c>
      <c r="E1078" s="6" t="str">
        <f t="array" ref="E1078">IFERROR(INDEX(user_table!$E$2:$E3686,MATCH(C1078,user_table!$B$2:$B3686,0)),"")
</f>
        <v>4, 5</v>
      </c>
      <c r="F1078" s="6" t="str">
        <f t="shared" si="2"/>
        <v>316821193</v>
      </c>
      <c r="G1078" s="16">
        <v>2.0</v>
      </c>
      <c r="H1078" s="17">
        <v>45231.0</v>
      </c>
      <c r="I1078" s="18" t="s">
        <v>1069</v>
      </c>
    </row>
    <row r="1079">
      <c r="A1079" s="5" t="str">
        <f t="array" ref="A1079">INDEX(event_table!$A$2:$A$69, RANDBETWEEN(1, COUNTA(event_table!$A$2:$A$69)))</f>
        <v>1650</v>
      </c>
      <c r="B1079" s="6">
        <f t="array" ref="B1079">IFERROR(INDEX(event_table!$E$1:$E3686,MATCH(A1079,event_table!$A$1:$A3686,0)),"")
</f>
        <v>6</v>
      </c>
      <c r="C1079" s="7">
        <f t="shared" si="1"/>
        <v>64</v>
      </c>
      <c r="D1079" s="6" t="str">
        <f t="array" ref="D1079">IFERROR(INDEX(user_table!$C$2:$C3686,MATCH(C1079,user_table!$B$2:$B3686,0)),"")
</f>
        <v>Fajar Utami</v>
      </c>
      <c r="E1079" s="6" t="str">
        <f t="array" ref="E1079">IFERROR(INDEX(user_table!$E$2:$E3686,MATCH(C1079,user_table!$B$2:$B3686,0)),"")
</f>
        <v>5, 2</v>
      </c>
      <c r="F1079" s="6" t="str">
        <f t="shared" si="2"/>
        <v>16502664</v>
      </c>
      <c r="G1079" s="16">
        <v>2.0</v>
      </c>
      <c r="H1079" s="17">
        <v>45121.0</v>
      </c>
      <c r="I1079" s="18" t="s">
        <v>1070</v>
      </c>
    </row>
    <row r="1080">
      <c r="A1080" s="5" t="str">
        <f t="array" ref="A1080">INDEX(event_table!$A$2:$A$69, RANDBETWEEN(1, COUNTA(event_table!$A$2:$A$69)))</f>
        <v>1423</v>
      </c>
      <c r="B1080" s="6">
        <f t="array" ref="B1080">IFERROR(INDEX(event_table!$E$1:$E3686,MATCH(A1080,event_table!$A$1:$A3686,0)),"")
</f>
        <v>4</v>
      </c>
      <c r="C1080" s="7">
        <f t="shared" si="1"/>
        <v>110</v>
      </c>
      <c r="D1080" s="6" t="str">
        <f t="array" ref="D1080">IFERROR(INDEX(user_table!$C$2:$C3686,MATCH(C1080,user_table!$B$2:$B3686,0)),"")
</f>
        <v>Fajar Wijaya</v>
      </c>
      <c r="E1080" s="6" t="str">
        <f t="array" ref="E1080">IFERROR(INDEX(user_table!$E$2:$E3686,MATCH(C1080,user_table!$B$2:$B3686,0)),"")
</f>
        <v>3, 6</v>
      </c>
      <c r="F1080" s="6" t="str">
        <f t="shared" si="2"/>
        <v>142324110</v>
      </c>
      <c r="G1080" s="16">
        <v>2.0</v>
      </c>
      <c r="H1080" s="17">
        <v>45066.0</v>
      </c>
      <c r="I1080" s="18" t="s">
        <v>1071</v>
      </c>
    </row>
    <row r="1081">
      <c r="A1081" s="5" t="str">
        <f t="array" ref="A1081">INDEX(event_table!$A$2:$A$69, RANDBETWEEN(1, COUNTA(event_table!$A$2:$A$69)))</f>
        <v>117</v>
      </c>
      <c r="B1081" s="6">
        <f t="array" ref="B1081">IFERROR(INDEX(event_table!$E$1:$E3686,MATCH(A1081,event_table!$A$1:$A3686,0)),"")
</f>
        <v>1</v>
      </c>
      <c r="C1081" s="7">
        <f t="shared" si="1"/>
        <v>91</v>
      </c>
      <c r="D1081" s="6" t="str">
        <f t="array" ref="D1081">IFERROR(INDEX(user_table!$C$2:$C3686,MATCH(C1081,user_table!$B$2:$B3686,0)),"")
</f>
        <v>Bambang Wijaya</v>
      </c>
      <c r="E1081" s="6" t="str">
        <f t="array" ref="E1081">IFERROR(INDEX(user_table!$E$2:$E3686,MATCH(C1081,user_table!$B$2:$B3686,0)),"")
</f>
        <v>1, 2</v>
      </c>
      <c r="F1081" s="6" t="str">
        <f t="shared" si="2"/>
        <v>1171191</v>
      </c>
      <c r="G1081" s="16">
        <v>1.0</v>
      </c>
      <c r="H1081" s="17">
        <v>45260.0</v>
      </c>
      <c r="I1081" s="18" t="s">
        <v>1072</v>
      </c>
    </row>
    <row r="1082">
      <c r="A1082" s="5" t="str">
        <f t="array" ref="A1082">INDEX(event_table!$A$2:$A$69, RANDBETWEEN(1, COUNTA(event_table!$A$2:$A$69)))</f>
        <v>1418</v>
      </c>
      <c r="B1082" s="6">
        <f t="array" ref="B1082">IFERROR(INDEX(event_table!$E$1:$E3686,MATCH(A1082,event_table!$A$1:$A3686,0)),"")
</f>
        <v>4</v>
      </c>
      <c r="C1082" s="7">
        <f t="shared" si="1"/>
        <v>34</v>
      </c>
      <c r="D1082" s="6" t="str">
        <f t="array" ref="D1082">IFERROR(INDEX(user_table!$C$2:$C3686,MATCH(C1082,user_table!$B$2:$B3686,0)),"")
</f>
        <v>Bambang Putri</v>
      </c>
      <c r="E1082" s="6" t="str">
        <f t="array" ref="E1082">IFERROR(INDEX(user_table!$E$2:$E3686,MATCH(C1082,user_table!$B$2:$B3686,0)),"")
</f>
        <v>3, 5</v>
      </c>
      <c r="F1082" s="6" t="str">
        <f t="shared" si="2"/>
        <v>14181434</v>
      </c>
      <c r="G1082" s="16">
        <v>1.0</v>
      </c>
      <c r="H1082" s="17">
        <v>45215.0</v>
      </c>
      <c r="I1082" s="18" t="s">
        <v>1073</v>
      </c>
    </row>
    <row r="1083">
      <c r="A1083" s="5" t="str">
        <f t="array" ref="A1083">INDEX(event_table!$A$2:$A$69, RANDBETWEEN(1, COUNTA(event_table!$A$2:$A$69)))</f>
        <v>1418</v>
      </c>
      <c r="B1083" s="6">
        <f t="array" ref="B1083">IFERROR(INDEX(event_table!$E$1:$E3686,MATCH(A1083,event_table!$A$1:$A3686,0)),"")
</f>
        <v>4</v>
      </c>
      <c r="C1083" s="7">
        <f t="shared" si="1"/>
        <v>83</v>
      </c>
      <c r="D1083" s="6" t="str">
        <f t="array" ref="D1083">IFERROR(INDEX(user_table!$C$2:$C3686,MATCH(C1083,user_table!$B$2:$B3686,0)),"")
</f>
        <v>Sinta Nurhayati</v>
      </c>
      <c r="E1083" s="6" t="str">
        <f t="array" ref="E1083">IFERROR(INDEX(user_table!$E$2:$E3686,MATCH(C1083,user_table!$B$2:$B3686,0)),"")
</f>
        <v>5, 5</v>
      </c>
      <c r="F1083" s="6" t="str">
        <f t="shared" si="2"/>
        <v>14181483</v>
      </c>
      <c r="G1083" s="16">
        <v>1.0</v>
      </c>
      <c r="H1083" s="17">
        <v>45256.0</v>
      </c>
      <c r="I1083" s="18" t="s">
        <v>1074</v>
      </c>
    </row>
    <row r="1084">
      <c r="A1084" s="5" t="str">
        <f t="array" ref="A1084">INDEX(event_table!$A$2:$A$69, RANDBETWEEN(1, COUNTA(event_table!$A$2:$A$69)))</f>
        <v>3658</v>
      </c>
      <c r="B1084" s="6">
        <f t="array" ref="B1084">IFERROR(INDEX(event_table!$E$1:$E3686,MATCH(A1084,event_table!$A$1:$A3686,0)),"")
</f>
        <v>6</v>
      </c>
      <c r="C1084" s="7">
        <f t="shared" si="1"/>
        <v>176</v>
      </c>
      <c r="D1084" s="6" t="str">
        <f t="array" ref="D1084">IFERROR(INDEX(user_table!$C$2:$C3686,MATCH(C1084,user_table!$B$2:$B3686,0)),"")
</f>
        <v>Ani Hartono</v>
      </c>
      <c r="E1084" s="6" t="str">
        <f t="array" ref="E1084">IFERROR(INDEX(user_table!$E$2:$E3686,MATCH(C1084,user_table!$B$2:$B3686,0)),"")
</f>
        <v>2, 3</v>
      </c>
      <c r="F1084" s="6" t="str">
        <f t="shared" si="2"/>
        <v>365816176</v>
      </c>
      <c r="G1084" s="16">
        <v>1.0</v>
      </c>
      <c r="H1084" s="17">
        <v>45269.0</v>
      </c>
      <c r="I1084" s="18" t="s">
        <v>1075</v>
      </c>
    </row>
    <row r="1085">
      <c r="A1085" s="5" t="str">
        <f t="array" ref="A1085">INDEX(event_table!$A$2:$A$69, RANDBETWEEN(1, COUNTA(event_table!$A$2:$A$69)))</f>
        <v>1335</v>
      </c>
      <c r="B1085" s="6">
        <f t="array" ref="B1085">IFERROR(INDEX(event_table!$E$1:$E3686,MATCH(A1085,event_table!$A$1:$A3686,0)),"")
</f>
        <v>3</v>
      </c>
      <c r="C1085" s="7">
        <f t="shared" si="1"/>
        <v>167</v>
      </c>
      <c r="D1085" s="6" t="str">
        <f t="array" ref="D1085">IFERROR(INDEX(user_table!$C$2:$C3686,MATCH(C1085,user_table!$B$2:$B3686,0)),"")
</f>
        <v>Fandi Hermawan</v>
      </c>
      <c r="E1085" s="6" t="str">
        <f t="array" ref="E1085">IFERROR(INDEX(user_table!$E$2:$E3686,MATCH(C1085,user_table!$B$2:$B3686,0)),"")
</f>
        <v>3, 1</v>
      </c>
      <c r="F1085" s="6" t="str">
        <f t="shared" si="2"/>
        <v>133513167</v>
      </c>
      <c r="G1085" s="16">
        <v>1.0</v>
      </c>
      <c r="H1085" s="17">
        <v>45268.0</v>
      </c>
      <c r="I1085" s="18" t="s">
        <v>1076</v>
      </c>
    </row>
    <row r="1086">
      <c r="A1086" s="5" t="str">
        <f t="array" ref="A1086">INDEX(event_table!$A$2:$A$69, RANDBETWEEN(1, COUNTA(event_table!$A$2:$A$69)))</f>
        <v>1526</v>
      </c>
      <c r="B1086" s="6">
        <f t="array" ref="B1086">IFERROR(INDEX(event_table!$E$1:$E3686,MATCH(A1086,event_table!$A$1:$A3686,0)),"")
</f>
        <v>5</v>
      </c>
      <c r="C1086" s="7">
        <f t="shared" si="1"/>
        <v>59</v>
      </c>
      <c r="D1086" s="6" t="str">
        <f t="array" ref="D1086">IFERROR(INDEX(user_table!$C$2:$C3686,MATCH(C1086,user_table!$B$2:$B3686,0)),"")
</f>
        <v>Siti Rahayu</v>
      </c>
      <c r="E1086" s="6" t="str">
        <f t="array" ref="E1086">IFERROR(INDEX(user_table!$E$2:$E3686,MATCH(C1086,user_table!$B$2:$B3686,0)),"")
</f>
        <v>3, 5</v>
      </c>
      <c r="F1086" s="6" t="str">
        <f t="shared" si="2"/>
        <v>15261559</v>
      </c>
      <c r="G1086" s="16">
        <v>1.0</v>
      </c>
      <c r="H1086" s="17">
        <v>45229.0</v>
      </c>
      <c r="I1086" s="18" t="s">
        <v>1077</v>
      </c>
    </row>
    <row r="1087">
      <c r="A1087" s="5" t="str">
        <f t="array" ref="A1087">INDEX(event_table!$A$2:$A$69, RANDBETWEEN(1, COUNTA(event_table!$A$2:$A$69)))</f>
        <v>1215</v>
      </c>
      <c r="B1087" s="6">
        <f t="array" ref="B1087">IFERROR(INDEX(event_table!$E$1:$E3686,MATCH(A1087,event_table!$A$1:$A3686,0)),"")
</f>
        <v>2</v>
      </c>
      <c r="C1087" s="7">
        <f t="shared" si="1"/>
        <v>96</v>
      </c>
      <c r="D1087" s="6" t="str">
        <f t="array" ref="D1087">IFERROR(INDEX(user_table!$C$2:$C3686,MATCH(C1087,user_table!$B$2:$B3686,0)),"")
</f>
        <v>Budi Sari</v>
      </c>
      <c r="E1087" s="6" t="str">
        <f t="array" ref="E1087">IFERROR(INDEX(user_table!$E$2:$E3686,MATCH(C1087,user_table!$B$2:$B3686,0)),"")
</f>
        <v>3, 2</v>
      </c>
      <c r="F1087" s="6" t="str">
        <f t="shared" si="2"/>
        <v>12151296</v>
      </c>
      <c r="G1087" s="16">
        <v>1.0</v>
      </c>
      <c r="H1087" s="17">
        <v>45183.0</v>
      </c>
      <c r="I1087" s="18" t="s">
        <v>1078</v>
      </c>
    </row>
    <row r="1088">
      <c r="A1088" s="5" t="str">
        <f t="array" ref="A1088">INDEX(event_table!$A$2:$A$69, RANDBETWEEN(1, COUNTA(event_table!$A$2:$A$69)))</f>
        <v>1313</v>
      </c>
      <c r="B1088" s="6">
        <f t="array" ref="B1088">IFERROR(INDEX(event_table!$E$1:$E3686,MATCH(A1088,event_table!$A$1:$A3686,0)),"")
</f>
        <v>3</v>
      </c>
      <c r="C1088" s="7">
        <f t="shared" si="1"/>
        <v>13</v>
      </c>
      <c r="D1088" s="6" t="str">
        <f t="array" ref="D1088">IFERROR(INDEX(user_table!$C$2:$C3686,MATCH(C1088,user_table!$B$2:$B3686,0)),"")
</f>
        <v>Hadi Kurniawan</v>
      </c>
      <c r="E1088" s="6" t="str">
        <f t="array" ref="E1088">IFERROR(INDEX(user_table!$E$2:$E3686,MATCH(C1088,user_table!$B$2:$B3686,0)),"")
</f>
        <v>4, 3</v>
      </c>
      <c r="F1088" s="6" t="str">
        <f t="shared" si="2"/>
        <v>13131313</v>
      </c>
      <c r="G1088" s="16">
        <v>1.0</v>
      </c>
      <c r="H1088" s="17">
        <v>45149.0</v>
      </c>
      <c r="I1088" s="18" t="s">
        <v>1079</v>
      </c>
    </row>
    <row r="1089">
      <c r="A1089" s="5" t="str">
        <f t="array" ref="A1089">INDEX(event_table!$A$2:$A$69, RANDBETWEEN(1, COUNTA(event_table!$A$2:$A$69)))</f>
        <v>113</v>
      </c>
      <c r="B1089" s="6">
        <f t="array" ref="B1089">IFERROR(INDEX(event_table!$E$1:$E3686,MATCH(A1089,event_table!$A$1:$A3686,0)),"")
</f>
        <v>1</v>
      </c>
      <c r="C1089" s="7">
        <f t="shared" si="1"/>
        <v>19</v>
      </c>
      <c r="D1089" s="6" t="str">
        <f t="array" ref="D1089">IFERROR(INDEX(user_table!$C$2:$C3686,MATCH(C1089,user_table!$B$2:$B3686,0)),"")
</f>
        <v>Siti Purnama</v>
      </c>
      <c r="E1089" s="6" t="str">
        <f t="array" ref="E1089">IFERROR(INDEX(user_table!$E$2:$E3686,MATCH(C1089,user_table!$B$2:$B3686,0)),"")
</f>
        <v>2, 1</v>
      </c>
      <c r="F1089" s="6" t="str">
        <f t="shared" si="2"/>
        <v>1131119</v>
      </c>
      <c r="G1089" s="16">
        <v>1.0</v>
      </c>
      <c r="H1089" s="17">
        <v>45059.0</v>
      </c>
      <c r="I1089" s="18" t="s">
        <v>1080</v>
      </c>
    </row>
    <row r="1090">
      <c r="A1090" s="5" t="str">
        <f t="array" ref="A1090">INDEX(event_table!$A$2:$A$69, RANDBETWEEN(1, COUNTA(event_table!$A$2:$A$69)))</f>
        <v>115</v>
      </c>
      <c r="B1090" s="6">
        <f t="array" ref="B1090">IFERROR(INDEX(event_table!$E$1:$E3686,MATCH(A1090,event_table!$A$1:$A3686,0)),"")
</f>
        <v>1</v>
      </c>
      <c r="C1090" s="7">
        <f t="shared" si="1"/>
        <v>54</v>
      </c>
      <c r="D1090" s="6" t="str">
        <f t="array" ref="D1090">IFERROR(INDEX(user_table!$C$2:$C3686,MATCH(C1090,user_table!$B$2:$B3686,0)),"")
</f>
        <v>Andi Kurniawan</v>
      </c>
      <c r="E1090" s="6" t="str">
        <f t="array" ref="E1090">IFERROR(INDEX(user_table!$E$2:$E3686,MATCH(C1090,user_table!$B$2:$B3686,0)),"")
</f>
        <v>4, 4</v>
      </c>
      <c r="F1090" s="6" t="str">
        <f t="shared" si="2"/>
        <v>1151154</v>
      </c>
      <c r="G1090" s="16">
        <v>1.0</v>
      </c>
      <c r="H1090" s="17">
        <v>45038.0</v>
      </c>
      <c r="I1090" s="18" t="s">
        <v>1081</v>
      </c>
    </row>
    <row r="1091">
      <c r="A1091" s="5" t="str">
        <f t="array" ref="A1091">INDEX(event_table!$A$2:$A$69, RANDBETWEEN(1, COUNTA(event_table!$A$2:$A$69)))</f>
        <v>1422</v>
      </c>
      <c r="B1091" s="6">
        <f t="array" ref="B1091">IFERROR(INDEX(event_table!$E$1:$E3686,MATCH(A1091,event_table!$A$1:$A3686,0)),"")
</f>
        <v>4</v>
      </c>
      <c r="C1091" s="7">
        <f t="shared" si="1"/>
        <v>115</v>
      </c>
      <c r="D1091" s="6" t="str">
        <f t="array" ref="D1091">IFERROR(INDEX(user_table!$C$2:$C3686,MATCH(C1091,user_table!$B$2:$B3686,0)),"")
</f>
        <v>Dewi Septiani</v>
      </c>
      <c r="E1091" s="6" t="str">
        <f t="array" ref="E1091">IFERROR(INDEX(user_table!$E$2:$E3686,MATCH(C1091,user_table!$B$2:$B3686,0)),"")
</f>
        <v>6, 3</v>
      </c>
      <c r="F1091" s="6" t="str">
        <f t="shared" si="2"/>
        <v>142254115</v>
      </c>
      <c r="G1091" s="16">
        <v>5.0</v>
      </c>
      <c r="H1091" s="17">
        <v>44733.0</v>
      </c>
      <c r="I1091" s="18" t="s">
        <v>1082</v>
      </c>
    </row>
    <row r="1092">
      <c r="A1092" s="5" t="str">
        <f t="array" ref="A1092">INDEX(event_table!$A$2:$A$69, RANDBETWEEN(1, COUNTA(event_table!$A$2:$A$69)))</f>
        <v>1645</v>
      </c>
      <c r="B1092" s="6">
        <f t="array" ref="B1092">IFERROR(INDEX(event_table!$E$1:$E3686,MATCH(A1092,event_table!$A$1:$A3686,0)),"")
</f>
        <v>6</v>
      </c>
      <c r="C1092" s="7">
        <f t="shared" si="1"/>
        <v>8</v>
      </c>
      <c r="D1092" s="6" t="str">
        <f t="array" ref="D1092">IFERROR(INDEX(user_table!$C$2:$C3686,MATCH(C1092,user_table!$B$2:$B3686,0)),"")
</f>
        <v>Bambang Kurniawan</v>
      </c>
      <c r="E1092" s="6" t="str">
        <f t="array" ref="E1092">IFERROR(INDEX(user_table!$E$2:$E3686,MATCH(C1092,user_table!$B$2:$B3686,0)),"")
</f>
        <v>2, 1</v>
      </c>
      <c r="F1092" s="6" t="str">
        <f t="shared" si="2"/>
        <v>1645568</v>
      </c>
      <c r="G1092" s="16">
        <v>5.0</v>
      </c>
      <c r="H1092" s="17">
        <v>44720.0</v>
      </c>
      <c r="I1092" s="18" t="s">
        <v>1083</v>
      </c>
    </row>
    <row r="1093">
      <c r="A1093" s="5" t="str">
        <f t="array" ref="A1093">INDEX(event_table!$A$2:$A$69, RANDBETWEEN(1, COUNTA(event_table!$A$2:$A$69)))</f>
        <v>1425</v>
      </c>
      <c r="B1093" s="6">
        <f t="array" ref="B1093">IFERROR(INDEX(event_table!$E$1:$E3686,MATCH(A1093,event_table!$A$1:$A3686,0)),"")
</f>
        <v>4</v>
      </c>
      <c r="C1093" s="7">
        <f t="shared" si="1"/>
        <v>90</v>
      </c>
      <c r="D1093" s="6" t="str">
        <f t="array" ref="D1093">IFERROR(INDEX(user_table!$C$2:$C3686,MATCH(C1093,user_table!$B$2:$B3686,0)),"")
</f>
        <v>Dina Saputra</v>
      </c>
      <c r="E1093" s="6" t="str">
        <f t="array" ref="E1093">IFERROR(INDEX(user_table!$E$2:$E3686,MATCH(C1093,user_table!$B$2:$B3686,0)),"")
</f>
        <v>1, 2</v>
      </c>
      <c r="F1093" s="6" t="str">
        <f t="shared" si="2"/>
        <v>14255490</v>
      </c>
      <c r="G1093" s="16">
        <v>5.0</v>
      </c>
      <c r="H1093" s="17">
        <v>44704.0</v>
      </c>
      <c r="I1093" s="18" t="s">
        <v>1084</v>
      </c>
    </row>
    <row r="1094">
      <c r="A1094" s="5" t="str">
        <f t="array" ref="A1094">INDEX(event_table!$A$2:$A$69, RANDBETWEEN(1, COUNTA(event_table!$A$2:$A$69)))</f>
        <v>3455</v>
      </c>
      <c r="B1094" s="6">
        <f t="array" ref="B1094">IFERROR(INDEX(event_table!$E$1:$E3686,MATCH(A1094,event_table!$A$1:$A3686,0)),"")
</f>
        <v>4</v>
      </c>
      <c r="C1094" s="7">
        <f t="shared" si="1"/>
        <v>160</v>
      </c>
      <c r="D1094" s="6" t="str">
        <f t="array" ref="D1094">IFERROR(INDEX(user_table!$C$2:$C3686,MATCH(C1094,user_table!$B$2:$B3686,0)),"")
</f>
        <v>Hadi Hadiwijaya</v>
      </c>
      <c r="E1094" s="6" t="str">
        <f t="array" ref="E1094">IFERROR(INDEX(user_table!$E$2:$E3686,MATCH(C1094,user_table!$B$2:$B3686,0)),"")
</f>
        <v>2, 4</v>
      </c>
      <c r="F1094" s="6" t="str">
        <f t="shared" si="2"/>
        <v>345554160</v>
      </c>
      <c r="G1094" s="16">
        <v>5.0</v>
      </c>
      <c r="H1094" s="17">
        <v>44702.0</v>
      </c>
      <c r="I1094" s="18" t="s">
        <v>1085</v>
      </c>
    </row>
    <row r="1095">
      <c r="A1095" s="5" t="str">
        <f t="array" ref="A1095">INDEX(event_table!$A$2:$A$69, RANDBETWEEN(1, COUNTA(event_table!$A$2:$A$69)))</f>
        <v>1423</v>
      </c>
      <c r="B1095" s="6">
        <f t="array" ref="B1095">IFERROR(INDEX(event_table!$E$1:$E3686,MATCH(A1095,event_table!$A$1:$A3686,0)),"")
</f>
        <v>4</v>
      </c>
      <c r="C1095" s="7">
        <f t="shared" si="1"/>
        <v>14</v>
      </c>
      <c r="D1095" s="6" t="str">
        <f t="array" ref="D1095">IFERROR(INDEX(user_table!$C$2:$C3686,MATCH(C1095,user_table!$B$2:$B3686,0)),"")
</f>
        <v>Ani Purnama</v>
      </c>
      <c r="E1095" s="6" t="str">
        <f t="array" ref="E1095">IFERROR(INDEX(user_table!$E$2:$E3686,MATCH(C1095,user_table!$B$2:$B3686,0)),"")
</f>
        <v>6, 2</v>
      </c>
      <c r="F1095" s="6" t="str">
        <f t="shared" si="2"/>
        <v>14235414</v>
      </c>
      <c r="G1095" s="16">
        <v>5.0</v>
      </c>
      <c r="H1095" s="17">
        <v>44697.0</v>
      </c>
      <c r="I1095" s="18" t="s">
        <v>1086</v>
      </c>
    </row>
    <row r="1096">
      <c r="A1096" s="5" t="str">
        <f t="array" ref="A1096">INDEX(event_table!$A$2:$A$69, RANDBETWEEN(1, COUNTA(event_table!$A$2:$A$69)))</f>
        <v>1519</v>
      </c>
      <c r="B1096" s="6">
        <f t="array" ref="B1096">IFERROR(INDEX(event_table!$E$1:$E3686,MATCH(A1096,event_table!$A$1:$A3686,0)),"")
</f>
        <v>5</v>
      </c>
      <c r="C1096" s="7">
        <f t="shared" si="1"/>
        <v>187</v>
      </c>
      <c r="D1096" s="6" t="str">
        <f t="array" ref="D1096">IFERROR(INDEX(user_table!$C$2:$C3686,MATCH(C1096,user_table!$B$2:$B3686,0)),"")
</f>
        <v>Bambang Saputra</v>
      </c>
      <c r="E1096" s="6" t="str">
        <f t="array" ref="E1096">IFERROR(INDEX(user_table!$E$2:$E3686,MATCH(C1096,user_table!$B$2:$B3686,0)),"")
</f>
        <v>3, 1</v>
      </c>
      <c r="F1096" s="6" t="str">
        <f t="shared" si="2"/>
        <v>151955187</v>
      </c>
      <c r="G1096" s="16">
        <v>5.0</v>
      </c>
      <c r="H1096" s="17">
        <v>44688.0</v>
      </c>
      <c r="I1096" s="18" t="s">
        <v>1087</v>
      </c>
    </row>
    <row r="1097">
      <c r="A1097" s="5" t="str">
        <f t="array" ref="A1097">INDEX(event_table!$A$2:$A$69, RANDBETWEEN(1, COUNTA(event_table!$A$2:$A$69)))</f>
        <v>111</v>
      </c>
      <c r="B1097" s="6">
        <f t="array" ref="B1097">IFERROR(INDEX(event_table!$E$1:$E3686,MATCH(A1097,event_table!$A$1:$A3686,0)),"")
</f>
        <v>1</v>
      </c>
      <c r="C1097" s="7">
        <f t="shared" si="1"/>
        <v>88</v>
      </c>
      <c r="D1097" s="6" t="str">
        <f t="array" ref="D1097">IFERROR(INDEX(user_table!$C$2:$C3686,MATCH(C1097,user_table!$B$2:$B3686,0)),"")
</f>
        <v>Fajar Hadiwijaya</v>
      </c>
      <c r="E1097" s="6" t="str">
        <f t="array" ref="E1097">IFERROR(INDEX(user_table!$E$2:$E3686,MATCH(C1097,user_table!$B$2:$B3686,0)),"")
</f>
        <v>2, 6</v>
      </c>
      <c r="F1097" s="6" t="str">
        <f t="shared" si="2"/>
        <v>1115188</v>
      </c>
      <c r="G1097" s="16">
        <v>5.0</v>
      </c>
      <c r="H1097" s="17">
        <v>45112.0</v>
      </c>
      <c r="I1097" s="18" t="s">
        <v>1088</v>
      </c>
    </row>
    <row r="1098">
      <c r="A1098" s="5" t="str">
        <f t="array" ref="A1098">INDEX(event_table!$A$2:$A$69, RANDBETWEEN(1, COUNTA(event_table!$A$2:$A$69)))</f>
        <v>1110</v>
      </c>
      <c r="B1098" s="6">
        <f t="array" ref="B1098">IFERROR(INDEX(event_table!$E$1:$E3686,MATCH(A1098,event_table!$A$1:$A3686,0)),"")
</f>
        <v>1</v>
      </c>
      <c r="C1098" s="7">
        <f t="shared" si="1"/>
        <v>30</v>
      </c>
      <c r="D1098" s="6" t="str">
        <f t="array" ref="D1098">IFERROR(INDEX(user_table!$C$2:$C3686,MATCH(C1098,user_table!$B$2:$B3686,0)),"")
</f>
        <v>Fajar Kurniawan</v>
      </c>
      <c r="E1098" s="6" t="str">
        <f t="array" ref="E1098">IFERROR(INDEX(user_table!$E$2:$E3686,MATCH(C1098,user_table!$B$2:$B3686,0)),"")
</f>
        <v>5, 3</v>
      </c>
      <c r="F1098" s="6" t="str">
        <f t="shared" si="2"/>
        <v>11105130</v>
      </c>
      <c r="G1098" s="16">
        <v>5.0</v>
      </c>
      <c r="H1098" s="17">
        <v>45111.0</v>
      </c>
      <c r="I1098" s="18" t="s">
        <v>1089</v>
      </c>
    </row>
    <row r="1099">
      <c r="A1099" s="5" t="str">
        <f t="array" ref="A1099">INDEX(event_table!$A$2:$A$69, RANDBETWEEN(1, COUNTA(event_table!$A$2:$A$69)))</f>
        <v>1642</v>
      </c>
      <c r="B1099" s="6">
        <f t="array" ref="B1099">IFERROR(INDEX(event_table!$E$1:$E3686,MATCH(A1099,event_table!$A$1:$A3686,0)),"")
</f>
        <v>6</v>
      </c>
      <c r="C1099" s="7">
        <f t="shared" si="1"/>
        <v>47</v>
      </c>
      <c r="D1099" s="6" t="str">
        <f t="array" ref="D1099">IFERROR(INDEX(user_table!$C$2:$C3686,MATCH(C1099,user_table!$B$2:$B3686,0)),"")
</f>
        <v>Fandi Kurniawan</v>
      </c>
      <c r="E1099" s="6" t="str">
        <f t="array" ref="E1099">IFERROR(INDEX(user_table!$E$2:$E3686,MATCH(C1099,user_table!$B$2:$B3686,0)),"")
</f>
        <v>5, 6</v>
      </c>
      <c r="F1099" s="6" t="str">
        <f t="shared" si="2"/>
        <v>16425647</v>
      </c>
      <c r="G1099" s="16">
        <v>5.0</v>
      </c>
      <c r="H1099" s="17">
        <v>45051.0</v>
      </c>
      <c r="I1099" s="18" t="s">
        <v>1090</v>
      </c>
    </row>
    <row r="1100">
      <c r="A1100" s="5" t="str">
        <f t="array" ref="A1100">INDEX(event_table!$A$2:$A$69, RANDBETWEEN(1, COUNTA(event_table!$A$2:$A$69)))</f>
        <v>1519</v>
      </c>
      <c r="B1100" s="6">
        <f t="array" ref="B1100">IFERROR(INDEX(event_table!$E$1:$E3686,MATCH(A1100,event_table!$A$1:$A3686,0)),"")
</f>
        <v>5</v>
      </c>
      <c r="C1100" s="7">
        <f t="shared" si="1"/>
        <v>134</v>
      </c>
      <c r="D1100" s="6" t="str">
        <f t="array" ref="D1100">IFERROR(INDEX(user_table!$C$2:$C3686,MATCH(C1100,user_table!$B$2:$B3686,0)),"")
</f>
        <v>Maya Septiani</v>
      </c>
      <c r="E1100" s="6" t="str">
        <f t="array" ref="E1100">IFERROR(INDEX(user_table!$E$2:$E3686,MATCH(C1100,user_table!$B$2:$B3686,0)),"")
</f>
        <v>2, 4</v>
      </c>
      <c r="F1100" s="6" t="str">
        <f t="shared" si="2"/>
        <v>151955134</v>
      </c>
      <c r="G1100" s="16">
        <v>5.0</v>
      </c>
      <c r="H1100" s="17">
        <v>44934.0</v>
      </c>
      <c r="I1100" s="18" t="s">
        <v>1091</v>
      </c>
    </row>
    <row r="1101">
      <c r="A1101" s="5" t="str">
        <f t="array" ref="A1101">INDEX(event_table!$A$2:$A$69, RANDBETWEEN(1, COUNTA(event_table!$A$2:$A$69)))</f>
        <v>117</v>
      </c>
      <c r="B1101" s="6">
        <f t="array" ref="B1101">IFERROR(INDEX(event_table!$E$1:$E3686,MATCH(A1101,event_table!$A$1:$A3686,0)),"")
</f>
        <v>1</v>
      </c>
      <c r="C1101" s="7">
        <f t="shared" si="1"/>
        <v>180</v>
      </c>
      <c r="D1101" s="6" t="str">
        <f t="array" ref="D1101">IFERROR(INDEX(user_table!$C$2:$C3686,MATCH(C1101,user_table!$B$2:$B3686,0)),"")
</f>
        <v>Andi Susanto</v>
      </c>
      <c r="E1101" s="6" t="str">
        <f t="array" ref="E1101">IFERROR(INDEX(user_table!$E$2:$E3686,MATCH(C1101,user_table!$B$2:$B3686,0)),"")
</f>
        <v>6, 5</v>
      </c>
      <c r="F1101" s="6" t="str">
        <f t="shared" si="2"/>
        <v>11751180</v>
      </c>
      <c r="G1101" s="16">
        <v>5.0</v>
      </c>
      <c r="H1101" s="17">
        <v>44931.0</v>
      </c>
      <c r="I1101" s="18" t="s">
        <v>1092</v>
      </c>
    </row>
    <row r="1102">
      <c r="A1102" s="5" t="str">
        <f t="array" ref="A1102">INDEX(event_table!$A$2:$A$69, RANDBETWEEN(1, COUNTA(event_table!$A$2:$A$69)))</f>
        <v>1649</v>
      </c>
      <c r="B1102" s="6">
        <f t="array" ref="B1102">IFERROR(INDEX(event_table!$E$1:$E3686,MATCH(A1102,event_table!$A$1:$A3686,0)),"")
</f>
        <v>6</v>
      </c>
      <c r="C1102" s="7">
        <f t="shared" si="1"/>
        <v>57</v>
      </c>
      <c r="D1102" s="6" t="str">
        <f t="array" ref="D1102">IFERROR(INDEX(user_table!$C$2:$C3686,MATCH(C1102,user_table!$B$2:$B3686,0)),"")
</f>
        <v>Hadi Sari</v>
      </c>
      <c r="E1102" s="6" t="str">
        <f t="array" ref="E1102">IFERROR(INDEX(user_table!$E$2:$E3686,MATCH(C1102,user_table!$B$2:$B3686,0)),"")
</f>
        <v>2, 4</v>
      </c>
      <c r="F1102" s="6" t="str">
        <f t="shared" si="2"/>
        <v>16495657</v>
      </c>
      <c r="G1102" s="16">
        <v>5.0</v>
      </c>
      <c r="H1102" s="17">
        <v>44844.0</v>
      </c>
      <c r="I1102" s="18" t="s">
        <v>1093</v>
      </c>
    </row>
    <row r="1103">
      <c r="A1103" s="5" t="str">
        <f t="array" ref="A1103">INDEX(event_table!$A$2:$A$69, RANDBETWEEN(1, COUNTA(event_table!$A$2:$A$69)))</f>
        <v>1531</v>
      </c>
      <c r="B1103" s="6">
        <f t="array" ref="B1103">IFERROR(INDEX(event_table!$E$1:$E3686,MATCH(A1103,event_table!$A$1:$A3686,0)),"")
</f>
        <v>5</v>
      </c>
      <c r="C1103" s="7">
        <f t="shared" si="1"/>
        <v>192</v>
      </c>
      <c r="D1103" s="6" t="str">
        <f t="array" ref="D1103">IFERROR(INDEX(user_table!$C$2:$C3686,MATCH(C1103,user_table!$B$2:$B3686,0)),"")
</f>
        <v>Joko Hadiwijaya</v>
      </c>
      <c r="E1103" s="6" t="str">
        <f t="array" ref="E1103">IFERROR(INDEX(user_table!$E$2:$E3686,MATCH(C1103,user_table!$B$2:$B3686,0)),"")
</f>
        <v>1, 3</v>
      </c>
      <c r="F1103" s="6" t="str">
        <f t="shared" si="2"/>
        <v>153155192</v>
      </c>
      <c r="G1103" s="16">
        <v>5.0</v>
      </c>
      <c r="H1103" s="17">
        <v>44810.0</v>
      </c>
      <c r="I1103" s="18" t="s">
        <v>1094</v>
      </c>
    </row>
    <row r="1104">
      <c r="A1104" s="5" t="str">
        <f t="array" ref="A1104">INDEX(event_table!$A$2:$A$69, RANDBETWEEN(1, COUNTA(event_table!$A$2:$A$69)))</f>
        <v>1637</v>
      </c>
      <c r="B1104" s="6">
        <f t="array" ref="B1104">IFERROR(INDEX(event_table!$E$1:$E3686,MATCH(A1104,event_table!$A$1:$A3686,0)),"")
</f>
        <v>6</v>
      </c>
      <c r="C1104" s="7">
        <f t="shared" si="1"/>
        <v>154</v>
      </c>
      <c r="D1104" s="6" t="str">
        <f t="array" ref="D1104">IFERROR(INDEX(user_table!$C$2:$C3686,MATCH(C1104,user_table!$B$2:$B3686,0)),"")
</f>
        <v>Dian Nurhayati</v>
      </c>
      <c r="E1104" s="6" t="str">
        <f t="array" ref="E1104">IFERROR(INDEX(user_table!$E$2:$E3686,MATCH(C1104,user_table!$B$2:$B3686,0)),"")
</f>
        <v>5, 3</v>
      </c>
      <c r="F1104" s="6" t="str">
        <f t="shared" si="2"/>
        <v>163756154</v>
      </c>
      <c r="G1104" s="16">
        <v>5.0</v>
      </c>
      <c r="H1104" s="17">
        <v>44749.0</v>
      </c>
      <c r="I1104" s="18" t="s">
        <v>1095</v>
      </c>
    </row>
    <row r="1105">
      <c r="A1105" s="5" t="str">
        <f t="array" ref="A1105">INDEX(event_table!$A$2:$A$69, RANDBETWEEN(1, COUNTA(event_table!$A$2:$A$69)))</f>
        <v>1530</v>
      </c>
      <c r="B1105" s="6">
        <f t="array" ref="B1105">IFERROR(INDEX(event_table!$E$1:$E3686,MATCH(A1105,event_table!$A$1:$A3686,0)),"")
</f>
        <v>5</v>
      </c>
      <c r="C1105" s="7">
        <f t="shared" si="1"/>
        <v>176</v>
      </c>
      <c r="D1105" s="6" t="str">
        <f t="array" ref="D1105">IFERROR(INDEX(user_table!$C$2:$C3686,MATCH(C1105,user_table!$B$2:$B3686,0)),"")
</f>
        <v>Ani Hartono</v>
      </c>
      <c r="E1105" s="6" t="str">
        <f t="array" ref="E1105">IFERROR(INDEX(user_table!$E$2:$E3686,MATCH(C1105,user_table!$B$2:$B3686,0)),"")
</f>
        <v>2, 3</v>
      </c>
      <c r="F1105" s="6" t="str">
        <f t="shared" si="2"/>
        <v>153055176</v>
      </c>
      <c r="G1105" s="16">
        <v>5.0</v>
      </c>
      <c r="H1105" s="17">
        <v>44746.0</v>
      </c>
      <c r="I1105" s="18" t="s">
        <v>1096</v>
      </c>
    </row>
    <row r="1106">
      <c r="A1106" s="5" t="str">
        <f t="array" ref="A1106">INDEX(event_table!$A$2:$A$69, RANDBETWEEN(1, COUNTA(event_table!$A$2:$A$69)))</f>
        <v>113</v>
      </c>
      <c r="B1106" s="6">
        <f t="array" ref="B1106">IFERROR(INDEX(event_table!$E$1:$E3686,MATCH(A1106,event_table!$A$1:$A3686,0)),"")
</f>
        <v>1</v>
      </c>
      <c r="C1106" s="7">
        <f t="shared" si="1"/>
        <v>172</v>
      </c>
      <c r="D1106" s="6" t="str">
        <f t="array" ref="D1106">IFERROR(INDEX(user_table!$C$2:$C3686,MATCH(C1106,user_table!$B$2:$B3686,0)),"")
</f>
        <v>Dian Kurniawan</v>
      </c>
      <c r="E1106" s="6" t="str">
        <f t="array" ref="E1106">IFERROR(INDEX(user_table!$E$2:$E3686,MATCH(C1106,user_table!$B$2:$B3686,0)),"")
</f>
        <v>1, 2</v>
      </c>
      <c r="F1106" s="6" t="str">
        <f t="shared" si="2"/>
        <v>11351172</v>
      </c>
      <c r="G1106" s="16">
        <v>5.0</v>
      </c>
      <c r="H1106" s="17">
        <v>44732.0</v>
      </c>
      <c r="I1106" s="18" t="s">
        <v>1097</v>
      </c>
    </row>
    <row r="1107">
      <c r="A1107" s="5" t="str">
        <f t="array" ref="A1107">INDEX(event_table!$A$2:$A$69, RANDBETWEEN(1, COUNTA(event_table!$A$2:$A$69)))</f>
        <v>114</v>
      </c>
      <c r="B1107" s="6">
        <f t="array" ref="B1107">IFERROR(INDEX(event_table!$E$1:$E3686,MATCH(A1107,event_table!$A$1:$A3686,0)),"")
</f>
        <v>1</v>
      </c>
      <c r="C1107" s="7">
        <f t="shared" si="1"/>
        <v>178</v>
      </c>
      <c r="D1107" s="6" t="str">
        <f t="array" ref="D1107">IFERROR(INDEX(user_table!$C$2:$C3686,MATCH(C1107,user_table!$B$2:$B3686,0)),"")
</f>
        <v>Dewi Hidayat</v>
      </c>
      <c r="E1107" s="6" t="str">
        <f t="array" ref="E1107">IFERROR(INDEX(user_table!$E$2:$E3686,MATCH(C1107,user_table!$B$2:$B3686,0)),"")
</f>
        <v>3, 2</v>
      </c>
      <c r="F1107" s="6" t="str">
        <f t="shared" si="2"/>
        <v>11441178</v>
      </c>
      <c r="G1107" s="16">
        <v>4.0</v>
      </c>
      <c r="H1107" s="17">
        <v>45152.0</v>
      </c>
      <c r="I1107" s="18" t="s">
        <v>1098</v>
      </c>
    </row>
    <row r="1108">
      <c r="A1108" s="5" t="str">
        <f t="array" ref="A1108">INDEX(event_table!$A$2:$A$69, RANDBETWEEN(1, COUNTA(event_table!$A$2:$A$69)))</f>
        <v>1644</v>
      </c>
      <c r="B1108" s="6">
        <f t="array" ref="B1108">IFERROR(INDEX(event_table!$E$1:$E3686,MATCH(A1108,event_table!$A$1:$A3686,0)),"")
</f>
        <v>6</v>
      </c>
      <c r="C1108" s="7">
        <f t="shared" si="1"/>
        <v>102</v>
      </c>
      <c r="D1108" s="6" t="str">
        <f t="array" ref="D1108">IFERROR(INDEX(user_table!$C$2:$C3686,MATCH(C1108,user_table!$B$2:$B3686,0)),"")
</f>
        <v>Lina Nurhayati</v>
      </c>
      <c r="E1108" s="6" t="str">
        <f t="array" ref="E1108">IFERROR(INDEX(user_table!$E$2:$E3686,MATCH(C1108,user_table!$B$2:$B3686,0)),"")
</f>
        <v>1, 2</v>
      </c>
      <c r="F1108" s="6" t="str">
        <f t="shared" si="2"/>
        <v>164446102</v>
      </c>
      <c r="G1108" s="16">
        <v>4.0</v>
      </c>
      <c r="H1108" s="17">
        <v>44714.0</v>
      </c>
      <c r="I1108" s="18" t="s">
        <v>1099</v>
      </c>
    </row>
    <row r="1109">
      <c r="A1109" s="5" t="str">
        <f t="array" ref="A1109">INDEX(event_table!$A$2:$A$69, RANDBETWEEN(1, COUNTA(event_table!$A$2:$A$69)))</f>
        <v>1417</v>
      </c>
      <c r="B1109" s="6">
        <f t="array" ref="B1109">IFERROR(INDEX(event_table!$E$1:$E3686,MATCH(A1109,event_table!$A$1:$A3686,0)),"")
</f>
        <v>4</v>
      </c>
      <c r="C1109" s="7">
        <f t="shared" si="1"/>
        <v>72</v>
      </c>
      <c r="D1109" s="6" t="str">
        <f t="array" ref="D1109">IFERROR(INDEX(user_table!$C$2:$C3686,MATCH(C1109,user_table!$B$2:$B3686,0)),"")
</f>
        <v>Wahyu Kurniawan</v>
      </c>
      <c r="E1109" s="6" t="str">
        <f t="array" ref="E1109">IFERROR(INDEX(user_table!$E$2:$E3686,MATCH(C1109,user_table!$B$2:$B3686,0)),"")
</f>
        <v>5, 3</v>
      </c>
      <c r="F1109" s="6" t="str">
        <f t="shared" si="2"/>
        <v>14174472</v>
      </c>
      <c r="G1109" s="16">
        <v>4.0</v>
      </c>
      <c r="H1109" s="17">
        <v>44698.0</v>
      </c>
      <c r="I1109" s="18" t="s">
        <v>1100</v>
      </c>
    </row>
    <row r="1110">
      <c r="A1110" s="5" t="str">
        <f t="array" ref="A1110">INDEX(event_table!$A$2:$A$69, RANDBETWEEN(1, COUNTA(event_table!$A$2:$A$69)))</f>
        <v>1424</v>
      </c>
      <c r="B1110" s="6">
        <f t="array" ref="B1110">IFERROR(INDEX(event_table!$E$1:$E3686,MATCH(A1110,event_table!$A$1:$A3686,0)),"")
</f>
        <v>4</v>
      </c>
      <c r="C1110" s="7">
        <f t="shared" si="1"/>
        <v>131</v>
      </c>
      <c r="D1110" s="6" t="str">
        <f t="array" ref="D1110">IFERROR(INDEX(user_table!$C$2:$C3686,MATCH(C1110,user_table!$B$2:$B3686,0)),"")
</f>
        <v>Dian Purnama</v>
      </c>
      <c r="E1110" s="6" t="str">
        <f t="array" ref="E1110">IFERROR(INDEX(user_table!$E$2:$E3686,MATCH(C1110,user_table!$B$2:$B3686,0)),"")
</f>
        <v>3, 5</v>
      </c>
      <c r="F1110" s="6" t="str">
        <f t="shared" si="2"/>
        <v>142444131</v>
      </c>
      <c r="G1110" s="16">
        <v>4.0</v>
      </c>
      <c r="H1110" s="17">
        <v>44687.0</v>
      </c>
      <c r="I1110" s="18" t="s">
        <v>1101</v>
      </c>
    </row>
    <row r="1111">
      <c r="A1111" s="5" t="str">
        <f t="array" ref="A1111">INDEX(event_table!$A$2:$A$69, RANDBETWEEN(1, COUNTA(event_table!$A$2:$A$69)))</f>
        <v>1215</v>
      </c>
      <c r="B1111" s="6">
        <f t="array" ref="B1111">IFERROR(INDEX(event_table!$E$1:$E3686,MATCH(A1111,event_table!$A$1:$A3686,0)),"")
</f>
        <v>2</v>
      </c>
      <c r="C1111" s="7">
        <f t="shared" si="1"/>
        <v>194</v>
      </c>
      <c r="D1111" s="6" t="str">
        <f t="array" ref="D1111">IFERROR(INDEX(user_table!$C$2:$C3686,MATCH(C1111,user_table!$B$2:$B3686,0)),"")
</f>
        <v>Andi Putri</v>
      </c>
      <c r="E1111" s="6" t="str">
        <f t="array" ref="E1111">IFERROR(INDEX(user_table!$E$2:$E3686,MATCH(C1111,user_table!$B$2:$B3686,0)),"")
</f>
        <v>4, 4</v>
      </c>
      <c r="F1111" s="6" t="str">
        <f t="shared" si="2"/>
        <v>121542194</v>
      </c>
      <c r="G1111" s="16">
        <v>4.0</v>
      </c>
      <c r="H1111" s="17">
        <v>44954.0</v>
      </c>
      <c r="I1111" s="18" t="s">
        <v>1102</v>
      </c>
    </row>
    <row r="1112">
      <c r="A1112" s="5" t="str">
        <f t="array" ref="A1112">INDEX(event_table!$A$2:$A$69, RANDBETWEEN(1, COUNTA(event_table!$A$2:$A$69)))</f>
        <v>3163</v>
      </c>
      <c r="B1112" s="6">
        <f t="array" ref="B1112">IFERROR(INDEX(event_table!$E$1:$E3686,MATCH(A1112,event_table!$A$1:$A3686,0)),"")
</f>
        <v>1</v>
      </c>
      <c r="C1112" s="7">
        <f t="shared" si="1"/>
        <v>79</v>
      </c>
      <c r="D1112" s="6" t="str">
        <f t="array" ref="D1112">IFERROR(INDEX(user_table!$C$2:$C3686,MATCH(C1112,user_table!$B$2:$B3686,0)),"")
</f>
        <v>Arif Nugroho</v>
      </c>
      <c r="E1112" s="6" t="str">
        <f t="array" ref="E1112">IFERROR(INDEX(user_table!$E$2:$E3686,MATCH(C1112,user_table!$B$2:$B3686,0)),"")
</f>
        <v>2, 3</v>
      </c>
      <c r="F1112" s="6" t="str">
        <f t="shared" si="2"/>
        <v>31634179</v>
      </c>
      <c r="G1112" s="16">
        <v>4.0</v>
      </c>
      <c r="H1112" s="17">
        <v>44724.0</v>
      </c>
      <c r="I1112" s="18" t="s">
        <v>1103</v>
      </c>
    </row>
    <row r="1113">
      <c r="A1113" s="5" t="str">
        <f t="array" ref="A1113">INDEX(event_table!$A$2:$A$69, RANDBETWEEN(1, COUNTA(event_table!$A$2:$A$69)))</f>
        <v>3454</v>
      </c>
      <c r="B1113" s="6">
        <f t="array" ref="B1113">IFERROR(INDEX(event_table!$E$1:$E3686,MATCH(A1113,event_table!$A$1:$A3686,0)),"")
</f>
        <v>4</v>
      </c>
      <c r="C1113" s="7">
        <f t="shared" si="1"/>
        <v>140</v>
      </c>
      <c r="D1113" s="6" t="str">
        <f t="array" ref="D1113">IFERROR(INDEX(user_table!$C$2:$C3686,MATCH(C1113,user_table!$B$2:$B3686,0)),"")
</f>
        <v>Maya Wijaya</v>
      </c>
      <c r="E1113" s="6" t="str">
        <f t="array" ref="E1113">IFERROR(INDEX(user_table!$E$2:$E3686,MATCH(C1113,user_table!$B$2:$B3686,0)),"")
</f>
        <v>3, 2</v>
      </c>
      <c r="F1113" s="6" t="str">
        <f t="shared" si="2"/>
        <v>345434140</v>
      </c>
      <c r="G1113" s="16">
        <v>3.0</v>
      </c>
      <c r="H1113" s="17">
        <v>44697.0</v>
      </c>
      <c r="I1113" s="18" t="s">
        <v>1104</v>
      </c>
    </row>
    <row r="1114">
      <c r="A1114" s="5" t="str">
        <f t="array" ref="A1114">INDEX(event_table!$A$2:$A$69, RANDBETWEEN(1, COUNTA(event_table!$A$2:$A$69)))</f>
        <v>119</v>
      </c>
      <c r="B1114" s="6">
        <f t="array" ref="B1114">IFERROR(INDEX(event_table!$E$1:$E3686,MATCH(A1114,event_table!$A$1:$A3686,0)),"")
</f>
        <v>1</v>
      </c>
      <c r="C1114" s="7">
        <f t="shared" si="1"/>
        <v>140</v>
      </c>
      <c r="D1114" s="6" t="str">
        <f t="array" ref="D1114">IFERROR(INDEX(user_table!$C$2:$C3686,MATCH(C1114,user_table!$B$2:$B3686,0)),"")
</f>
        <v>Maya Wijaya</v>
      </c>
      <c r="E1114" s="6" t="str">
        <f t="array" ref="E1114">IFERROR(INDEX(user_table!$E$2:$E3686,MATCH(C1114,user_table!$B$2:$B3686,0)),"")
</f>
        <v>3, 2</v>
      </c>
      <c r="F1114" s="6" t="str">
        <f t="shared" si="2"/>
        <v>11931140</v>
      </c>
      <c r="G1114" s="16">
        <v>3.0</v>
      </c>
      <c r="H1114" s="17">
        <v>45260.0</v>
      </c>
      <c r="I1114" s="18" t="s">
        <v>1105</v>
      </c>
    </row>
    <row r="1115">
      <c r="A1115" s="5" t="str">
        <f t="array" ref="A1115">INDEX(event_table!$A$2:$A$69, RANDBETWEEN(1, COUNTA(event_table!$A$2:$A$69)))</f>
        <v>1425</v>
      </c>
      <c r="B1115" s="6">
        <f t="array" ref="B1115">IFERROR(INDEX(event_table!$E$1:$E3686,MATCH(A1115,event_table!$A$1:$A3686,0)),"")
</f>
        <v>4</v>
      </c>
      <c r="C1115" s="7">
        <f t="shared" si="1"/>
        <v>44</v>
      </c>
      <c r="D1115" s="6" t="str">
        <f t="array" ref="D1115">IFERROR(INDEX(user_table!$C$2:$C3686,MATCH(C1115,user_table!$B$2:$B3686,0)),"")
</f>
        <v>Arif Sari</v>
      </c>
      <c r="E1115" s="6" t="str">
        <f t="array" ref="E1115">IFERROR(INDEX(user_table!$E$2:$E3686,MATCH(C1115,user_table!$B$2:$B3686,0)),"")
</f>
        <v>2, 4</v>
      </c>
      <c r="F1115" s="6" t="str">
        <f t="shared" si="2"/>
        <v>14253444</v>
      </c>
      <c r="G1115" s="16">
        <v>3.0</v>
      </c>
      <c r="H1115" s="17">
        <v>45151.0</v>
      </c>
      <c r="I1115" s="18" t="s">
        <v>1106</v>
      </c>
    </row>
    <row r="1116">
      <c r="A1116" s="5" t="str">
        <f t="array" ref="A1116">INDEX(event_table!$A$2:$A$69, RANDBETWEEN(1, COUNTA(event_table!$A$2:$A$69)))</f>
        <v>1111</v>
      </c>
      <c r="B1116" s="6">
        <f t="array" ref="B1116">IFERROR(INDEX(event_table!$E$1:$E3686,MATCH(A1116,event_table!$A$1:$A3686,0)),"")
</f>
        <v>1</v>
      </c>
      <c r="C1116" s="7">
        <f t="shared" si="1"/>
        <v>132</v>
      </c>
      <c r="D1116" s="6" t="str">
        <f t="array" ref="D1116">IFERROR(INDEX(user_table!$C$2:$C3686,MATCH(C1116,user_table!$B$2:$B3686,0)),"")
</f>
        <v>Joko Hartono</v>
      </c>
      <c r="E1116" s="6" t="str">
        <f t="array" ref="E1116">IFERROR(INDEX(user_table!$E$2:$E3686,MATCH(C1116,user_table!$B$2:$B3686,0)),"")
</f>
        <v>1, 3</v>
      </c>
      <c r="F1116" s="6" t="str">
        <f t="shared" si="2"/>
        <v>111121132</v>
      </c>
      <c r="G1116" s="16">
        <v>2.0</v>
      </c>
      <c r="H1116" s="17">
        <v>44692.0</v>
      </c>
      <c r="I1116" s="18" t="s">
        <v>1107</v>
      </c>
    </row>
    <row r="1117">
      <c r="A1117" s="5" t="str">
        <f t="array" ref="A1117">INDEX(event_table!$A$2:$A$69, RANDBETWEEN(1, COUNTA(event_table!$A$2:$A$69)))</f>
        <v>1335</v>
      </c>
      <c r="B1117" s="6">
        <f t="array" ref="B1117">IFERROR(INDEX(event_table!$E$1:$E3686,MATCH(A1117,event_table!$A$1:$A3686,0)),"")
</f>
        <v>3</v>
      </c>
      <c r="C1117" s="7">
        <f t="shared" si="1"/>
        <v>72</v>
      </c>
      <c r="D1117" s="6" t="str">
        <f t="array" ref="D1117">IFERROR(INDEX(user_table!$C$2:$C3686,MATCH(C1117,user_table!$B$2:$B3686,0)),"")
</f>
        <v>Wahyu Kurniawan</v>
      </c>
      <c r="E1117" s="6" t="str">
        <f t="array" ref="E1117">IFERROR(INDEX(user_table!$E$2:$E3686,MATCH(C1117,user_table!$B$2:$B3686,0)),"")
</f>
        <v>5, 3</v>
      </c>
      <c r="F1117" s="6" t="str">
        <f t="shared" si="2"/>
        <v>13352372</v>
      </c>
      <c r="G1117" s="16">
        <v>2.0</v>
      </c>
      <c r="H1117" s="17">
        <v>45222.0</v>
      </c>
      <c r="I1117" s="18" t="s">
        <v>1108</v>
      </c>
    </row>
    <row r="1118">
      <c r="A1118" s="5" t="str">
        <f t="array" ref="A1118">INDEX(event_table!$A$2:$A$69, RANDBETWEEN(1, COUNTA(event_table!$A$2:$A$69)))</f>
        <v>1417</v>
      </c>
      <c r="B1118" s="6">
        <f t="array" ref="B1118">IFERROR(INDEX(event_table!$E$1:$E3686,MATCH(A1118,event_table!$A$1:$A3686,0)),"")
</f>
        <v>4</v>
      </c>
      <c r="C1118" s="7">
        <f t="shared" si="1"/>
        <v>119</v>
      </c>
      <c r="D1118" s="6" t="str">
        <f t="array" ref="D1118">IFERROR(INDEX(user_table!$C$2:$C3686,MATCH(C1118,user_table!$B$2:$B3686,0)),"")
</f>
        <v>Budi Rahayu</v>
      </c>
      <c r="E1118" s="6" t="str">
        <f t="array" ref="E1118">IFERROR(INDEX(user_table!$E$2:$E3686,MATCH(C1118,user_table!$B$2:$B3686,0)),"")
</f>
        <v>1, 2</v>
      </c>
      <c r="F1118" s="6" t="str">
        <f t="shared" si="2"/>
        <v>141724119</v>
      </c>
      <c r="G1118" s="16">
        <v>2.0</v>
      </c>
      <c r="H1118" s="17">
        <v>45170.0</v>
      </c>
      <c r="I1118" s="18" t="s">
        <v>1109</v>
      </c>
    </row>
    <row r="1119">
      <c r="A1119" s="5" t="str">
        <f t="array" ref="A1119">INDEX(event_table!$A$2:$A$69, RANDBETWEEN(1, COUNTA(event_table!$A$2:$A$69)))</f>
        <v>1529</v>
      </c>
      <c r="B1119" s="6">
        <f t="array" ref="B1119">IFERROR(INDEX(event_table!$E$1:$E3686,MATCH(A1119,event_table!$A$1:$A3686,0)),"")
</f>
        <v>5</v>
      </c>
      <c r="C1119" s="7">
        <f t="shared" si="1"/>
        <v>192</v>
      </c>
      <c r="D1119" s="6" t="str">
        <f t="array" ref="D1119">IFERROR(INDEX(user_table!$C$2:$C3686,MATCH(C1119,user_table!$B$2:$B3686,0)),"")
</f>
        <v>Joko Hadiwijaya</v>
      </c>
      <c r="E1119" s="6" t="str">
        <f t="array" ref="E1119">IFERROR(INDEX(user_table!$E$2:$E3686,MATCH(C1119,user_table!$B$2:$B3686,0)),"")
</f>
        <v>1, 3</v>
      </c>
      <c r="F1119" s="6" t="str">
        <f t="shared" si="2"/>
        <v>152925192</v>
      </c>
      <c r="G1119" s="16">
        <v>2.0</v>
      </c>
      <c r="H1119" s="17">
        <v>44343.0</v>
      </c>
      <c r="I1119" s="18" t="s">
        <v>1110</v>
      </c>
    </row>
    <row r="1120">
      <c r="A1120" s="5" t="str">
        <f t="array" ref="A1120">INDEX(event_table!$A$2:$A$69, RANDBETWEEN(1, COUNTA(event_table!$A$2:$A$69)))</f>
        <v>1110</v>
      </c>
      <c r="B1120" s="6">
        <f t="array" ref="B1120">IFERROR(INDEX(event_table!$E$1:$E3686,MATCH(A1120,event_table!$A$1:$A3686,0)),"")
</f>
        <v>1</v>
      </c>
      <c r="C1120" s="7">
        <f t="shared" si="1"/>
        <v>68</v>
      </c>
      <c r="D1120" s="6" t="str">
        <f t="array" ref="D1120">IFERROR(INDEX(user_table!$C$2:$C3686,MATCH(C1120,user_table!$B$2:$B3686,0)),"")
</f>
        <v>Wahyu Wijaya</v>
      </c>
      <c r="E1120" s="6" t="str">
        <f t="array" ref="E1120">IFERROR(INDEX(user_table!$E$2:$E3686,MATCH(C1120,user_table!$B$2:$B3686,0)),"")
</f>
        <v>4, 6</v>
      </c>
      <c r="F1120" s="6" t="str">
        <f t="shared" si="2"/>
        <v>11102168</v>
      </c>
      <c r="G1120" s="16">
        <v>2.0</v>
      </c>
      <c r="H1120" s="17">
        <v>45257.0</v>
      </c>
      <c r="I1120" s="18" t="s">
        <v>1111</v>
      </c>
    </row>
    <row r="1121">
      <c r="A1121" s="5" t="str">
        <f t="array" ref="A1121">INDEX(event_table!$A$2:$A$69, RANDBETWEEN(1, COUNTA(event_table!$A$2:$A$69)))</f>
        <v>3455</v>
      </c>
      <c r="B1121" s="6">
        <f t="array" ref="B1121">IFERROR(INDEX(event_table!$E$1:$E3686,MATCH(A1121,event_table!$A$1:$A3686,0)),"")
</f>
        <v>4</v>
      </c>
      <c r="C1121" s="7">
        <f t="shared" si="1"/>
        <v>9</v>
      </c>
      <c r="D1121" s="6" t="str">
        <f t="array" ref="D1121">IFERROR(INDEX(user_table!$C$2:$C3686,MATCH(C1121,user_table!$B$2:$B3686,0)),"")
</f>
        <v>Dina Pratama</v>
      </c>
      <c r="E1121" s="6" t="str">
        <f t="array" ref="E1121">IFERROR(INDEX(user_table!$E$2:$E3686,MATCH(C1121,user_table!$B$2:$B3686,0)),"")
</f>
        <v>2, 3</v>
      </c>
      <c r="F1121" s="6" t="str">
        <f t="shared" si="2"/>
        <v>3455249</v>
      </c>
      <c r="G1121" s="16">
        <v>2.0</v>
      </c>
      <c r="H1121" s="17">
        <v>45247.0</v>
      </c>
      <c r="I1121" s="18" t="s">
        <v>1112</v>
      </c>
    </row>
    <row r="1122">
      <c r="A1122" s="5" t="str">
        <f t="array" ref="A1122">INDEX(event_table!$A$2:$A$69, RANDBETWEEN(1, COUNTA(event_table!$A$2:$A$69)))</f>
        <v>119</v>
      </c>
      <c r="B1122" s="6">
        <f t="array" ref="B1122">IFERROR(INDEX(event_table!$E$1:$E3686,MATCH(A1122,event_table!$A$1:$A3686,0)),"")
</f>
        <v>1</v>
      </c>
      <c r="C1122" s="7">
        <f t="shared" si="1"/>
        <v>23</v>
      </c>
      <c r="D1122" s="6" t="str">
        <f t="array" ref="D1122">IFERROR(INDEX(user_table!$C$2:$C3686,MATCH(C1122,user_table!$B$2:$B3686,0)),"")
</f>
        <v>Fajar Kusuma</v>
      </c>
      <c r="E1122" s="6" t="str">
        <f t="array" ref="E1122">IFERROR(INDEX(user_table!$E$2:$E3686,MATCH(C1122,user_table!$B$2:$B3686,0)),"")
</f>
        <v>4, 1</v>
      </c>
      <c r="F1122" s="6" t="str">
        <f t="shared" si="2"/>
        <v>1192123</v>
      </c>
      <c r="G1122" s="16">
        <v>2.0</v>
      </c>
      <c r="H1122" s="17">
        <v>45150.0</v>
      </c>
      <c r="I1122" s="18" t="s">
        <v>1113</v>
      </c>
    </row>
    <row r="1123">
      <c r="A1123" s="5" t="str">
        <f t="array" ref="A1123">INDEX(event_table!$A$2:$A$69, RANDBETWEEN(1, COUNTA(event_table!$A$2:$A$69)))</f>
        <v>1652</v>
      </c>
      <c r="B1123" s="6">
        <f t="array" ref="B1123">IFERROR(INDEX(event_table!$E$1:$E3686,MATCH(A1123,event_table!$A$1:$A3686,0)),"")
</f>
        <v>6</v>
      </c>
      <c r="C1123" s="7">
        <f t="shared" si="1"/>
        <v>188</v>
      </c>
      <c r="D1123" s="6" t="str">
        <f t="array" ref="D1123">IFERROR(INDEX(user_table!$C$2:$C3686,MATCH(C1123,user_table!$B$2:$B3686,0)),"")
</f>
        <v>Siti Setiawan</v>
      </c>
      <c r="E1123" s="6" t="str">
        <f t="array" ref="E1123">IFERROR(INDEX(user_table!$E$2:$E3686,MATCH(C1123,user_table!$B$2:$B3686,0)),"")
</f>
        <v>6, 6</v>
      </c>
      <c r="F1123" s="6" t="str">
        <f t="shared" si="2"/>
        <v>165226188</v>
      </c>
      <c r="G1123" s="16">
        <v>2.0</v>
      </c>
      <c r="H1123" s="17">
        <v>45099.0</v>
      </c>
      <c r="I1123" s="18" t="s">
        <v>1114</v>
      </c>
    </row>
    <row r="1124">
      <c r="A1124" s="5" t="str">
        <f t="array" ref="A1124">INDEX(event_table!$A$2:$A$69, RANDBETWEEN(1, COUNTA(event_table!$A$2:$A$69)))</f>
        <v>3657</v>
      </c>
      <c r="B1124" s="6">
        <f t="array" ref="B1124">IFERROR(INDEX(event_table!$E$1:$E3686,MATCH(A1124,event_table!$A$1:$A3686,0)),"")
</f>
        <v>6</v>
      </c>
      <c r="C1124" s="7">
        <f t="shared" si="1"/>
        <v>67</v>
      </c>
      <c r="D1124" s="6" t="str">
        <f t="array" ref="D1124">IFERROR(INDEX(user_table!$C$2:$C3686,MATCH(C1124,user_table!$B$2:$B3686,0)),"")
</f>
        <v>Joko Pratama</v>
      </c>
      <c r="E1124" s="6" t="str">
        <f t="array" ref="E1124">IFERROR(INDEX(user_table!$E$2:$E3686,MATCH(C1124,user_table!$B$2:$B3686,0)),"")
</f>
        <v>1, 3</v>
      </c>
      <c r="F1124" s="6" t="str">
        <f t="shared" si="2"/>
        <v>36572667</v>
      </c>
      <c r="G1124" s="16">
        <v>2.0</v>
      </c>
      <c r="H1124" s="17">
        <v>45065.0</v>
      </c>
      <c r="I1124" s="18" t="s">
        <v>1115</v>
      </c>
    </row>
    <row r="1125">
      <c r="A1125" s="5" t="str">
        <f t="array" ref="A1125">INDEX(event_table!$A$2:$A$69, RANDBETWEEN(1, COUNTA(event_table!$A$2:$A$69)))</f>
        <v>1334</v>
      </c>
      <c r="B1125" s="6">
        <f t="array" ref="B1125">IFERROR(INDEX(event_table!$E$1:$E3686,MATCH(A1125,event_table!$A$1:$A3686,0)),"")
</f>
        <v>3</v>
      </c>
      <c r="C1125" s="7">
        <f t="shared" si="1"/>
        <v>110</v>
      </c>
      <c r="D1125" s="6" t="str">
        <f t="array" ref="D1125">IFERROR(INDEX(user_table!$C$2:$C3686,MATCH(C1125,user_table!$B$2:$B3686,0)),"")
</f>
        <v>Fajar Wijaya</v>
      </c>
      <c r="E1125" s="6" t="str">
        <f t="array" ref="E1125">IFERROR(INDEX(user_table!$E$2:$E3686,MATCH(C1125,user_table!$B$2:$B3686,0)),"")
</f>
        <v>3, 6</v>
      </c>
      <c r="F1125" s="6" t="str">
        <f t="shared" si="2"/>
        <v>133423110</v>
      </c>
      <c r="G1125" s="16">
        <v>2.0</v>
      </c>
      <c r="H1125" s="17">
        <v>45051.0</v>
      </c>
      <c r="I1125" s="18" t="s">
        <v>1116</v>
      </c>
    </row>
    <row r="1126">
      <c r="A1126" s="5" t="str">
        <f t="array" ref="A1126">INDEX(event_table!$A$2:$A$69, RANDBETWEEN(1, COUNTA(event_table!$A$2:$A$69)))</f>
        <v>1417</v>
      </c>
      <c r="B1126" s="6">
        <f t="array" ref="B1126">IFERROR(INDEX(event_table!$E$1:$E3686,MATCH(A1126,event_table!$A$1:$A3686,0)),"")
</f>
        <v>4</v>
      </c>
      <c r="C1126" s="7">
        <f t="shared" si="1"/>
        <v>112</v>
      </c>
      <c r="D1126" s="6" t="str">
        <f t="array" ref="D1126">IFERROR(INDEX(user_table!$C$2:$C3686,MATCH(C1126,user_table!$B$2:$B3686,0)),"")
</f>
        <v>Ani Hadiwijaya</v>
      </c>
      <c r="E1126" s="6" t="str">
        <f t="array" ref="E1126">IFERROR(INDEX(user_table!$E$2:$E3686,MATCH(C1126,user_table!$B$2:$B3686,0)),"")
</f>
        <v>3, 5</v>
      </c>
      <c r="F1126" s="6" t="str">
        <f t="shared" si="2"/>
        <v>141724112</v>
      </c>
      <c r="G1126" s="16">
        <v>2.0</v>
      </c>
      <c r="H1126" s="17">
        <v>45048.0</v>
      </c>
      <c r="I1126" s="18" t="s">
        <v>1117</v>
      </c>
    </row>
    <row r="1127">
      <c r="A1127" s="5" t="str">
        <f t="array" ref="A1127">INDEX(event_table!$A$2:$A$69, RANDBETWEEN(1, COUNTA(event_table!$A$2:$A$69)))</f>
        <v>3454</v>
      </c>
      <c r="B1127" s="6">
        <f t="array" ref="B1127">IFERROR(INDEX(event_table!$E$1:$E3686,MATCH(A1127,event_table!$A$1:$A3686,0)),"")
</f>
        <v>4</v>
      </c>
      <c r="C1127" s="7">
        <f t="shared" si="1"/>
        <v>197</v>
      </c>
      <c r="D1127" s="6" t="str">
        <f t="array" ref="D1127">IFERROR(INDEX(user_table!$C$2:$C3686,MATCH(C1127,user_table!$B$2:$B3686,0)),"")
</f>
        <v>Dian Sari</v>
      </c>
      <c r="E1127" s="6" t="str">
        <f t="array" ref="E1127">IFERROR(INDEX(user_table!$E$2:$E3686,MATCH(C1127,user_table!$B$2:$B3686,0)),"")
</f>
        <v>6, 3</v>
      </c>
      <c r="F1127" s="6" t="str">
        <f t="shared" si="2"/>
        <v>345414197</v>
      </c>
      <c r="G1127" s="16">
        <v>1.0</v>
      </c>
      <c r="H1127" s="17">
        <v>45224.0</v>
      </c>
      <c r="I1127" s="18" t="s">
        <v>1118</v>
      </c>
    </row>
    <row r="1128">
      <c r="A1128" s="5" t="str">
        <f t="array" ref="A1128">INDEX(event_table!$A$2:$A$69, RANDBETWEEN(1, COUNTA(event_table!$A$2:$A$69)))</f>
        <v>1313</v>
      </c>
      <c r="B1128" s="6">
        <f t="array" ref="B1128">IFERROR(INDEX(event_table!$E$1:$E3686,MATCH(A1128,event_table!$A$1:$A3686,0)),"")
</f>
        <v>3</v>
      </c>
      <c r="C1128" s="7">
        <f t="shared" si="1"/>
        <v>139</v>
      </c>
      <c r="D1128" s="6" t="str">
        <f t="array" ref="D1128">IFERROR(INDEX(user_table!$C$2:$C3686,MATCH(C1128,user_table!$B$2:$B3686,0)),"")
</f>
        <v>Sinta Kurniawan</v>
      </c>
      <c r="E1128" s="6" t="str">
        <f t="array" ref="E1128">IFERROR(INDEX(user_table!$E$2:$E3686,MATCH(C1128,user_table!$B$2:$B3686,0)),"")
</f>
        <v>4, 6</v>
      </c>
      <c r="F1128" s="6" t="str">
        <f t="shared" si="2"/>
        <v>131313139</v>
      </c>
      <c r="G1128" s="16">
        <v>1.0</v>
      </c>
      <c r="H1128" s="17">
        <v>45238.0</v>
      </c>
      <c r="I1128" s="18" t="s">
        <v>1119</v>
      </c>
    </row>
    <row r="1129">
      <c r="A1129" s="5" t="str">
        <f t="array" ref="A1129">INDEX(event_table!$A$2:$A$69, RANDBETWEEN(1, COUNTA(event_table!$A$2:$A$69)))</f>
        <v>3162</v>
      </c>
      <c r="B1129" s="6">
        <f t="array" ref="B1129">IFERROR(INDEX(event_table!$E$1:$E3686,MATCH(A1129,event_table!$A$1:$A3686,0)),"")
</f>
        <v>1</v>
      </c>
      <c r="C1129" s="7">
        <f t="shared" si="1"/>
        <v>151</v>
      </c>
      <c r="D1129" s="6" t="str">
        <f t="array" ref="D1129">IFERROR(INDEX(user_table!$C$2:$C3686,MATCH(C1129,user_table!$B$2:$B3686,0)),"")
</f>
        <v>Maya Hidayat</v>
      </c>
      <c r="E1129" s="6" t="str">
        <f t="array" ref="E1129">IFERROR(INDEX(user_table!$E$2:$E3686,MATCH(C1129,user_table!$B$2:$B3686,0)),"")
</f>
        <v>2, 3</v>
      </c>
      <c r="F1129" s="6" t="str">
        <f t="shared" si="2"/>
        <v>316211151</v>
      </c>
      <c r="G1129" s="16">
        <v>1.0</v>
      </c>
      <c r="H1129" s="17">
        <v>45115.0</v>
      </c>
      <c r="I1129" s="18" t="s">
        <v>1120</v>
      </c>
    </row>
    <row r="1130">
      <c r="A1130" s="5" t="str">
        <f t="array" ref="A1130">INDEX(event_table!$A$2:$A$69, RANDBETWEEN(1, COUNTA(event_table!$A$2:$A$69)))</f>
        <v>1641</v>
      </c>
      <c r="B1130" s="6">
        <f t="array" ref="B1130">IFERROR(INDEX(event_table!$E$1:$E3686,MATCH(A1130,event_table!$A$1:$A3686,0)),"")
</f>
        <v>6</v>
      </c>
      <c r="C1130" s="7">
        <f t="shared" si="1"/>
        <v>190</v>
      </c>
      <c r="D1130" s="6" t="str">
        <f t="array" ref="D1130">IFERROR(INDEX(user_table!$C$2:$C3686,MATCH(C1130,user_table!$B$2:$B3686,0)),"")
</f>
        <v>Fajar Santoso</v>
      </c>
      <c r="E1130" s="6" t="str">
        <f t="array" ref="E1130">IFERROR(INDEX(user_table!$E$2:$E3686,MATCH(C1130,user_table!$B$2:$B3686,0)),"")
</f>
        <v>1, 3</v>
      </c>
      <c r="F1130" s="6" t="str">
        <f t="shared" si="2"/>
        <v>164116190</v>
      </c>
      <c r="G1130" s="16">
        <v>1.0</v>
      </c>
      <c r="H1130" s="17">
        <v>45270.0</v>
      </c>
      <c r="I1130" s="18" t="s">
        <v>1121</v>
      </c>
    </row>
    <row r="1131">
      <c r="A1131" s="5" t="str">
        <f t="array" ref="A1131">INDEX(event_table!$A$2:$A$69, RANDBETWEEN(1, COUNTA(event_table!$A$2:$A$69)))</f>
        <v>1110</v>
      </c>
      <c r="B1131" s="6">
        <f t="array" ref="B1131">IFERROR(INDEX(event_table!$E$1:$E3686,MATCH(A1131,event_table!$A$1:$A3686,0)),"")
</f>
        <v>1</v>
      </c>
      <c r="C1131" s="7">
        <f t="shared" si="1"/>
        <v>70</v>
      </c>
      <c r="D1131" s="6" t="str">
        <f t="array" ref="D1131">IFERROR(INDEX(user_table!$C$2:$C3686,MATCH(C1131,user_table!$B$2:$B3686,0)),"")
</f>
        <v>Fandi Hadiwijaya</v>
      </c>
      <c r="E1131" s="6" t="str">
        <f t="array" ref="E1131">IFERROR(INDEX(user_table!$E$2:$E3686,MATCH(C1131,user_table!$B$2:$B3686,0)),"")
</f>
        <v>1, 4</v>
      </c>
      <c r="F1131" s="6" t="str">
        <f t="shared" si="2"/>
        <v>11101170</v>
      </c>
      <c r="G1131" s="16">
        <v>1.0</v>
      </c>
      <c r="H1131" s="17">
        <v>45151.0</v>
      </c>
      <c r="I1131" s="18" t="s">
        <v>1122</v>
      </c>
    </row>
    <row r="1132">
      <c r="A1132" s="5" t="str">
        <f t="array" ref="A1132">INDEX(event_table!$A$2:$A$69, RANDBETWEEN(1, COUNTA(event_table!$A$2:$A$69)))</f>
        <v>3169</v>
      </c>
      <c r="B1132" s="6">
        <f t="array" ref="B1132">IFERROR(INDEX(event_table!$E$1:$E3686,MATCH(A1132,event_table!$A$1:$A3686,0)),"")
</f>
        <v>1</v>
      </c>
      <c r="C1132" s="7">
        <f t="shared" si="1"/>
        <v>78</v>
      </c>
      <c r="D1132" s="6" t="str">
        <f t="array" ref="D1132">IFERROR(INDEX(user_table!$C$2:$C3686,MATCH(C1132,user_table!$B$2:$B3686,0)),"")
</f>
        <v>Fandi Putri</v>
      </c>
      <c r="E1132" s="6" t="str">
        <f t="array" ref="E1132">IFERROR(INDEX(user_table!$E$2:$E3686,MATCH(C1132,user_table!$B$2:$B3686,0)),"")
</f>
        <v>3, 3</v>
      </c>
      <c r="F1132" s="6" t="str">
        <f t="shared" si="2"/>
        <v>31691178</v>
      </c>
      <c r="G1132" s="16">
        <v>1.0</v>
      </c>
      <c r="H1132" s="17">
        <v>45143.0</v>
      </c>
      <c r="I1132" s="18" t="s">
        <v>1123</v>
      </c>
    </row>
    <row r="1133">
      <c r="A1133" s="5" t="str">
        <f t="array" ref="A1133">INDEX(event_table!$A$2:$A$69, RANDBETWEEN(1, COUNTA(event_table!$A$2:$A$69)))</f>
        <v>1423</v>
      </c>
      <c r="B1133" s="6">
        <f t="array" ref="B1133">IFERROR(INDEX(event_table!$E$1:$E3686,MATCH(A1133,event_table!$A$1:$A3686,0)),"")
</f>
        <v>4</v>
      </c>
      <c r="C1133" s="7">
        <f t="shared" si="1"/>
        <v>183</v>
      </c>
      <c r="D1133" s="6" t="str">
        <f t="array" ref="D1133">IFERROR(INDEX(user_table!$C$2:$C3686,MATCH(C1133,user_table!$B$2:$B3686,0)),"")
</f>
        <v>Siti Nugroho</v>
      </c>
      <c r="E1133" s="6" t="str">
        <f t="array" ref="E1133">IFERROR(INDEX(user_table!$E$2:$E3686,MATCH(C1133,user_table!$B$2:$B3686,0)),"")
</f>
        <v>4, 6</v>
      </c>
      <c r="F1133" s="6" t="str">
        <f t="shared" si="2"/>
        <v>142314183</v>
      </c>
      <c r="G1133" s="16">
        <v>1.0</v>
      </c>
      <c r="H1133" s="17">
        <v>45041.0</v>
      </c>
      <c r="I1133" s="18" t="s">
        <v>1124</v>
      </c>
    </row>
    <row r="1134">
      <c r="A1134" s="5" t="str">
        <f t="array" ref="A1134">INDEX(event_table!$A$2:$A$69, RANDBETWEEN(1, COUNTA(event_table!$A$2:$A$69)))</f>
        <v>3658</v>
      </c>
      <c r="B1134" s="6">
        <f t="array" ref="B1134">IFERROR(INDEX(event_table!$E$1:$E3686,MATCH(A1134,event_table!$A$1:$A3686,0)),"")
</f>
        <v>6</v>
      </c>
      <c r="C1134" s="7">
        <f t="shared" si="1"/>
        <v>127</v>
      </c>
      <c r="D1134" s="6" t="str">
        <f t="array" ref="D1134">IFERROR(INDEX(user_table!$C$2:$C3686,MATCH(C1134,user_table!$B$2:$B3686,0)),"")
</f>
        <v>Sinta Wijaya</v>
      </c>
      <c r="E1134" s="6" t="str">
        <f t="array" ref="E1134">IFERROR(INDEX(user_table!$E$2:$E3686,MATCH(C1134,user_table!$B$2:$B3686,0)),"")
</f>
        <v>6, 4</v>
      </c>
      <c r="F1134" s="6" t="str">
        <f t="shared" si="2"/>
        <v>365816127</v>
      </c>
      <c r="G1134" s="16">
        <v>1.0</v>
      </c>
      <c r="H1134" s="17">
        <v>45032.0</v>
      </c>
      <c r="I1134" s="18" t="s">
        <v>1125</v>
      </c>
    </row>
    <row r="1135">
      <c r="A1135" s="5" t="str">
        <f t="array" ref="A1135">INDEX(event_table!$A$2:$A$69, RANDBETWEEN(1, COUNTA(event_table!$A$2:$A$69)))</f>
        <v>1640</v>
      </c>
      <c r="B1135" s="6">
        <f t="array" ref="B1135">IFERROR(INDEX(event_table!$E$1:$E3686,MATCH(A1135,event_table!$A$1:$A3686,0)),"")
</f>
        <v>6</v>
      </c>
      <c r="C1135" s="7">
        <f t="shared" si="1"/>
        <v>171</v>
      </c>
      <c r="D1135" s="6" t="str">
        <f t="array" ref="D1135">IFERROR(INDEX(user_table!$C$2:$C3686,MATCH(C1135,user_table!$B$2:$B3686,0)),"")
</f>
        <v>Andi Santoso</v>
      </c>
      <c r="E1135" s="6" t="str">
        <f t="array" ref="E1135">IFERROR(INDEX(user_table!$E$2:$E3686,MATCH(C1135,user_table!$B$2:$B3686,0)),"")
</f>
        <v>4, 3</v>
      </c>
      <c r="F1135" s="6" t="str">
        <f t="shared" si="2"/>
        <v>164016171</v>
      </c>
      <c r="G1135" s="16">
        <v>1.0</v>
      </c>
      <c r="H1135" s="17">
        <v>45027.0</v>
      </c>
      <c r="I1135" s="18" t="s">
        <v>1126</v>
      </c>
    </row>
    <row r="1136">
      <c r="A1136" s="5" t="str">
        <f t="array" ref="A1136">INDEX(event_table!$A$2:$A$69, RANDBETWEEN(1, COUNTA(event_table!$A$2:$A$69)))</f>
        <v>1637</v>
      </c>
      <c r="B1136" s="6">
        <f t="array" ref="B1136">IFERROR(INDEX(event_table!$E$1:$E3686,MATCH(A1136,event_table!$A$1:$A3686,0)),"")
</f>
        <v>6</v>
      </c>
      <c r="C1136" s="7">
        <f t="shared" si="1"/>
        <v>133</v>
      </c>
      <c r="D1136" s="6" t="str">
        <f t="array" ref="D1136">IFERROR(INDEX(user_table!$C$2:$C3686,MATCH(C1136,user_table!$B$2:$B3686,0)),"")
</f>
        <v>Dewi Sari</v>
      </c>
      <c r="E1136" s="6" t="str">
        <f t="array" ref="E1136">IFERROR(INDEX(user_table!$E$2:$E3686,MATCH(C1136,user_table!$B$2:$B3686,0)),"")
</f>
        <v>6, 5</v>
      </c>
      <c r="F1136" s="6" t="str">
        <f t="shared" si="2"/>
        <v>163756133</v>
      </c>
      <c r="G1136" s="16">
        <v>5.0</v>
      </c>
      <c r="H1136" s="17">
        <v>44744.0</v>
      </c>
      <c r="I1136" s="18" t="s">
        <v>1127</v>
      </c>
    </row>
    <row r="1137">
      <c r="A1137" s="5" t="str">
        <f t="array" ref="A1137">INDEX(event_table!$A$2:$A$69, RANDBETWEEN(1, COUNTA(event_table!$A$2:$A$69)))</f>
        <v>3657</v>
      </c>
      <c r="B1137" s="6">
        <f t="array" ref="B1137">IFERROR(INDEX(event_table!$E$1:$E3686,MATCH(A1137,event_table!$A$1:$A3686,0)),"")
</f>
        <v>6</v>
      </c>
      <c r="C1137" s="7">
        <f t="shared" si="1"/>
        <v>36</v>
      </c>
      <c r="D1137" s="6" t="str">
        <f t="array" ref="D1137">IFERROR(INDEX(user_table!$C$2:$C3686,MATCH(C1137,user_table!$B$2:$B3686,0)),"")
</f>
        <v>Arif Susanto</v>
      </c>
      <c r="E1137" s="6" t="str">
        <f t="array" ref="E1137">IFERROR(INDEX(user_table!$E$2:$E3686,MATCH(C1137,user_table!$B$2:$B3686,0)),"")
</f>
        <v>3, 5</v>
      </c>
      <c r="F1137" s="6" t="str">
        <f t="shared" si="2"/>
        <v>36575636</v>
      </c>
      <c r="G1137" s="16">
        <v>5.0</v>
      </c>
      <c r="H1137" s="17">
        <v>44733.0</v>
      </c>
      <c r="I1137" s="18" t="s">
        <v>1128</v>
      </c>
    </row>
    <row r="1138">
      <c r="A1138" s="5" t="str">
        <f t="array" ref="A1138">INDEX(event_table!$A$2:$A$69, RANDBETWEEN(1, COUNTA(event_table!$A$2:$A$69)))</f>
        <v>1313</v>
      </c>
      <c r="B1138" s="6">
        <f t="array" ref="B1138">IFERROR(INDEX(event_table!$E$1:$E3686,MATCH(A1138,event_table!$A$1:$A3686,0)),"")
</f>
        <v>3</v>
      </c>
      <c r="C1138" s="7">
        <f t="shared" si="1"/>
        <v>110</v>
      </c>
      <c r="D1138" s="6" t="str">
        <f t="array" ref="D1138">IFERROR(INDEX(user_table!$C$2:$C3686,MATCH(C1138,user_table!$B$2:$B3686,0)),"")
</f>
        <v>Fajar Wijaya</v>
      </c>
      <c r="E1138" s="6" t="str">
        <f t="array" ref="E1138">IFERROR(INDEX(user_table!$E$2:$E3686,MATCH(C1138,user_table!$B$2:$B3686,0)),"")
</f>
        <v>3, 6</v>
      </c>
      <c r="F1138" s="6" t="str">
        <f t="shared" si="2"/>
        <v>131353110</v>
      </c>
      <c r="G1138" s="16">
        <v>5.0</v>
      </c>
      <c r="H1138" s="17">
        <v>44728.0</v>
      </c>
      <c r="I1138" s="18" t="s">
        <v>1129</v>
      </c>
    </row>
    <row r="1139">
      <c r="A1139" s="5" t="str">
        <f t="array" ref="A1139">INDEX(event_table!$A$2:$A$69, RANDBETWEEN(1, COUNTA(event_table!$A$2:$A$69)))</f>
        <v>3168</v>
      </c>
      <c r="B1139" s="6">
        <f t="array" ref="B1139">IFERROR(INDEX(event_table!$E$1:$E3686,MATCH(A1139,event_table!$A$1:$A3686,0)),"")
</f>
        <v>1</v>
      </c>
      <c r="C1139" s="7">
        <f t="shared" si="1"/>
        <v>2</v>
      </c>
      <c r="D1139" s="6" t="str">
        <f t="array" ref="D1139">IFERROR(INDEX(user_table!$C$2:$C3686,MATCH(C1139,user_table!$B$2:$B3686,0)),"")
</f>
        <v>Dian Putri</v>
      </c>
      <c r="E1139" s="6" t="str">
        <f t="array" ref="E1139">IFERROR(INDEX(user_table!$E$2:$E3686,MATCH(C1139,user_table!$B$2:$B3686,0)),"")
</f>
        <v>1, 6</v>
      </c>
      <c r="F1139" s="6" t="str">
        <f t="shared" si="2"/>
        <v>3168512</v>
      </c>
      <c r="G1139" s="16">
        <v>5.0</v>
      </c>
      <c r="H1139" s="17">
        <v>44726.0</v>
      </c>
      <c r="I1139" s="18" t="s">
        <v>1130</v>
      </c>
    </row>
    <row r="1140">
      <c r="A1140" s="5" t="str">
        <f t="array" ref="A1140">INDEX(event_table!$A$2:$A$69, RANDBETWEEN(1, COUNTA(event_table!$A$2:$A$69)))</f>
        <v>1422</v>
      </c>
      <c r="B1140" s="6">
        <f t="array" ref="B1140">IFERROR(INDEX(event_table!$E$1:$E3686,MATCH(A1140,event_table!$A$1:$A3686,0)),"")
</f>
        <v>4</v>
      </c>
      <c r="C1140" s="7">
        <f t="shared" si="1"/>
        <v>27</v>
      </c>
      <c r="D1140" s="6" t="str">
        <f t="array" ref="D1140">IFERROR(INDEX(user_table!$C$2:$C3686,MATCH(C1140,user_table!$B$2:$B3686,0)),"")
</f>
        <v>Fandi Purnama</v>
      </c>
      <c r="E1140" s="6" t="str">
        <f t="array" ref="E1140">IFERROR(INDEX(user_table!$E$2:$E3686,MATCH(C1140,user_table!$B$2:$B3686,0)),"")
</f>
        <v>4, 6</v>
      </c>
      <c r="F1140" s="6" t="str">
        <f t="shared" si="2"/>
        <v>14225427</v>
      </c>
      <c r="G1140" s="16">
        <v>5.0</v>
      </c>
      <c r="H1140" s="17">
        <v>44721.0</v>
      </c>
      <c r="I1140" s="18" t="s">
        <v>1131</v>
      </c>
    </row>
    <row r="1141">
      <c r="A1141" s="5" t="str">
        <f t="array" ref="A1141">INDEX(event_table!$A$2:$A$69, RANDBETWEEN(1, COUNTA(event_table!$A$2:$A$69)))</f>
        <v>1641</v>
      </c>
      <c r="B1141" s="6">
        <f t="array" ref="B1141">IFERROR(INDEX(event_table!$E$1:$E3686,MATCH(A1141,event_table!$A$1:$A3686,0)),"")
</f>
        <v>6</v>
      </c>
      <c r="C1141" s="7">
        <f t="shared" si="1"/>
        <v>88</v>
      </c>
      <c r="D1141" s="6" t="str">
        <f t="array" ref="D1141">IFERROR(INDEX(user_table!$C$2:$C3686,MATCH(C1141,user_table!$B$2:$B3686,0)),"")
</f>
        <v>Fajar Hadiwijaya</v>
      </c>
      <c r="E1141" s="6" t="str">
        <f t="array" ref="E1141">IFERROR(INDEX(user_table!$E$2:$E3686,MATCH(C1141,user_table!$B$2:$B3686,0)),"")
</f>
        <v>2, 6</v>
      </c>
      <c r="F1141" s="6" t="str">
        <f t="shared" si="2"/>
        <v>16415688</v>
      </c>
      <c r="G1141" s="16">
        <v>5.0</v>
      </c>
      <c r="H1141" s="17">
        <v>44712.0</v>
      </c>
      <c r="I1141" s="18" t="s">
        <v>1132</v>
      </c>
    </row>
    <row r="1142">
      <c r="A1142" s="5" t="str">
        <f t="array" ref="A1142">INDEX(event_table!$A$2:$A$69, RANDBETWEEN(1, COUNTA(event_table!$A$2:$A$69)))</f>
        <v>3167</v>
      </c>
      <c r="B1142" s="6">
        <f t="array" ref="B1142">IFERROR(INDEX(event_table!$E$1:$E3686,MATCH(A1142,event_table!$A$1:$A3686,0)),"")
</f>
        <v>1</v>
      </c>
      <c r="C1142" s="7">
        <f t="shared" si="1"/>
        <v>175</v>
      </c>
      <c r="D1142" s="6" t="str">
        <f t="array" ref="D1142">IFERROR(INDEX(user_table!$C$2:$C3686,MATCH(C1142,user_table!$B$2:$B3686,0)),"")
</f>
        <v>Siti Septiani</v>
      </c>
      <c r="E1142" s="6" t="str">
        <f t="array" ref="E1142">IFERROR(INDEX(user_table!$E$2:$E3686,MATCH(C1142,user_table!$B$2:$B3686,0)),"")
</f>
        <v>2, 5</v>
      </c>
      <c r="F1142" s="6" t="str">
        <f t="shared" si="2"/>
        <v>316751175</v>
      </c>
      <c r="G1142" s="16">
        <v>5.0</v>
      </c>
      <c r="H1142" s="17">
        <v>44710.0</v>
      </c>
      <c r="I1142" s="18" t="s">
        <v>1133</v>
      </c>
    </row>
    <row r="1143">
      <c r="A1143" s="5" t="str">
        <f t="array" ref="A1143">INDEX(event_table!$A$2:$A$69, RANDBETWEEN(1, COUNTA(event_table!$A$2:$A$69)))</f>
        <v>1421</v>
      </c>
      <c r="B1143" s="6">
        <f t="array" ref="B1143">IFERROR(INDEX(event_table!$E$1:$E3686,MATCH(A1143,event_table!$A$1:$A3686,0)),"")
</f>
        <v>4</v>
      </c>
      <c r="C1143" s="7">
        <f t="shared" si="1"/>
        <v>129</v>
      </c>
      <c r="D1143" s="6" t="str">
        <f t="array" ref="D1143">IFERROR(INDEX(user_table!$C$2:$C3686,MATCH(C1143,user_table!$B$2:$B3686,0)),"")
</f>
        <v>Maya Kusuma</v>
      </c>
      <c r="E1143" s="6" t="str">
        <f t="array" ref="E1143">IFERROR(INDEX(user_table!$E$2:$E3686,MATCH(C1143,user_table!$B$2:$B3686,0)),"")
</f>
        <v>4, 6</v>
      </c>
      <c r="F1143" s="6" t="str">
        <f t="shared" si="2"/>
        <v>142154129</v>
      </c>
      <c r="G1143" s="16">
        <v>5.0</v>
      </c>
      <c r="H1143" s="17">
        <v>44704.0</v>
      </c>
      <c r="I1143" s="18" t="s">
        <v>1134</v>
      </c>
    </row>
    <row r="1144">
      <c r="A1144" s="5" t="str">
        <f t="array" ref="A1144">INDEX(event_table!$A$2:$A$69, RANDBETWEEN(1, COUNTA(event_table!$A$2:$A$69)))</f>
        <v>3162</v>
      </c>
      <c r="B1144" s="6">
        <f t="array" ref="B1144">IFERROR(INDEX(event_table!$E$1:$E3686,MATCH(A1144,event_table!$A$1:$A3686,0)),"")
</f>
        <v>1</v>
      </c>
      <c r="C1144" s="7">
        <f t="shared" si="1"/>
        <v>141</v>
      </c>
      <c r="D1144" s="6" t="str">
        <f t="array" ref="D1144">IFERROR(INDEX(user_table!$C$2:$C3686,MATCH(C1144,user_table!$B$2:$B3686,0)),"")
</f>
        <v>Bambang Santoso</v>
      </c>
      <c r="E1144" s="6" t="str">
        <f t="array" ref="E1144">IFERROR(INDEX(user_table!$E$2:$E3686,MATCH(C1144,user_table!$B$2:$B3686,0)),"")
</f>
        <v>5, 3</v>
      </c>
      <c r="F1144" s="6" t="str">
        <f t="shared" si="2"/>
        <v>316251141</v>
      </c>
      <c r="G1144" s="16">
        <v>5.0</v>
      </c>
      <c r="H1144" s="17">
        <v>44696.0</v>
      </c>
      <c r="I1144" s="18" t="s">
        <v>1135</v>
      </c>
    </row>
    <row r="1145">
      <c r="A1145" s="5" t="str">
        <f t="array" ref="A1145">INDEX(event_table!$A$2:$A$69, RANDBETWEEN(1, COUNTA(event_table!$A$2:$A$69)))</f>
        <v>118</v>
      </c>
      <c r="B1145" s="6">
        <f t="array" ref="B1145">IFERROR(INDEX(event_table!$E$1:$E3686,MATCH(A1145,event_table!$A$1:$A3686,0)),"")
</f>
        <v>1</v>
      </c>
      <c r="C1145" s="7">
        <f t="shared" si="1"/>
        <v>2</v>
      </c>
      <c r="D1145" s="6" t="str">
        <f t="array" ref="D1145">IFERROR(INDEX(user_table!$C$2:$C3686,MATCH(C1145,user_table!$B$2:$B3686,0)),"")
</f>
        <v>Dian Putri</v>
      </c>
      <c r="E1145" s="6" t="str">
        <f t="array" ref="E1145">IFERROR(INDEX(user_table!$E$2:$E3686,MATCH(C1145,user_table!$B$2:$B3686,0)),"")
</f>
        <v>1, 6</v>
      </c>
      <c r="F1145" s="6" t="str">
        <f t="shared" si="2"/>
        <v>118512</v>
      </c>
      <c r="G1145" s="16">
        <v>5.0</v>
      </c>
      <c r="H1145" s="17">
        <v>45075.0</v>
      </c>
      <c r="I1145" s="18" t="s">
        <v>1136</v>
      </c>
    </row>
    <row r="1146">
      <c r="A1146" s="5" t="str">
        <f t="array" ref="A1146">INDEX(event_table!$A$2:$A$69, RANDBETWEEN(1, COUNTA(event_table!$A$2:$A$69)))</f>
        <v>3455</v>
      </c>
      <c r="B1146" s="6">
        <f t="array" ref="B1146">IFERROR(INDEX(event_table!$E$1:$E3686,MATCH(A1146,event_table!$A$1:$A3686,0)),"")
</f>
        <v>4</v>
      </c>
      <c r="C1146" s="7">
        <f t="shared" si="1"/>
        <v>121</v>
      </c>
      <c r="D1146" s="6" t="str">
        <f t="array" ref="D1146">IFERROR(INDEX(user_table!$C$2:$C3686,MATCH(C1146,user_table!$B$2:$B3686,0)),"")
</f>
        <v>Wahyu Saputra</v>
      </c>
      <c r="E1146" s="6" t="str">
        <f t="array" ref="E1146">IFERROR(INDEX(user_table!$E$2:$E3686,MATCH(C1146,user_table!$B$2:$B3686,0)),"")
</f>
        <v>6, 3</v>
      </c>
      <c r="F1146" s="6" t="str">
        <f t="shared" si="2"/>
        <v>345554121</v>
      </c>
      <c r="G1146" s="16">
        <v>5.0</v>
      </c>
      <c r="H1146" s="17">
        <v>44925.0</v>
      </c>
      <c r="I1146" s="18" t="s">
        <v>1137</v>
      </c>
    </row>
    <row r="1147">
      <c r="A1147" s="5" t="str">
        <f t="array" ref="A1147">INDEX(event_table!$A$2:$A$69, RANDBETWEEN(1, COUNTA(event_table!$A$2:$A$69)))</f>
        <v>3166</v>
      </c>
      <c r="B1147" s="6">
        <f t="array" ref="B1147">IFERROR(INDEX(event_table!$E$1:$E3686,MATCH(A1147,event_table!$A$1:$A3686,0)),"")
</f>
        <v>1</v>
      </c>
      <c r="C1147" s="7">
        <f t="shared" si="1"/>
        <v>72</v>
      </c>
      <c r="D1147" s="6" t="str">
        <f t="array" ref="D1147">IFERROR(INDEX(user_table!$C$2:$C3686,MATCH(C1147,user_table!$B$2:$B3686,0)),"")
</f>
        <v>Wahyu Kurniawan</v>
      </c>
      <c r="E1147" s="6" t="str">
        <f t="array" ref="E1147">IFERROR(INDEX(user_table!$E$2:$E3686,MATCH(C1147,user_table!$B$2:$B3686,0)),"")
</f>
        <v>5, 3</v>
      </c>
      <c r="F1147" s="6" t="str">
        <f t="shared" si="2"/>
        <v>31665172</v>
      </c>
      <c r="G1147" s="16">
        <v>5.0</v>
      </c>
      <c r="H1147" s="17">
        <v>44898.0</v>
      </c>
      <c r="I1147" s="18" t="s">
        <v>116</v>
      </c>
    </row>
    <row r="1148">
      <c r="A1148" s="5" t="str">
        <f t="array" ref="A1148">INDEX(event_table!$A$2:$A$69, RANDBETWEEN(1, COUNTA(event_table!$A$2:$A$69)))</f>
        <v>1638</v>
      </c>
      <c r="B1148" s="6">
        <f t="array" ref="B1148">IFERROR(INDEX(event_table!$E$1:$E3686,MATCH(A1148,event_table!$A$1:$A3686,0)),"")
</f>
        <v>6</v>
      </c>
      <c r="C1148" s="7">
        <f t="shared" si="1"/>
        <v>103</v>
      </c>
      <c r="D1148" s="6" t="str">
        <f t="array" ref="D1148">IFERROR(INDEX(user_table!$C$2:$C3686,MATCH(C1148,user_table!$B$2:$B3686,0)),"")
</f>
        <v>Hadi Sari</v>
      </c>
      <c r="E1148" s="6" t="str">
        <f t="array" ref="E1148">IFERROR(INDEX(user_table!$E$2:$E3686,MATCH(C1148,user_table!$B$2:$B3686,0)),"")
</f>
        <v>3, 1</v>
      </c>
      <c r="F1148" s="6" t="str">
        <f t="shared" si="2"/>
        <v>163856103</v>
      </c>
      <c r="G1148" s="16">
        <v>5.0</v>
      </c>
      <c r="H1148" s="17">
        <v>44780.0</v>
      </c>
      <c r="I1148" s="18" t="s">
        <v>1138</v>
      </c>
    </row>
    <row r="1149">
      <c r="A1149" s="5" t="str">
        <f t="array" ref="A1149">INDEX(event_table!$A$2:$A$69, RANDBETWEEN(1, COUNTA(event_table!$A$2:$A$69)))</f>
        <v>1334</v>
      </c>
      <c r="B1149" s="6">
        <f t="array" ref="B1149">IFERROR(INDEX(event_table!$E$1:$E3686,MATCH(A1149,event_table!$A$1:$A3686,0)),"")
</f>
        <v>3</v>
      </c>
      <c r="C1149" s="7">
        <f t="shared" si="1"/>
        <v>89</v>
      </c>
      <c r="D1149" s="6" t="str">
        <f t="array" ref="D1149">IFERROR(INDEX(user_table!$C$2:$C3686,MATCH(C1149,user_table!$B$2:$B3686,0)),"")
</f>
        <v>Hadi Wijaya</v>
      </c>
      <c r="E1149" s="6" t="str">
        <f t="array" ref="E1149">IFERROR(INDEX(user_table!$E$2:$E3686,MATCH(C1149,user_table!$B$2:$B3686,0)),"")
</f>
        <v>6, 4</v>
      </c>
      <c r="F1149" s="6" t="str">
        <f t="shared" si="2"/>
        <v>13345389</v>
      </c>
      <c r="G1149" s="16">
        <v>5.0</v>
      </c>
      <c r="H1149" s="17">
        <v>44750.0</v>
      </c>
      <c r="I1149" s="18" t="s">
        <v>1139</v>
      </c>
    </row>
    <row r="1150">
      <c r="A1150" s="5" t="str">
        <f t="array" ref="A1150">INDEX(event_table!$A$2:$A$69, RANDBETWEEN(1, COUNTA(event_table!$A$2:$A$69)))</f>
        <v>3169</v>
      </c>
      <c r="B1150" s="6">
        <f t="array" ref="B1150">IFERROR(INDEX(event_table!$E$1:$E3686,MATCH(A1150,event_table!$A$1:$A3686,0)),"")
</f>
        <v>1</v>
      </c>
      <c r="C1150" s="7">
        <f t="shared" si="1"/>
        <v>25</v>
      </c>
      <c r="D1150" s="6" t="str">
        <f t="array" ref="D1150">IFERROR(INDEX(user_table!$C$2:$C3686,MATCH(C1150,user_table!$B$2:$B3686,0)),"")
</f>
        <v>Agus Hartono</v>
      </c>
      <c r="E1150" s="6" t="str">
        <f t="array" ref="E1150">IFERROR(INDEX(user_table!$E$2:$E3686,MATCH(C1150,user_table!$B$2:$B3686,0)),"")
</f>
        <v>6, 3</v>
      </c>
      <c r="F1150" s="6" t="str">
        <f t="shared" si="2"/>
        <v>31694125</v>
      </c>
      <c r="G1150" s="16">
        <v>4.0</v>
      </c>
      <c r="H1150" s="17">
        <v>45180.0</v>
      </c>
      <c r="I1150" s="18" t="s">
        <v>1140</v>
      </c>
    </row>
    <row r="1151">
      <c r="A1151" s="5" t="str">
        <f t="array" ref="A1151">INDEX(event_table!$A$2:$A$69, RANDBETWEEN(1, COUNTA(event_table!$A$2:$A$69)))</f>
        <v>1638</v>
      </c>
      <c r="B1151" s="6">
        <f t="array" ref="B1151">IFERROR(INDEX(event_table!$E$1:$E3686,MATCH(A1151,event_table!$A$1:$A3686,0)),"")
</f>
        <v>6</v>
      </c>
      <c r="C1151" s="7">
        <f t="shared" si="1"/>
        <v>16</v>
      </c>
      <c r="D1151" s="6" t="str">
        <f t="array" ref="D1151">IFERROR(INDEX(user_table!$C$2:$C3686,MATCH(C1151,user_table!$B$2:$B3686,0)),"")
</f>
        <v>Siti Utami</v>
      </c>
      <c r="E1151" s="6" t="str">
        <f t="array" ref="E1151">IFERROR(INDEX(user_table!$E$2:$E3686,MATCH(C1151,user_table!$B$2:$B3686,0)),"")
</f>
        <v>1, 2</v>
      </c>
      <c r="F1151" s="6" t="str">
        <f t="shared" si="2"/>
        <v>16384616</v>
      </c>
      <c r="G1151" s="16">
        <v>4.0</v>
      </c>
      <c r="H1151" s="17">
        <v>44818.0</v>
      </c>
      <c r="I1151" s="18" t="s">
        <v>1141</v>
      </c>
    </row>
    <row r="1152">
      <c r="A1152" s="5" t="str">
        <f t="array" ref="A1152">INDEX(event_table!$A$2:$A$69, RANDBETWEEN(1, COUNTA(event_table!$A$2:$A$69)))</f>
        <v>1519</v>
      </c>
      <c r="B1152" s="6">
        <f t="array" ref="B1152">IFERROR(INDEX(event_table!$E$1:$E3686,MATCH(A1152,event_table!$A$1:$A3686,0)),"")
</f>
        <v>5</v>
      </c>
      <c r="C1152" s="7">
        <f t="shared" si="1"/>
        <v>37</v>
      </c>
      <c r="D1152" s="6" t="str">
        <f t="array" ref="D1152">IFERROR(INDEX(user_table!$C$2:$C3686,MATCH(C1152,user_table!$B$2:$B3686,0)),"")
</f>
        <v>Lina Susanto</v>
      </c>
      <c r="E1152" s="6" t="str">
        <f t="array" ref="E1152">IFERROR(INDEX(user_table!$E$2:$E3686,MATCH(C1152,user_table!$B$2:$B3686,0)),"")
</f>
        <v>2, 2</v>
      </c>
      <c r="F1152" s="6" t="str">
        <f t="shared" si="2"/>
        <v>15194537</v>
      </c>
      <c r="G1152" s="16">
        <v>4.0</v>
      </c>
      <c r="H1152" s="17">
        <v>44791.0</v>
      </c>
      <c r="I1152" s="18" t="s">
        <v>1142</v>
      </c>
    </row>
    <row r="1153">
      <c r="A1153" s="5" t="str">
        <f t="array" ref="A1153">INDEX(event_table!$A$2:$A$69, RANDBETWEEN(1, COUNTA(event_table!$A$2:$A$69)))</f>
        <v>3165</v>
      </c>
      <c r="B1153" s="6">
        <f t="array" ref="B1153">IFERROR(INDEX(event_table!$E$1:$E3686,MATCH(A1153,event_table!$A$1:$A3686,0)),"")
</f>
        <v>1</v>
      </c>
      <c r="C1153" s="7">
        <f t="shared" si="1"/>
        <v>111</v>
      </c>
      <c r="D1153" s="6" t="str">
        <f t="array" ref="D1153">IFERROR(INDEX(user_table!$C$2:$C3686,MATCH(C1153,user_table!$B$2:$B3686,0)),"")
</f>
        <v>Hadi Kurniawan</v>
      </c>
      <c r="E1153" s="6" t="str">
        <f t="array" ref="E1153">IFERROR(INDEX(user_table!$E$2:$E3686,MATCH(C1153,user_table!$B$2:$B3686,0)),"")
</f>
        <v>3, 4</v>
      </c>
      <c r="F1153" s="6" t="str">
        <f t="shared" si="2"/>
        <v>316541111</v>
      </c>
      <c r="G1153" s="16">
        <v>4.0</v>
      </c>
      <c r="H1153" s="17">
        <v>44740.0</v>
      </c>
      <c r="I1153" s="18" t="s">
        <v>1143</v>
      </c>
    </row>
    <row r="1154">
      <c r="A1154" s="5" t="str">
        <f t="array" ref="A1154">INDEX(event_table!$A$2:$A$69, RANDBETWEEN(1, COUNTA(event_table!$A$2:$A$69)))</f>
        <v>3170</v>
      </c>
      <c r="B1154" s="6">
        <f t="array" ref="B1154">IFERROR(INDEX(event_table!$E$1:$E3686,MATCH(A1154,event_table!$A$1:$A3686,0)),"")
</f>
        <v>1</v>
      </c>
      <c r="C1154" s="7">
        <f t="shared" si="1"/>
        <v>142</v>
      </c>
      <c r="D1154" s="6" t="str">
        <f t="array" ref="D1154">IFERROR(INDEX(user_table!$C$2:$C3686,MATCH(C1154,user_table!$B$2:$B3686,0)),"")
</f>
        <v>Siti Rahayu</v>
      </c>
      <c r="E1154" s="6" t="str">
        <f t="array" ref="E1154">IFERROR(INDEX(user_table!$E$2:$E3686,MATCH(C1154,user_table!$B$2:$B3686,0)),"")
</f>
        <v>6, 3</v>
      </c>
      <c r="F1154" s="6" t="str">
        <f t="shared" si="2"/>
        <v>317041142</v>
      </c>
      <c r="G1154" s="16">
        <v>4.0</v>
      </c>
      <c r="H1154" s="17">
        <v>44731.0</v>
      </c>
      <c r="I1154" s="18" t="s">
        <v>1144</v>
      </c>
    </row>
    <row r="1155">
      <c r="A1155" s="5" t="str">
        <f t="array" ref="A1155">INDEX(event_table!$A$2:$A$69, RANDBETWEEN(1, COUNTA(event_table!$A$2:$A$69)))</f>
        <v>115</v>
      </c>
      <c r="B1155" s="6">
        <f t="array" ref="B1155">IFERROR(INDEX(event_table!$E$1:$E3686,MATCH(A1155,event_table!$A$1:$A3686,0)),"")
</f>
        <v>1</v>
      </c>
      <c r="C1155" s="7">
        <f t="shared" si="1"/>
        <v>24</v>
      </c>
      <c r="D1155" s="6" t="str">
        <f t="array" ref="D1155">IFERROR(INDEX(user_table!$C$2:$C3686,MATCH(C1155,user_table!$B$2:$B3686,0)),"")
</f>
        <v>Andi Septiani</v>
      </c>
      <c r="E1155" s="6" t="str">
        <f t="array" ref="E1155">IFERROR(INDEX(user_table!$E$2:$E3686,MATCH(C1155,user_table!$B$2:$B3686,0)),"")
</f>
        <v>2, 2</v>
      </c>
      <c r="F1155" s="6" t="str">
        <f t="shared" si="2"/>
        <v>1154124</v>
      </c>
      <c r="G1155" s="16">
        <v>4.0</v>
      </c>
      <c r="H1155" s="17">
        <v>44688.0</v>
      </c>
      <c r="I1155" s="18" t="s">
        <v>1145</v>
      </c>
    </row>
    <row r="1156">
      <c r="A1156" s="5" t="str">
        <f t="array" ref="A1156">INDEX(event_table!$A$2:$A$69, RANDBETWEEN(1, COUNTA(event_table!$A$2:$A$69)))</f>
        <v>1110</v>
      </c>
      <c r="B1156" s="6">
        <f t="array" ref="B1156">IFERROR(INDEX(event_table!$E$1:$E3686,MATCH(A1156,event_table!$A$1:$A3686,0)),"")
</f>
        <v>1</v>
      </c>
      <c r="C1156" s="7">
        <f t="shared" si="1"/>
        <v>119</v>
      </c>
      <c r="D1156" s="6" t="str">
        <f t="array" ref="D1156">IFERROR(INDEX(user_table!$C$2:$C3686,MATCH(C1156,user_table!$B$2:$B3686,0)),"")
</f>
        <v>Budi Rahayu</v>
      </c>
      <c r="E1156" s="6" t="str">
        <f t="array" ref="E1156">IFERROR(INDEX(user_table!$E$2:$E3686,MATCH(C1156,user_table!$B$2:$B3686,0)),"")
</f>
        <v>1, 2</v>
      </c>
      <c r="F1156" s="6" t="str">
        <f t="shared" si="2"/>
        <v>111031119</v>
      </c>
      <c r="G1156" s="16">
        <v>3.0</v>
      </c>
      <c r="H1156" s="17">
        <v>44747.0</v>
      </c>
      <c r="I1156" s="18" t="s">
        <v>1146</v>
      </c>
    </row>
    <row r="1157">
      <c r="A1157" s="5" t="str">
        <f t="array" ref="A1157">INDEX(event_table!$A$2:$A$69, RANDBETWEEN(1, COUNTA(event_table!$A$2:$A$69)))</f>
        <v>122</v>
      </c>
      <c r="B1157" s="6">
        <f t="array" ref="B1157">IFERROR(INDEX(event_table!$E$1:$E3686,MATCH(A1157,event_table!$A$1:$A3686,0)),"")
</f>
        <v>2</v>
      </c>
      <c r="C1157" s="7">
        <f t="shared" si="1"/>
        <v>51</v>
      </c>
      <c r="D1157" s="6" t="str">
        <f t="array" ref="D1157">IFERROR(INDEX(user_table!$C$2:$C3686,MATCH(C1157,user_table!$B$2:$B3686,0)),"")
</f>
        <v>Fandi Pratama</v>
      </c>
      <c r="E1157" s="6" t="str">
        <f t="array" ref="E1157">IFERROR(INDEX(user_table!$E$2:$E3686,MATCH(C1157,user_table!$B$2:$B3686,0)),"")
</f>
        <v>2, 1</v>
      </c>
      <c r="F1157" s="6" t="str">
        <f t="shared" si="2"/>
        <v>1223251</v>
      </c>
      <c r="G1157" s="16">
        <v>3.0</v>
      </c>
      <c r="H1157" s="17">
        <v>45175.0</v>
      </c>
      <c r="I1157" s="18" t="s">
        <v>1147</v>
      </c>
    </row>
    <row r="1158">
      <c r="A1158" s="5" t="str">
        <f t="array" ref="A1158">INDEX(event_table!$A$2:$A$69, RANDBETWEEN(1, COUNTA(event_table!$A$2:$A$69)))</f>
        <v>1114</v>
      </c>
      <c r="B1158" s="6">
        <f t="array" ref="B1158">IFERROR(INDEX(event_table!$E$1:$E3686,MATCH(A1158,event_table!$A$1:$A3686,0)),"")
</f>
        <v>1</v>
      </c>
      <c r="C1158" s="7">
        <f t="shared" si="1"/>
        <v>88</v>
      </c>
      <c r="D1158" s="6" t="str">
        <f t="array" ref="D1158">IFERROR(INDEX(user_table!$C$2:$C3686,MATCH(C1158,user_table!$B$2:$B3686,0)),"")
</f>
        <v>Fajar Hadiwijaya</v>
      </c>
      <c r="E1158" s="6" t="str">
        <f t="array" ref="E1158">IFERROR(INDEX(user_table!$E$2:$E3686,MATCH(C1158,user_table!$B$2:$B3686,0)),"")
</f>
        <v>2, 6</v>
      </c>
      <c r="F1158" s="6" t="str">
        <f t="shared" si="2"/>
        <v>11143188</v>
      </c>
      <c r="G1158" s="16">
        <v>3.0</v>
      </c>
      <c r="H1158" s="17">
        <v>45141.0</v>
      </c>
      <c r="I1158" s="18" t="s">
        <v>1148</v>
      </c>
    </row>
    <row r="1159">
      <c r="A1159" s="5" t="str">
        <f t="array" ref="A1159">INDEX(event_table!$A$2:$A$69, RANDBETWEEN(1, COUNTA(event_table!$A$2:$A$69)))</f>
        <v>3167</v>
      </c>
      <c r="B1159" s="6">
        <f t="array" ref="B1159">IFERROR(INDEX(event_table!$E$1:$E3686,MATCH(A1159,event_table!$A$1:$A3686,0)),"")
</f>
        <v>1</v>
      </c>
      <c r="C1159" s="7">
        <f t="shared" si="1"/>
        <v>170</v>
      </c>
      <c r="D1159" s="6" t="str">
        <f t="array" ref="D1159">IFERROR(INDEX(user_table!$C$2:$C3686,MATCH(C1159,user_table!$B$2:$B3686,0)),"")
</f>
        <v>Andi Sari</v>
      </c>
      <c r="E1159" s="6" t="str">
        <f t="array" ref="E1159">IFERROR(INDEX(user_table!$E$2:$E3686,MATCH(C1159,user_table!$B$2:$B3686,0)),"")
</f>
        <v>4, 6</v>
      </c>
      <c r="F1159" s="6" t="str">
        <f t="shared" si="2"/>
        <v>316731170</v>
      </c>
      <c r="G1159" s="16">
        <v>3.0</v>
      </c>
      <c r="H1159" s="17">
        <v>45117.0</v>
      </c>
      <c r="I1159" s="18" t="s">
        <v>1149</v>
      </c>
    </row>
    <row r="1160">
      <c r="A1160" s="5" t="str">
        <f t="array" ref="A1160">INDEX(event_table!$A$2:$A$69, RANDBETWEEN(1, COUNTA(event_table!$A$2:$A$69)))</f>
        <v>1423</v>
      </c>
      <c r="B1160" s="6">
        <f t="array" ref="B1160">IFERROR(INDEX(event_table!$E$1:$E3686,MATCH(A1160,event_table!$A$1:$A3686,0)),"")
</f>
        <v>4</v>
      </c>
      <c r="C1160" s="7">
        <f t="shared" si="1"/>
        <v>169</v>
      </c>
      <c r="D1160" s="6" t="str">
        <f t="array" ref="D1160">IFERROR(INDEX(user_table!$C$2:$C3686,MATCH(C1160,user_table!$B$2:$B3686,0)),"")
</f>
        <v>Dian Saputra</v>
      </c>
      <c r="E1160" s="6" t="str">
        <f t="array" ref="E1160">IFERROR(INDEX(user_table!$E$2:$E3686,MATCH(C1160,user_table!$B$2:$B3686,0)),"")
</f>
        <v>6, 1</v>
      </c>
      <c r="F1160" s="6" t="str">
        <f t="shared" si="2"/>
        <v>142334169</v>
      </c>
      <c r="G1160" s="16">
        <v>3.0</v>
      </c>
      <c r="H1160" s="17">
        <v>45103.0</v>
      </c>
      <c r="I1160" s="18" t="s">
        <v>1150</v>
      </c>
    </row>
    <row r="1161">
      <c r="A1161" s="5" t="str">
        <f t="array" ref="A1161">INDEX(event_table!$A$2:$A$69, RANDBETWEEN(1, COUNTA(event_table!$A$2:$A$69)))</f>
        <v>111</v>
      </c>
      <c r="B1161" s="6">
        <f t="array" ref="B1161">IFERROR(INDEX(event_table!$E$1:$E3686,MATCH(A1161,event_table!$A$1:$A3686,0)),"")
</f>
        <v>1</v>
      </c>
      <c r="C1161" s="7">
        <f t="shared" si="1"/>
        <v>34</v>
      </c>
      <c r="D1161" s="6" t="str">
        <f t="array" ref="D1161">IFERROR(INDEX(user_table!$C$2:$C3686,MATCH(C1161,user_table!$B$2:$B3686,0)),"")
</f>
        <v>Bambang Putri</v>
      </c>
      <c r="E1161" s="6" t="str">
        <f t="array" ref="E1161">IFERROR(INDEX(user_table!$E$2:$E3686,MATCH(C1161,user_table!$B$2:$B3686,0)),"")
</f>
        <v>3, 5</v>
      </c>
      <c r="F1161" s="6" t="str">
        <f t="shared" si="2"/>
        <v>1112134</v>
      </c>
      <c r="G1161" s="16">
        <v>2.0</v>
      </c>
      <c r="H1161" s="17">
        <v>45108.0</v>
      </c>
      <c r="I1161" s="18" t="s">
        <v>1151</v>
      </c>
    </row>
    <row r="1162">
      <c r="A1162" s="5" t="str">
        <f t="array" ref="A1162">INDEX(event_table!$A$2:$A$69, RANDBETWEEN(1, COUNTA(event_table!$A$2:$A$69)))</f>
        <v>1212</v>
      </c>
      <c r="B1162" s="6">
        <f t="array" ref="B1162">IFERROR(INDEX(event_table!$E$1:$E3686,MATCH(A1162,event_table!$A$1:$A3686,0)),"")
</f>
        <v>2</v>
      </c>
      <c r="C1162" s="7">
        <f t="shared" si="1"/>
        <v>7</v>
      </c>
      <c r="D1162" s="6" t="str">
        <f t="array" ref="D1162">IFERROR(INDEX(user_table!$C$2:$C3686,MATCH(C1162,user_table!$B$2:$B3686,0)),"")
</f>
        <v>Maya Sari</v>
      </c>
      <c r="E1162" s="6" t="str">
        <f t="array" ref="E1162">IFERROR(INDEX(user_table!$E$2:$E3686,MATCH(C1162,user_table!$B$2:$B3686,0)),"")
</f>
        <v>5, 2</v>
      </c>
      <c r="F1162" s="6" t="str">
        <f t="shared" si="2"/>
        <v>1212227</v>
      </c>
      <c r="G1162" s="16">
        <v>2.0</v>
      </c>
      <c r="H1162" s="17">
        <v>45153.0</v>
      </c>
      <c r="I1162" s="18" t="s">
        <v>1152</v>
      </c>
    </row>
    <row r="1163">
      <c r="A1163" s="5" t="str">
        <f t="array" ref="A1163">INDEX(event_table!$A$2:$A$69, RANDBETWEEN(1, COUNTA(event_table!$A$2:$A$69)))</f>
        <v>3167</v>
      </c>
      <c r="B1163" s="6">
        <f t="array" ref="B1163">IFERROR(INDEX(event_table!$E$1:$E3686,MATCH(A1163,event_table!$A$1:$A3686,0)),"")
</f>
        <v>1</v>
      </c>
      <c r="C1163" s="7">
        <f t="shared" si="1"/>
        <v>164</v>
      </c>
      <c r="D1163" s="6" t="str">
        <f t="array" ref="D1163">IFERROR(INDEX(user_table!$C$2:$C3686,MATCH(C1163,user_table!$B$2:$B3686,0)),"")
</f>
        <v>Bambang Purnama</v>
      </c>
      <c r="E1163" s="6" t="str">
        <f t="array" ref="E1163">IFERROR(INDEX(user_table!$E$2:$E3686,MATCH(C1163,user_table!$B$2:$B3686,0)),"")
</f>
        <v>2, 3</v>
      </c>
      <c r="F1163" s="6" t="str">
        <f t="shared" si="2"/>
        <v>316721164</v>
      </c>
      <c r="G1163" s="16">
        <v>2.0</v>
      </c>
      <c r="H1163" s="17">
        <v>45039.0</v>
      </c>
      <c r="I1163" s="18" t="s">
        <v>1153</v>
      </c>
    </row>
    <row r="1164">
      <c r="A1164" s="5" t="str">
        <f t="array" ref="A1164">INDEX(event_table!$A$2:$A$69, RANDBETWEEN(1, COUNTA(event_table!$A$2:$A$69)))</f>
        <v>1334</v>
      </c>
      <c r="B1164" s="6">
        <f t="array" ref="B1164">IFERROR(INDEX(event_table!$E$1:$E3686,MATCH(A1164,event_table!$A$1:$A3686,0)),"")
</f>
        <v>3</v>
      </c>
      <c r="C1164" s="7">
        <f t="shared" si="1"/>
        <v>168</v>
      </c>
      <c r="D1164" s="6" t="str">
        <f t="array" ref="D1164">IFERROR(INDEX(user_table!$C$2:$C3686,MATCH(C1164,user_table!$B$2:$B3686,0)),"")
</f>
        <v>Lina Kurniawan</v>
      </c>
      <c r="E1164" s="6" t="str">
        <f t="array" ref="E1164">IFERROR(INDEX(user_table!$E$2:$E3686,MATCH(C1164,user_table!$B$2:$B3686,0)),"")
</f>
        <v>2, 2</v>
      </c>
      <c r="F1164" s="6" t="str">
        <f t="shared" si="2"/>
        <v>133423168</v>
      </c>
      <c r="G1164" s="16">
        <v>2.0</v>
      </c>
      <c r="H1164" s="17">
        <v>44957.0</v>
      </c>
      <c r="I1164" s="18" t="s">
        <v>1154</v>
      </c>
    </row>
    <row r="1165">
      <c r="A1165" s="5" t="str">
        <f t="array" ref="A1165">INDEX(event_table!$A$2:$A$69, RANDBETWEEN(1, COUNTA(event_table!$A$2:$A$69)))</f>
        <v>114</v>
      </c>
      <c r="B1165" s="6">
        <f t="array" ref="B1165">IFERROR(INDEX(event_table!$E$1:$E3686,MATCH(A1165,event_table!$A$1:$A3686,0)),"")
</f>
        <v>1</v>
      </c>
      <c r="C1165" s="7">
        <f t="shared" si="1"/>
        <v>174</v>
      </c>
      <c r="D1165" s="6" t="str">
        <f t="array" ref="D1165">IFERROR(INDEX(user_table!$C$2:$C3686,MATCH(C1165,user_table!$B$2:$B3686,0)),"")
</f>
        <v>Maya Hermawan</v>
      </c>
      <c r="E1165" s="6" t="str">
        <f t="array" ref="E1165">IFERROR(INDEX(user_table!$E$2:$E3686,MATCH(C1165,user_table!$B$2:$B3686,0)),"")
</f>
        <v>5, 1</v>
      </c>
      <c r="F1165" s="6" t="str">
        <f t="shared" si="2"/>
        <v>11421174</v>
      </c>
      <c r="G1165" s="16">
        <v>2.0</v>
      </c>
      <c r="H1165" s="17">
        <v>44948.0</v>
      </c>
      <c r="I1165" s="18" t="s">
        <v>1155</v>
      </c>
    </row>
    <row r="1166">
      <c r="A1166" s="5" t="str">
        <f t="array" ref="A1166">INDEX(event_table!$A$2:$A$69, RANDBETWEEN(1, COUNTA(event_table!$A$2:$A$69)))</f>
        <v>1637</v>
      </c>
      <c r="B1166" s="6">
        <f t="array" ref="B1166">IFERROR(INDEX(event_table!$E$1:$E3686,MATCH(A1166,event_table!$A$1:$A3686,0)),"")
</f>
        <v>6</v>
      </c>
      <c r="C1166" s="7">
        <f t="shared" si="1"/>
        <v>127</v>
      </c>
      <c r="D1166" s="6" t="str">
        <f t="array" ref="D1166">IFERROR(INDEX(user_table!$C$2:$C3686,MATCH(C1166,user_table!$B$2:$B3686,0)),"")
</f>
        <v>Sinta Wijaya</v>
      </c>
      <c r="E1166" s="6" t="str">
        <f t="array" ref="E1166">IFERROR(INDEX(user_table!$E$2:$E3686,MATCH(C1166,user_table!$B$2:$B3686,0)),"")
</f>
        <v>6, 4</v>
      </c>
      <c r="F1166" s="6" t="str">
        <f t="shared" si="2"/>
        <v>163726127</v>
      </c>
      <c r="G1166" s="16">
        <v>2.0</v>
      </c>
      <c r="H1166" s="17">
        <v>44773.0</v>
      </c>
      <c r="I1166" s="18" t="s">
        <v>1156</v>
      </c>
    </row>
    <row r="1167">
      <c r="A1167" s="5" t="str">
        <f t="array" ref="A1167">INDEX(event_table!$A$2:$A$69, RANDBETWEEN(1, COUNTA(event_table!$A$2:$A$69)))</f>
        <v>3169</v>
      </c>
      <c r="B1167" s="6">
        <f t="array" ref="B1167">IFERROR(INDEX(event_table!$E$1:$E3686,MATCH(A1167,event_table!$A$1:$A3686,0)),"")
</f>
        <v>1</v>
      </c>
      <c r="C1167" s="7">
        <f t="shared" si="1"/>
        <v>36</v>
      </c>
      <c r="D1167" s="6" t="str">
        <f t="array" ref="D1167">IFERROR(INDEX(user_table!$C$2:$C3686,MATCH(C1167,user_table!$B$2:$B3686,0)),"")
</f>
        <v>Arif Susanto</v>
      </c>
      <c r="E1167" s="6" t="str">
        <f t="array" ref="E1167">IFERROR(INDEX(user_table!$E$2:$E3686,MATCH(C1167,user_table!$B$2:$B3686,0)),"")
</f>
        <v>3, 5</v>
      </c>
      <c r="F1167" s="6" t="str">
        <f t="shared" si="2"/>
        <v>31692136</v>
      </c>
      <c r="G1167" s="16">
        <v>2.0</v>
      </c>
      <c r="H1167" s="17">
        <v>44766.0</v>
      </c>
      <c r="I1167" s="18" t="s">
        <v>1157</v>
      </c>
    </row>
    <row r="1168">
      <c r="A1168" s="5" t="str">
        <f t="array" ref="A1168">INDEX(event_table!$A$2:$A$69, RANDBETWEEN(1, COUNTA(event_table!$A$2:$A$69)))</f>
        <v>1418</v>
      </c>
      <c r="B1168" s="6">
        <f t="array" ref="B1168">IFERROR(INDEX(event_table!$E$1:$E3686,MATCH(A1168,event_table!$A$1:$A3686,0)),"")
</f>
        <v>4</v>
      </c>
      <c r="C1168" s="7">
        <f t="shared" si="1"/>
        <v>108</v>
      </c>
      <c r="D1168" s="6" t="str">
        <f t="array" ref="D1168">IFERROR(INDEX(user_table!$C$2:$C3686,MATCH(C1168,user_table!$B$2:$B3686,0)),"")
</f>
        <v>Dewi Hadiwijaya</v>
      </c>
      <c r="E1168" s="6" t="str">
        <f t="array" ref="E1168">IFERROR(INDEX(user_table!$E$2:$E3686,MATCH(C1168,user_table!$B$2:$B3686,0)),"")
</f>
        <v>6, 6</v>
      </c>
      <c r="F1168" s="6" t="str">
        <f t="shared" si="2"/>
        <v>141824108</v>
      </c>
      <c r="G1168" s="16">
        <v>2.0</v>
      </c>
      <c r="H1168" s="17">
        <v>44590.0</v>
      </c>
      <c r="I1168" s="18" t="s">
        <v>1158</v>
      </c>
    </row>
    <row r="1169">
      <c r="A1169" s="5" t="str">
        <f t="array" ref="A1169">INDEX(event_table!$A$2:$A$69, RANDBETWEEN(1, COUNTA(event_table!$A$2:$A$69)))</f>
        <v>3657</v>
      </c>
      <c r="B1169" s="6">
        <f t="array" ref="B1169">IFERROR(INDEX(event_table!$E$1:$E3686,MATCH(A1169,event_table!$A$1:$A3686,0)),"")
</f>
        <v>6</v>
      </c>
      <c r="C1169" s="7">
        <f t="shared" si="1"/>
        <v>145</v>
      </c>
      <c r="D1169" s="6" t="str">
        <f t="array" ref="D1169">IFERROR(INDEX(user_table!$C$2:$C3686,MATCH(C1169,user_table!$B$2:$B3686,0)),"")
</f>
        <v>Arif Nugroho</v>
      </c>
      <c r="E1169" s="6" t="str">
        <f t="array" ref="E1169">IFERROR(INDEX(user_table!$E$2:$E3686,MATCH(C1169,user_table!$B$2:$B3686,0)),"")
</f>
        <v>1, 4</v>
      </c>
      <c r="F1169" s="6" t="str">
        <f t="shared" si="2"/>
        <v>365726145</v>
      </c>
      <c r="G1169" s="16">
        <v>2.0</v>
      </c>
      <c r="H1169" s="17">
        <v>44572.0</v>
      </c>
      <c r="I1169" s="18" t="s">
        <v>1159</v>
      </c>
    </row>
    <row r="1170">
      <c r="A1170" s="5" t="str">
        <f t="array" ref="A1170">INDEX(event_table!$A$2:$A$69, RANDBETWEEN(1, COUNTA(event_table!$A$2:$A$69)))</f>
        <v>1636</v>
      </c>
      <c r="B1170" s="6">
        <f t="array" ref="B1170">IFERROR(INDEX(event_table!$E$1:$E3686,MATCH(A1170,event_table!$A$1:$A3686,0)),"")
</f>
        <v>6</v>
      </c>
      <c r="C1170" s="7">
        <f t="shared" si="1"/>
        <v>134</v>
      </c>
      <c r="D1170" s="6" t="str">
        <f t="array" ref="D1170">IFERROR(INDEX(user_table!$C$2:$C3686,MATCH(C1170,user_table!$B$2:$B3686,0)),"")
</f>
        <v>Maya Septiani</v>
      </c>
      <c r="E1170" s="6" t="str">
        <f t="array" ref="E1170">IFERROR(INDEX(user_table!$E$2:$E3686,MATCH(C1170,user_table!$B$2:$B3686,0)),"")
</f>
        <v>2, 4</v>
      </c>
      <c r="F1170" s="6" t="str">
        <f t="shared" si="2"/>
        <v>163626134</v>
      </c>
      <c r="G1170" s="16">
        <v>2.0</v>
      </c>
      <c r="H1170" s="17">
        <v>44401.0</v>
      </c>
      <c r="I1170" s="18" t="s">
        <v>1160</v>
      </c>
    </row>
    <row r="1171">
      <c r="A1171" s="5" t="str">
        <f t="array" ref="A1171">INDEX(event_table!$A$2:$A$69, RANDBETWEEN(1, COUNTA(event_table!$A$2:$A$69)))</f>
        <v>116</v>
      </c>
      <c r="B1171" s="6">
        <f t="array" ref="B1171">IFERROR(INDEX(event_table!$E$1:$E3686,MATCH(A1171,event_table!$A$1:$A3686,0)),"")
</f>
        <v>1</v>
      </c>
      <c r="C1171" s="7">
        <f t="shared" si="1"/>
        <v>171</v>
      </c>
      <c r="D1171" s="6" t="str">
        <f t="array" ref="D1171">IFERROR(INDEX(user_table!$C$2:$C3686,MATCH(C1171,user_table!$B$2:$B3686,0)),"")
</f>
        <v>Andi Santoso</v>
      </c>
      <c r="E1171" s="6" t="str">
        <f t="array" ref="E1171">IFERROR(INDEX(user_table!$E$2:$E3686,MATCH(C1171,user_table!$B$2:$B3686,0)),"")
</f>
        <v>4, 3</v>
      </c>
      <c r="F1171" s="6" t="str">
        <f t="shared" si="2"/>
        <v>11621171</v>
      </c>
      <c r="G1171" s="16">
        <v>2.0</v>
      </c>
      <c r="H1171" s="17">
        <v>45155.0</v>
      </c>
      <c r="I1171" s="18" t="s">
        <v>1161</v>
      </c>
    </row>
    <row r="1172">
      <c r="A1172" s="5" t="str">
        <f t="array" ref="A1172">INDEX(event_table!$A$2:$A$69, RANDBETWEEN(1, COUNTA(event_table!$A$2:$A$69)))</f>
        <v>3163</v>
      </c>
      <c r="B1172" s="6">
        <f t="array" ref="B1172">IFERROR(INDEX(event_table!$E$1:$E3686,MATCH(A1172,event_table!$A$1:$A3686,0)),"")
</f>
        <v>1</v>
      </c>
      <c r="C1172" s="7">
        <f t="shared" si="1"/>
        <v>156</v>
      </c>
      <c r="D1172" s="6" t="str">
        <f t="array" ref="D1172">IFERROR(INDEX(user_table!$C$2:$C3686,MATCH(C1172,user_table!$B$2:$B3686,0)),"")
</f>
        <v>Lina Kusuma</v>
      </c>
      <c r="E1172" s="6" t="str">
        <f t="array" ref="E1172">IFERROR(INDEX(user_table!$E$2:$E3686,MATCH(C1172,user_table!$B$2:$B3686,0)),"")
</f>
        <v>4, 3</v>
      </c>
      <c r="F1172" s="6" t="str">
        <f t="shared" si="2"/>
        <v>316321156</v>
      </c>
      <c r="G1172" s="16">
        <v>2.0</v>
      </c>
      <c r="H1172" s="17">
        <v>45090.0</v>
      </c>
      <c r="I1172" s="18" t="s">
        <v>1162</v>
      </c>
    </row>
    <row r="1173">
      <c r="A1173" s="5" t="str">
        <f t="array" ref="A1173">INDEX(event_table!$A$2:$A$69, RANDBETWEEN(1, COUNTA(event_table!$A$2:$A$69)))</f>
        <v>116</v>
      </c>
      <c r="B1173" s="6">
        <f t="array" ref="B1173">IFERROR(INDEX(event_table!$E$1:$E3686,MATCH(A1173,event_table!$A$1:$A3686,0)),"")
</f>
        <v>1</v>
      </c>
      <c r="C1173" s="7">
        <f t="shared" si="1"/>
        <v>143</v>
      </c>
      <c r="D1173" s="6" t="str">
        <f t="array" ref="D1173">IFERROR(INDEX(user_table!$C$2:$C3686,MATCH(C1173,user_table!$B$2:$B3686,0)),"")
</f>
        <v>Agus Putri</v>
      </c>
      <c r="E1173" s="6" t="str">
        <f t="array" ref="E1173">IFERROR(INDEX(user_table!$E$2:$E3686,MATCH(C1173,user_table!$B$2:$B3686,0)),"")
</f>
        <v>3, 3</v>
      </c>
      <c r="F1173" s="6" t="str">
        <f t="shared" si="2"/>
        <v>11611143</v>
      </c>
      <c r="G1173" s="16">
        <v>1.0</v>
      </c>
      <c r="H1173" s="17">
        <v>45270.0</v>
      </c>
      <c r="I1173" s="18" t="s">
        <v>1163</v>
      </c>
    </row>
    <row r="1174">
      <c r="A1174" s="5" t="str">
        <f t="array" ref="A1174">INDEX(event_table!$A$2:$A$69, RANDBETWEEN(1, COUNTA(event_table!$A$2:$A$69)))</f>
        <v>1526</v>
      </c>
      <c r="B1174" s="6">
        <f t="array" ref="B1174">IFERROR(INDEX(event_table!$E$1:$E3686,MATCH(A1174,event_table!$A$1:$A3686,0)),"")
</f>
        <v>5</v>
      </c>
      <c r="C1174" s="7">
        <f t="shared" si="1"/>
        <v>118</v>
      </c>
      <c r="D1174" s="6" t="str">
        <f t="array" ref="D1174">IFERROR(INDEX(user_table!$C$2:$C3686,MATCH(C1174,user_table!$B$2:$B3686,0)),"")
</f>
        <v>Ani Santoso</v>
      </c>
      <c r="E1174" s="6" t="str">
        <f t="array" ref="E1174">IFERROR(INDEX(user_table!$E$2:$E3686,MATCH(C1174,user_table!$B$2:$B3686,0)),"")
</f>
        <v>6, 1</v>
      </c>
      <c r="F1174" s="6" t="str">
        <f t="shared" si="2"/>
        <v>152615118</v>
      </c>
      <c r="G1174" s="16">
        <v>1.0</v>
      </c>
      <c r="H1174" s="17">
        <v>45262.0</v>
      </c>
      <c r="I1174" s="18" t="s">
        <v>1164</v>
      </c>
    </row>
    <row r="1175">
      <c r="A1175" s="5" t="str">
        <f t="array" ref="A1175">INDEX(event_table!$A$2:$A$69, RANDBETWEEN(1, COUNTA(event_table!$A$2:$A$69)))</f>
        <v>1643</v>
      </c>
      <c r="B1175" s="6">
        <f t="array" ref="B1175">IFERROR(INDEX(event_table!$E$1:$E3686,MATCH(A1175,event_table!$A$1:$A3686,0)),"")
</f>
        <v>6</v>
      </c>
      <c r="C1175" s="7">
        <f t="shared" si="1"/>
        <v>59</v>
      </c>
      <c r="D1175" s="6" t="str">
        <f t="array" ref="D1175">IFERROR(INDEX(user_table!$C$2:$C3686,MATCH(C1175,user_table!$B$2:$B3686,0)),"")
</f>
        <v>Siti Rahayu</v>
      </c>
      <c r="E1175" s="6" t="str">
        <f t="array" ref="E1175">IFERROR(INDEX(user_table!$E$2:$E3686,MATCH(C1175,user_table!$B$2:$B3686,0)),"")
</f>
        <v>3, 5</v>
      </c>
      <c r="F1175" s="6" t="str">
        <f t="shared" si="2"/>
        <v>16431659</v>
      </c>
      <c r="G1175" s="16">
        <v>1.0</v>
      </c>
      <c r="H1175" s="17">
        <v>45195.0</v>
      </c>
      <c r="I1175" s="18" t="s">
        <v>1165</v>
      </c>
    </row>
    <row r="1176">
      <c r="A1176" s="5" t="str">
        <f t="array" ref="A1176">INDEX(event_table!$A$2:$A$69, RANDBETWEEN(1, COUNTA(event_table!$A$2:$A$69)))</f>
        <v>1644</v>
      </c>
      <c r="B1176" s="6">
        <f t="array" ref="B1176">IFERROR(INDEX(event_table!$E$1:$E3686,MATCH(A1176,event_table!$A$1:$A3686,0)),"")
</f>
        <v>6</v>
      </c>
      <c r="C1176" s="7">
        <f t="shared" si="1"/>
        <v>11</v>
      </c>
      <c r="D1176" s="6" t="str">
        <f t="array" ref="D1176">IFERROR(INDEX(user_table!$C$2:$C3686,MATCH(C1176,user_table!$B$2:$B3686,0)),"")
</f>
        <v>Arif Sari</v>
      </c>
      <c r="E1176" s="6" t="str">
        <f t="array" ref="E1176">IFERROR(INDEX(user_table!$E$2:$E3686,MATCH(C1176,user_table!$B$2:$B3686,0)),"")
</f>
        <v>5, 2</v>
      </c>
      <c r="F1176" s="6" t="str">
        <f t="shared" si="2"/>
        <v>16441611</v>
      </c>
      <c r="G1176" s="16">
        <v>1.0</v>
      </c>
      <c r="H1176" s="17">
        <v>45220.0</v>
      </c>
      <c r="I1176" s="18" t="s">
        <v>1166</v>
      </c>
    </row>
    <row r="1177">
      <c r="A1177" s="5" t="str">
        <f t="array" ref="A1177">INDEX(event_table!$A$2:$A$69, RANDBETWEEN(1, COUNTA(event_table!$A$2:$A$69)))</f>
        <v>1646</v>
      </c>
      <c r="B1177" s="6">
        <f t="array" ref="B1177">IFERROR(INDEX(event_table!$E$1:$E3686,MATCH(A1177,event_table!$A$1:$A3686,0)),"")
</f>
        <v>6</v>
      </c>
      <c r="C1177" s="7">
        <f t="shared" si="1"/>
        <v>46</v>
      </c>
      <c r="D1177" s="6" t="str">
        <f t="array" ref="D1177">IFERROR(INDEX(user_table!$C$2:$C3686,MATCH(C1177,user_table!$B$2:$B3686,0)),"")
</f>
        <v>Dian Wijaya</v>
      </c>
      <c r="E1177" s="6" t="str">
        <f t="array" ref="E1177">IFERROR(INDEX(user_table!$E$2:$E3686,MATCH(C1177,user_table!$B$2:$B3686,0)),"")
</f>
        <v>2, 2</v>
      </c>
      <c r="F1177" s="6" t="str">
        <f t="shared" si="2"/>
        <v>16461646</v>
      </c>
      <c r="G1177" s="16">
        <v>1.0</v>
      </c>
      <c r="H1177" s="17">
        <v>45215.0</v>
      </c>
      <c r="I1177" s="18" t="s">
        <v>1167</v>
      </c>
    </row>
    <row r="1178">
      <c r="A1178" s="5" t="str">
        <f t="array" ref="A1178">INDEX(event_table!$A$2:$A$69, RANDBETWEEN(1, COUNTA(event_table!$A$2:$A$69)))</f>
        <v>1647</v>
      </c>
      <c r="B1178" s="6">
        <f t="array" ref="B1178">IFERROR(INDEX(event_table!$E$1:$E3686,MATCH(A1178,event_table!$A$1:$A3686,0)),"")
</f>
        <v>6</v>
      </c>
      <c r="C1178" s="7">
        <f t="shared" si="1"/>
        <v>72</v>
      </c>
      <c r="D1178" s="6" t="str">
        <f t="array" ref="D1178">IFERROR(INDEX(user_table!$C$2:$C3686,MATCH(C1178,user_table!$B$2:$B3686,0)),"")
</f>
        <v>Wahyu Kurniawan</v>
      </c>
      <c r="E1178" s="6" t="str">
        <f t="array" ref="E1178">IFERROR(INDEX(user_table!$E$2:$E3686,MATCH(C1178,user_table!$B$2:$B3686,0)),"")
</f>
        <v>5, 3</v>
      </c>
      <c r="F1178" s="6" t="str">
        <f t="shared" si="2"/>
        <v>16471672</v>
      </c>
      <c r="G1178" s="16">
        <v>1.0</v>
      </c>
      <c r="H1178" s="17">
        <v>45149.0</v>
      </c>
      <c r="I1178" s="18" t="s">
        <v>1168</v>
      </c>
    </row>
    <row r="1179">
      <c r="A1179" s="5" t="str">
        <f t="array" ref="A1179">INDEX(event_table!$A$2:$A$69, RANDBETWEEN(1, COUNTA(event_table!$A$2:$A$69)))</f>
        <v>1640</v>
      </c>
      <c r="B1179" s="6">
        <f t="array" ref="B1179">IFERROR(INDEX(event_table!$E$1:$E3686,MATCH(A1179,event_table!$A$1:$A3686,0)),"")
</f>
        <v>6</v>
      </c>
      <c r="C1179" s="7">
        <f t="shared" si="1"/>
        <v>165</v>
      </c>
      <c r="D1179" s="6" t="str">
        <f t="array" ref="D1179">IFERROR(INDEX(user_table!$C$2:$C3686,MATCH(C1179,user_table!$B$2:$B3686,0)),"")
</f>
        <v>Agus Pratama</v>
      </c>
      <c r="E1179" s="6" t="str">
        <f t="array" ref="E1179">IFERROR(INDEX(user_table!$E$2:$E3686,MATCH(C1179,user_table!$B$2:$B3686,0)),"")
</f>
        <v>6, 2</v>
      </c>
      <c r="F1179" s="6" t="str">
        <f t="shared" si="2"/>
        <v>164016165</v>
      </c>
      <c r="G1179" s="16">
        <v>1.0</v>
      </c>
      <c r="H1179" s="17">
        <v>45144.0</v>
      </c>
      <c r="I1179" s="18" t="s">
        <v>1169</v>
      </c>
    </row>
    <row r="1180">
      <c r="A1180" s="5" t="str">
        <f t="array" ref="A1180">INDEX(event_table!$A$2:$A$69, RANDBETWEEN(1, COUNTA(event_table!$A$2:$A$69)))</f>
        <v>3170</v>
      </c>
      <c r="B1180" s="6">
        <f t="array" ref="B1180">IFERROR(INDEX(event_table!$E$1:$E3686,MATCH(A1180,event_table!$A$1:$A3686,0)),"")
</f>
        <v>1</v>
      </c>
      <c r="C1180" s="7">
        <f t="shared" si="1"/>
        <v>188</v>
      </c>
      <c r="D1180" s="6" t="str">
        <f t="array" ref="D1180">IFERROR(INDEX(user_table!$C$2:$C3686,MATCH(C1180,user_table!$B$2:$B3686,0)),"")
</f>
        <v>Siti Setiawan</v>
      </c>
      <c r="E1180" s="6" t="str">
        <f t="array" ref="E1180">IFERROR(INDEX(user_table!$E$2:$E3686,MATCH(C1180,user_table!$B$2:$B3686,0)),"")
</f>
        <v>6, 6</v>
      </c>
      <c r="F1180" s="6" t="str">
        <f t="shared" si="2"/>
        <v>317011188</v>
      </c>
      <c r="G1180" s="16">
        <v>1.0</v>
      </c>
      <c r="H1180" s="17">
        <v>45143.0</v>
      </c>
      <c r="I1180" s="18" t="s">
        <v>1170</v>
      </c>
    </row>
    <row r="1181">
      <c r="A1181" s="5" t="str">
        <f t="array" ref="A1181">INDEX(event_table!$A$2:$A$69, RANDBETWEEN(1, COUNTA(event_table!$A$2:$A$69)))</f>
        <v>1526</v>
      </c>
      <c r="B1181" s="6">
        <f t="array" ref="B1181">IFERROR(INDEX(event_table!$E$1:$E3686,MATCH(A1181,event_table!$A$1:$A3686,0)),"")
</f>
        <v>5</v>
      </c>
      <c r="C1181" s="7">
        <f t="shared" si="1"/>
        <v>161</v>
      </c>
      <c r="D1181" s="6" t="str">
        <f t="array" ref="D1181">IFERROR(INDEX(user_table!$C$2:$C3686,MATCH(C1181,user_table!$B$2:$B3686,0)),"")
</f>
        <v>Lina Nugroho</v>
      </c>
      <c r="E1181" s="6" t="str">
        <f t="array" ref="E1181">IFERROR(INDEX(user_table!$E$2:$E3686,MATCH(C1181,user_table!$B$2:$B3686,0)),"")
</f>
        <v>6, 5</v>
      </c>
      <c r="F1181" s="6" t="str">
        <f t="shared" si="2"/>
        <v>152615161</v>
      </c>
      <c r="G1181" s="16">
        <v>1.0</v>
      </c>
      <c r="H1181" s="17">
        <v>45108.0</v>
      </c>
      <c r="I1181" s="18" t="s">
        <v>1171</v>
      </c>
    </row>
    <row r="1182">
      <c r="A1182" s="5" t="str">
        <f t="array" ref="A1182">INDEX(event_table!$A$2:$A$69, RANDBETWEEN(1, COUNTA(event_table!$A$2:$A$69)))</f>
        <v>3169</v>
      </c>
      <c r="B1182" s="6">
        <f t="array" ref="B1182">IFERROR(INDEX(event_table!$E$1:$E3686,MATCH(A1182,event_table!$A$1:$A3686,0)),"")
</f>
        <v>1</v>
      </c>
      <c r="C1182" s="7">
        <f t="shared" si="1"/>
        <v>52</v>
      </c>
      <c r="D1182" s="6" t="str">
        <f t="array" ref="D1182">IFERROR(INDEX(user_table!$C$2:$C3686,MATCH(C1182,user_table!$B$2:$B3686,0)),"")
</f>
        <v>Ani Nurhayati</v>
      </c>
      <c r="E1182" s="6" t="str">
        <f t="array" ref="E1182">IFERROR(INDEX(user_table!$E$2:$E3686,MATCH(C1182,user_table!$B$2:$B3686,0)),"")
</f>
        <v>2, 2</v>
      </c>
      <c r="F1182" s="6" t="str">
        <f t="shared" si="2"/>
        <v>31691152</v>
      </c>
      <c r="G1182" s="16">
        <v>1.0</v>
      </c>
      <c r="H1182" s="17">
        <v>45098.0</v>
      </c>
      <c r="I1182" s="18" t="s">
        <v>1172</v>
      </c>
    </row>
    <row r="1183">
      <c r="A1183" s="5" t="str">
        <f t="array" ref="A1183">INDEX(event_table!$A$2:$A$69, RANDBETWEEN(1, COUNTA(event_table!$A$2:$A$69)))</f>
        <v>1638</v>
      </c>
      <c r="B1183" s="6">
        <f t="array" ref="B1183">IFERROR(INDEX(event_table!$E$1:$E3686,MATCH(A1183,event_table!$A$1:$A3686,0)),"")
</f>
        <v>6</v>
      </c>
      <c r="C1183" s="7">
        <f t="shared" si="1"/>
        <v>128</v>
      </c>
      <c r="D1183" s="6" t="str">
        <f t="array" ref="D1183">IFERROR(INDEX(user_table!$C$2:$C3686,MATCH(C1183,user_table!$B$2:$B3686,0)),"")
</f>
        <v>Bambang Utami</v>
      </c>
      <c r="E1183" s="6" t="str">
        <f t="array" ref="E1183">IFERROR(INDEX(user_table!$E$2:$E3686,MATCH(C1183,user_table!$B$2:$B3686,0)),"")
</f>
        <v>3, 6</v>
      </c>
      <c r="F1183" s="6" t="str">
        <f t="shared" si="2"/>
        <v>163816128</v>
      </c>
      <c r="G1183" s="16">
        <v>1.0</v>
      </c>
      <c r="H1183" s="17">
        <v>45082.0</v>
      </c>
      <c r="I1183" s="18" t="s">
        <v>1173</v>
      </c>
    </row>
    <row r="1184">
      <c r="A1184" s="5" t="str">
        <f t="array" ref="A1184">INDEX(event_table!$A$2:$A$69, RANDBETWEEN(1, COUNTA(event_table!$A$2:$A$69)))</f>
        <v>1637</v>
      </c>
      <c r="B1184" s="6">
        <f t="array" ref="B1184">IFERROR(INDEX(event_table!$E$1:$E3686,MATCH(A1184,event_table!$A$1:$A3686,0)),"")
</f>
        <v>6</v>
      </c>
      <c r="C1184" s="7">
        <f t="shared" si="1"/>
        <v>188</v>
      </c>
      <c r="D1184" s="6" t="str">
        <f t="array" ref="D1184">IFERROR(INDEX(user_table!$C$2:$C3686,MATCH(C1184,user_table!$B$2:$B3686,0)),"")
</f>
        <v>Siti Setiawan</v>
      </c>
      <c r="E1184" s="6" t="str">
        <f t="array" ref="E1184">IFERROR(INDEX(user_table!$E$2:$E3686,MATCH(C1184,user_table!$B$2:$B3686,0)),"")
</f>
        <v>6, 6</v>
      </c>
      <c r="F1184" s="6" t="str">
        <f t="shared" si="2"/>
        <v>163716188</v>
      </c>
      <c r="G1184" s="16">
        <v>1.0</v>
      </c>
      <c r="H1184" s="17">
        <v>45077.0</v>
      </c>
      <c r="I1184" s="18" t="s">
        <v>1174</v>
      </c>
    </row>
    <row r="1185">
      <c r="A1185" s="5" t="str">
        <f t="array" ref="A1185">INDEX(event_table!$A$2:$A$69, RANDBETWEEN(1, COUNTA(event_table!$A$2:$A$69)))</f>
        <v>1553</v>
      </c>
      <c r="B1185" s="6">
        <f t="array" ref="B1185">IFERROR(INDEX(event_table!$E$1:$E3686,MATCH(A1185,event_table!$A$1:$A3686,0)),"")
</f>
        <v>5</v>
      </c>
      <c r="C1185" s="7">
        <f t="shared" si="1"/>
        <v>20</v>
      </c>
      <c r="D1185" s="6" t="str">
        <f t="array" ref="D1185">IFERROR(INDEX(user_table!$C$2:$C3686,MATCH(C1185,user_table!$B$2:$B3686,0)),"")
</f>
        <v>Arif Septiani</v>
      </c>
      <c r="E1185" s="6" t="str">
        <f t="array" ref="E1185">IFERROR(INDEX(user_table!$E$2:$E3686,MATCH(C1185,user_table!$B$2:$B3686,0)),"")
</f>
        <v>6, 3</v>
      </c>
      <c r="F1185" s="6" t="str">
        <f t="shared" si="2"/>
        <v>15531520</v>
      </c>
      <c r="G1185" s="16">
        <v>1.0</v>
      </c>
      <c r="H1185" s="17">
        <v>45052.0</v>
      </c>
      <c r="I1185" s="18" t="s">
        <v>1175</v>
      </c>
    </row>
    <row r="1186">
      <c r="A1186" s="5" t="str">
        <f t="array" ref="A1186">INDEX(event_table!$A$2:$A$69, RANDBETWEEN(1, COUNTA(event_table!$A$2:$A$69)))</f>
        <v>1637</v>
      </c>
      <c r="B1186" s="6">
        <f t="array" ref="B1186">IFERROR(INDEX(event_table!$E$1:$E3686,MATCH(A1186,event_table!$A$1:$A3686,0)),"")
</f>
        <v>6</v>
      </c>
      <c r="C1186" s="7">
        <f t="shared" si="1"/>
        <v>172</v>
      </c>
      <c r="D1186" s="6" t="str">
        <f t="array" ref="D1186">IFERROR(INDEX(user_table!$C$2:$C3686,MATCH(C1186,user_table!$B$2:$B3686,0)),"")
</f>
        <v>Dian Kurniawan</v>
      </c>
      <c r="E1186" s="6" t="str">
        <f t="array" ref="E1186">IFERROR(INDEX(user_table!$E$2:$E3686,MATCH(C1186,user_table!$B$2:$B3686,0)),"")
</f>
        <v>1, 2</v>
      </c>
      <c r="F1186" s="6" t="str">
        <f t="shared" si="2"/>
        <v>163716172</v>
      </c>
      <c r="G1186" s="16">
        <v>1.0</v>
      </c>
      <c r="H1186" s="17">
        <v>45049.0</v>
      </c>
      <c r="I1186" s="18" t="s">
        <v>1176</v>
      </c>
    </row>
    <row r="1187">
      <c r="A1187" s="5" t="str">
        <f t="array" ref="A1187">INDEX(event_table!$A$2:$A$69, RANDBETWEEN(1, COUNTA(event_table!$A$2:$A$69)))</f>
        <v>3455</v>
      </c>
      <c r="B1187" s="6">
        <f t="array" ref="B1187">IFERROR(INDEX(event_table!$E$1:$E3686,MATCH(A1187,event_table!$A$1:$A3686,0)),"")
</f>
        <v>4</v>
      </c>
      <c r="C1187" s="7">
        <f t="shared" si="1"/>
        <v>24</v>
      </c>
      <c r="D1187" s="6" t="str">
        <f t="array" ref="D1187">IFERROR(INDEX(user_table!$C$2:$C3686,MATCH(C1187,user_table!$B$2:$B3686,0)),"")
</f>
        <v>Andi Septiani</v>
      </c>
      <c r="E1187" s="6" t="str">
        <f t="array" ref="E1187">IFERROR(INDEX(user_table!$E$2:$E3686,MATCH(C1187,user_table!$B$2:$B3686,0)),"")
</f>
        <v>2, 2</v>
      </c>
      <c r="F1187" s="6" t="str">
        <f t="shared" si="2"/>
        <v>34551424</v>
      </c>
      <c r="G1187" s="16">
        <v>1.0</v>
      </c>
      <c r="H1187" s="17">
        <v>45041.0</v>
      </c>
      <c r="I1187" s="18" t="s">
        <v>1177</v>
      </c>
    </row>
    <row r="1188">
      <c r="A1188" s="5" t="str">
        <f t="array" ref="A1188">INDEX(event_table!$A$2:$A$69, RANDBETWEEN(1, COUNTA(event_table!$A$2:$A$69)))</f>
        <v>1643</v>
      </c>
      <c r="B1188" s="6">
        <f t="array" ref="B1188">IFERROR(INDEX(event_table!$E$1:$E3686,MATCH(A1188,event_table!$A$1:$A3686,0)),"")
</f>
        <v>6</v>
      </c>
      <c r="C1188" s="7">
        <f t="shared" si="1"/>
        <v>41</v>
      </c>
      <c r="D1188" s="6" t="str">
        <f t="array" ref="D1188">IFERROR(INDEX(user_table!$C$2:$C3686,MATCH(C1188,user_table!$B$2:$B3686,0)),"")
</f>
        <v>Wahyu Susanto</v>
      </c>
      <c r="E1188" s="6" t="str">
        <f t="array" ref="E1188">IFERROR(INDEX(user_table!$E$2:$E3686,MATCH(C1188,user_table!$B$2:$B3686,0)),"")
</f>
        <v>5, 4</v>
      </c>
      <c r="F1188" s="6" t="str">
        <f t="shared" si="2"/>
        <v>16431641</v>
      </c>
      <c r="G1188" s="16">
        <v>1.0</v>
      </c>
      <c r="H1188" s="17">
        <v>45040.0</v>
      </c>
      <c r="I1188" s="18" t="s">
        <v>1178</v>
      </c>
    </row>
    <row r="1189">
      <c r="A1189" s="5" t="str">
        <f t="array" ref="A1189">INDEX(event_table!$A$2:$A$69, RANDBETWEEN(1, COUNTA(event_table!$A$2:$A$69)))</f>
        <v>1645</v>
      </c>
      <c r="B1189" s="6">
        <f t="array" ref="B1189">IFERROR(INDEX(event_table!$E$1:$E3686,MATCH(A1189,event_table!$A$1:$A3686,0)),"")
</f>
        <v>6</v>
      </c>
      <c r="C1189" s="7">
        <f t="shared" si="1"/>
        <v>149</v>
      </c>
      <c r="D1189" s="6" t="str">
        <f t="array" ref="D1189">IFERROR(INDEX(user_table!$C$2:$C3686,MATCH(C1189,user_table!$B$2:$B3686,0)),"")
</f>
        <v>Dian Setiawan</v>
      </c>
      <c r="E1189" s="6" t="str">
        <f t="array" ref="E1189">IFERROR(INDEX(user_table!$E$2:$E3686,MATCH(C1189,user_table!$B$2:$B3686,0)),"")
</f>
        <v>2, 4</v>
      </c>
      <c r="F1189" s="6" t="str">
        <f t="shared" si="2"/>
        <v>164516149</v>
      </c>
      <c r="G1189" s="16">
        <v>1.0</v>
      </c>
      <c r="H1189" s="17">
        <v>45030.0</v>
      </c>
      <c r="I1189" s="18" t="s">
        <v>1179</v>
      </c>
    </row>
    <row r="1190">
      <c r="A1190" s="5" t="str">
        <f t="array" ref="A1190">INDEX(event_table!$A$2:$A$69, RANDBETWEEN(1, COUNTA(event_table!$A$2:$A$69)))</f>
        <v>1333</v>
      </c>
      <c r="B1190" s="6">
        <f t="array" ref="B1190">IFERROR(INDEX(event_table!$E$1:$E3686,MATCH(A1190,event_table!$A$1:$A3686,0)),"")
</f>
        <v>3</v>
      </c>
      <c r="C1190" s="7">
        <f t="shared" si="1"/>
        <v>125</v>
      </c>
      <c r="D1190" s="6" t="str">
        <f t="array" ref="D1190">IFERROR(INDEX(user_table!$C$2:$C3686,MATCH(C1190,user_table!$B$2:$B3686,0)),"")
</f>
        <v>Fandi Hidayat</v>
      </c>
      <c r="E1190" s="6" t="str">
        <f t="array" ref="E1190">IFERROR(INDEX(user_table!$E$2:$E3686,MATCH(C1190,user_table!$B$2:$B3686,0)),"")
</f>
        <v>5, 2</v>
      </c>
      <c r="F1190" s="6" t="str">
        <f t="shared" si="2"/>
        <v>133353125</v>
      </c>
      <c r="G1190" s="16">
        <v>5.0</v>
      </c>
      <c r="H1190" s="17">
        <v>44747.0</v>
      </c>
      <c r="I1190" s="18" t="s">
        <v>1180</v>
      </c>
    </row>
    <row r="1191">
      <c r="A1191" s="5" t="str">
        <f t="array" ref="A1191">INDEX(event_table!$A$2:$A$69, RANDBETWEEN(1, COUNTA(event_table!$A$2:$A$69)))</f>
        <v>1111</v>
      </c>
      <c r="B1191" s="6">
        <f t="array" ref="B1191">IFERROR(INDEX(event_table!$E$1:$E3686,MATCH(A1191,event_table!$A$1:$A3686,0)),"")
</f>
        <v>1</v>
      </c>
      <c r="C1191" s="7">
        <f t="shared" si="1"/>
        <v>175</v>
      </c>
      <c r="D1191" s="6" t="str">
        <f t="array" ref="D1191">IFERROR(INDEX(user_table!$C$2:$C3686,MATCH(C1191,user_table!$B$2:$B3686,0)),"")
</f>
        <v>Siti Septiani</v>
      </c>
      <c r="E1191" s="6" t="str">
        <f t="array" ref="E1191">IFERROR(INDEX(user_table!$E$2:$E3686,MATCH(C1191,user_table!$B$2:$B3686,0)),"")
</f>
        <v>2, 5</v>
      </c>
      <c r="F1191" s="6" t="str">
        <f t="shared" si="2"/>
        <v>111151175</v>
      </c>
      <c r="G1191" s="16">
        <v>5.0</v>
      </c>
      <c r="H1191" s="17">
        <v>44732.0</v>
      </c>
      <c r="I1191" s="18" t="s">
        <v>1181</v>
      </c>
    </row>
    <row r="1192">
      <c r="A1192" s="5" t="str">
        <f t="array" ref="A1192">INDEX(event_table!$A$2:$A$69, RANDBETWEEN(1, COUNTA(event_table!$A$2:$A$69)))</f>
        <v>115</v>
      </c>
      <c r="B1192" s="6">
        <f t="array" ref="B1192">IFERROR(INDEX(event_table!$E$1:$E3686,MATCH(A1192,event_table!$A$1:$A3686,0)),"")
</f>
        <v>1</v>
      </c>
      <c r="C1192" s="7">
        <f t="shared" si="1"/>
        <v>139</v>
      </c>
      <c r="D1192" s="6" t="str">
        <f t="array" ref="D1192">IFERROR(INDEX(user_table!$C$2:$C3686,MATCH(C1192,user_table!$B$2:$B3686,0)),"")
</f>
        <v>Sinta Kurniawan</v>
      </c>
      <c r="E1192" s="6" t="str">
        <f t="array" ref="E1192">IFERROR(INDEX(user_table!$E$2:$E3686,MATCH(C1192,user_table!$B$2:$B3686,0)),"")
</f>
        <v>4, 6</v>
      </c>
      <c r="F1192" s="6" t="str">
        <f t="shared" si="2"/>
        <v>11551139</v>
      </c>
      <c r="G1192" s="16">
        <v>5.0</v>
      </c>
      <c r="H1192" s="17">
        <v>44725.0</v>
      </c>
      <c r="I1192" s="18" t="s">
        <v>1182</v>
      </c>
    </row>
    <row r="1193">
      <c r="A1193" s="5" t="str">
        <f t="array" ref="A1193">INDEX(event_table!$A$2:$A$69, RANDBETWEEN(1, COUNTA(event_table!$A$2:$A$69)))</f>
        <v>1529</v>
      </c>
      <c r="B1193" s="6">
        <f t="array" ref="B1193">IFERROR(INDEX(event_table!$E$1:$E3686,MATCH(A1193,event_table!$A$1:$A3686,0)),"")
</f>
        <v>5</v>
      </c>
      <c r="C1193" s="7">
        <f t="shared" si="1"/>
        <v>132</v>
      </c>
      <c r="D1193" s="6" t="str">
        <f t="array" ref="D1193">IFERROR(INDEX(user_table!$C$2:$C3686,MATCH(C1193,user_table!$B$2:$B3686,0)),"")
</f>
        <v>Joko Hartono</v>
      </c>
      <c r="E1193" s="6" t="str">
        <f t="array" ref="E1193">IFERROR(INDEX(user_table!$E$2:$E3686,MATCH(C1193,user_table!$B$2:$B3686,0)),"")
</f>
        <v>1, 3</v>
      </c>
      <c r="F1193" s="6" t="str">
        <f t="shared" si="2"/>
        <v>152955132</v>
      </c>
      <c r="G1193" s="16">
        <v>5.0</v>
      </c>
      <c r="H1193" s="17">
        <v>44724.0</v>
      </c>
      <c r="I1193" s="18" t="s">
        <v>1183</v>
      </c>
    </row>
    <row r="1194">
      <c r="A1194" s="5" t="str">
        <f t="array" ref="A1194">INDEX(event_table!$A$2:$A$69, RANDBETWEEN(1, COUNTA(event_table!$A$2:$A$69)))</f>
        <v>1553</v>
      </c>
      <c r="B1194" s="6">
        <f t="array" ref="B1194">IFERROR(INDEX(event_table!$E$1:$E3686,MATCH(A1194,event_table!$A$1:$A3686,0)),"")
</f>
        <v>5</v>
      </c>
      <c r="C1194" s="7">
        <f t="shared" si="1"/>
        <v>14</v>
      </c>
      <c r="D1194" s="6" t="str">
        <f t="array" ref="D1194">IFERROR(INDEX(user_table!$C$2:$C3686,MATCH(C1194,user_table!$B$2:$B3686,0)),"")
</f>
        <v>Ani Purnama</v>
      </c>
      <c r="E1194" s="6" t="str">
        <f t="array" ref="E1194">IFERROR(INDEX(user_table!$E$2:$E3686,MATCH(C1194,user_table!$B$2:$B3686,0)),"")
</f>
        <v>6, 2</v>
      </c>
      <c r="F1194" s="6" t="str">
        <f t="shared" si="2"/>
        <v>15535514</v>
      </c>
      <c r="G1194" s="16">
        <v>5.0</v>
      </c>
      <c r="H1194" s="17">
        <v>44712.0</v>
      </c>
      <c r="I1194" s="18" t="s">
        <v>1184</v>
      </c>
    </row>
    <row r="1195">
      <c r="A1195" s="5" t="str">
        <f t="array" ref="A1195">INDEX(event_table!$A$2:$A$69, RANDBETWEEN(1, COUNTA(event_table!$A$2:$A$69)))</f>
        <v>1646</v>
      </c>
      <c r="B1195" s="6">
        <f t="array" ref="B1195">IFERROR(INDEX(event_table!$E$1:$E3686,MATCH(A1195,event_table!$A$1:$A3686,0)),"")
</f>
        <v>6</v>
      </c>
      <c r="C1195" s="7">
        <f t="shared" si="1"/>
        <v>192</v>
      </c>
      <c r="D1195" s="6" t="str">
        <f t="array" ref="D1195">IFERROR(INDEX(user_table!$C$2:$C3686,MATCH(C1195,user_table!$B$2:$B3686,0)),"")
</f>
        <v>Joko Hadiwijaya</v>
      </c>
      <c r="E1195" s="6" t="str">
        <f t="array" ref="E1195">IFERROR(INDEX(user_table!$E$2:$E3686,MATCH(C1195,user_table!$B$2:$B3686,0)),"")
</f>
        <v>1, 3</v>
      </c>
      <c r="F1195" s="6" t="str">
        <f t="shared" si="2"/>
        <v>164656192</v>
      </c>
      <c r="G1195" s="16">
        <v>5.0</v>
      </c>
      <c r="H1195" s="17">
        <v>44711.0</v>
      </c>
      <c r="I1195" s="18" t="s">
        <v>1185</v>
      </c>
    </row>
    <row r="1196">
      <c r="A1196" s="5" t="str">
        <f t="array" ref="A1196">INDEX(event_table!$A$2:$A$69, RANDBETWEEN(1, COUNTA(event_table!$A$2:$A$69)))</f>
        <v>119</v>
      </c>
      <c r="B1196" s="6">
        <f t="array" ref="B1196">IFERROR(INDEX(event_table!$E$1:$E3686,MATCH(A1196,event_table!$A$1:$A3686,0)),"")
</f>
        <v>1</v>
      </c>
      <c r="C1196" s="7">
        <f t="shared" si="1"/>
        <v>182</v>
      </c>
      <c r="D1196" s="6" t="str">
        <f t="array" ref="D1196">IFERROR(INDEX(user_table!$C$2:$C3686,MATCH(C1196,user_table!$B$2:$B3686,0)),"")
</f>
        <v>Siti Utami</v>
      </c>
      <c r="E1196" s="6" t="str">
        <f t="array" ref="E1196">IFERROR(INDEX(user_table!$E$2:$E3686,MATCH(C1196,user_table!$B$2:$B3686,0)),"")
</f>
        <v>5, 4</v>
      </c>
      <c r="F1196" s="6" t="str">
        <f t="shared" si="2"/>
        <v>11951182</v>
      </c>
      <c r="G1196" s="16">
        <v>5.0</v>
      </c>
      <c r="H1196" s="17">
        <v>44697.0</v>
      </c>
      <c r="I1196" s="18" t="s">
        <v>1186</v>
      </c>
    </row>
    <row r="1197">
      <c r="A1197" s="5" t="str">
        <f t="array" ref="A1197">INDEX(event_table!$A$2:$A$69, RANDBETWEEN(1, COUNTA(event_table!$A$2:$A$69)))</f>
        <v>1332</v>
      </c>
      <c r="B1197" s="6">
        <f t="array" ref="B1197">IFERROR(INDEX(event_table!$E$1:$E3686,MATCH(A1197,event_table!$A$1:$A3686,0)),"")
</f>
        <v>3</v>
      </c>
      <c r="C1197" s="7">
        <f t="shared" si="1"/>
        <v>91</v>
      </c>
      <c r="D1197" s="6" t="str">
        <f t="array" ref="D1197">IFERROR(INDEX(user_table!$C$2:$C3686,MATCH(C1197,user_table!$B$2:$B3686,0)),"")
</f>
        <v>Bambang Wijaya</v>
      </c>
      <c r="E1197" s="6" t="str">
        <f t="array" ref="E1197">IFERROR(INDEX(user_table!$E$2:$E3686,MATCH(C1197,user_table!$B$2:$B3686,0)),"")
</f>
        <v>1, 2</v>
      </c>
      <c r="F1197" s="6" t="str">
        <f t="shared" si="2"/>
        <v>13325391</v>
      </c>
      <c r="G1197" s="16">
        <v>5.0</v>
      </c>
      <c r="H1197" s="17">
        <v>44697.0</v>
      </c>
      <c r="I1197" s="18" t="s">
        <v>1187</v>
      </c>
    </row>
    <row r="1198">
      <c r="A1198" s="5" t="str">
        <f t="array" ref="A1198">INDEX(event_table!$A$2:$A$69, RANDBETWEEN(1, COUNTA(event_table!$A$2:$A$69)))</f>
        <v>122</v>
      </c>
      <c r="B1198" s="6">
        <f t="array" ref="B1198">IFERROR(INDEX(event_table!$E$1:$E3686,MATCH(A1198,event_table!$A$1:$A3686,0)),"")
</f>
        <v>2</v>
      </c>
      <c r="C1198" s="7">
        <f t="shared" si="1"/>
        <v>192</v>
      </c>
      <c r="D1198" s="6" t="str">
        <f t="array" ref="D1198">IFERROR(INDEX(user_table!$C$2:$C3686,MATCH(C1198,user_table!$B$2:$B3686,0)),"")
</f>
        <v>Joko Hadiwijaya</v>
      </c>
      <c r="E1198" s="6" t="str">
        <f t="array" ref="E1198">IFERROR(INDEX(user_table!$E$2:$E3686,MATCH(C1198,user_table!$B$2:$B3686,0)),"")
</f>
        <v>1, 3</v>
      </c>
      <c r="F1198" s="6" t="str">
        <f t="shared" si="2"/>
        <v>12252192</v>
      </c>
      <c r="G1198" s="16">
        <v>5.0</v>
      </c>
      <c r="H1198" s="17">
        <v>44694.0</v>
      </c>
      <c r="I1198" s="18" t="s">
        <v>1188</v>
      </c>
    </row>
    <row r="1199">
      <c r="A1199" s="5" t="str">
        <f t="array" ref="A1199">INDEX(event_table!$A$2:$A$69, RANDBETWEEN(1, COUNTA(event_table!$A$2:$A$69)))</f>
        <v>1636</v>
      </c>
      <c r="B1199" s="6">
        <f t="array" ref="B1199">IFERROR(INDEX(event_table!$E$1:$E3686,MATCH(A1199,event_table!$A$1:$A3686,0)),"")
</f>
        <v>6</v>
      </c>
      <c r="C1199" s="7">
        <f t="shared" si="1"/>
        <v>18</v>
      </c>
      <c r="D1199" s="6" t="str">
        <f t="array" ref="D1199">IFERROR(INDEX(user_table!$C$2:$C3686,MATCH(C1199,user_table!$B$2:$B3686,0)),"")
</f>
        <v>Rudi Santoso</v>
      </c>
      <c r="E1199" s="6" t="str">
        <f t="array" ref="E1199">IFERROR(INDEX(user_table!$E$2:$E3686,MATCH(C1199,user_table!$B$2:$B3686,0)),"")
</f>
        <v>4, 2</v>
      </c>
      <c r="F1199" s="6" t="str">
        <f t="shared" si="2"/>
        <v>16365618</v>
      </c>
      <c r="G1199" s="16">
        <v>5.0</v>
      </c>
      <c r="H1199" s="17">
        <v>44845.0</v>
      </c>
      <c r="I1199" s="18" t="s">
        <v>1189</v>
      </c>
    </row>
    <row r="1200">
      <c r="A1200" s="5" t="str">
        <f t="array" ref="A1200">INDEX(event_table!$A$2:$A$69, RANDBETWEEN(1, COUNTA(event_table!$A$2:$A$69)))</f>
        <v>1645</v>
      </c>
      <c r="B1200" s="6">
        <f t="array" ref="B1200">IFERROR(INDEX(event_table!$E$1:$E3686,MATCH(A1200,event_table!$A$1:$A3686,0)),"")
</f>
        <v>6</v>
      </c>
      <c r="C1200" s="7">
        <f t="shared" si="1"/>
        <v>146</v>
      </c>
      <c r="D1200" s="6" t="str">
        <f t="array" ref="D1200">IFERROR(INDEX(user_table!$C$2:$C3686,MATCH(C1200,user_table!$B$2:$B3686,0)),"")
</f>
        <v>Rudi Susanto</v>
      </c>
      <c r="E1200" s="6" t="str">
        <f t="array" ref="E1200">IFERROR(INDEX(user_table!$E$2:$E3686,MATCH(C1200,user_table!$B$2:$B3686,0)),"")
</f>
        <v>6, 1</v>
      </c>
      <c r="F1200" s="6" t="str">
        <f t="shared" si="2"/>
        <v>164556146</v>
      </c>
      <c r="G1200" s="16">
        <v>5.0</v>
      </c>
      <c r="H1200" s="17">
        <v>44697.0</v>
      </c>
      <c r="I1200" s="18" t="s">
        <v>1190</v>
      </c>
    </row>
    <row r="1201">
      <c r="A1201" s="5" t="str">
        <f t="array" ref="A1201">INDEX(event_table!$A$2:$A$69, RANDBETWEEN(1, COUNTA(event_table!$A$2:$A$69)))</f>
        <v>3356</v>
      </c>
      <c r="B1201" s="6">
        <f t="array" ref="B1201">IFERROR(INDEX(event_table!$E$1:$E3686,MATCH(A1201,event_table!$A$1:$A3686,0)),"")
</f>
        <v>3</v>
      </c>
      <c r="C1201" s="7">
        <f t="shared" si="1"/>
        <v>167</v>
      </c>
      <c r="D1201" s="6" t="str">
        <f t="array" ref="D1201">IFERROR(INDEX(user_table!$C$2:$C3686,MATCH(C1201,user_table!$B$2:$B3686,0)),"")
</f>
        <v>Fandi Hermawan</v>
      </c>
      <c r="E1201" s="6" t="str">
        <f t="array" ref="E1201">IFERROR(INDEX(user_table!$E$2:$E3686,MATCH(C1201,user_table!$B$2:$B3686,0)),"")
</f>
        <v>3, 1</v>
      </c>
      <c r="F1201" s="6" t="str">
        <f t="shared" si="2"/>
        <v>335643167</v>
      </c>
      <c r="G1201" s="16">
        <v>4.0</v>
      </c>
      <c r="H1201" s="17">
        <v>45082.0</v>
      </c>
      <c r="I1201" s="18" t="s">
        <v>1191</v>
      </c>
    </row>
    <row r="1202">
      <c r="A1202" s="5" t="str">
        <f t="array" ref="A1202">INDEX(event_table!$A$2:$A$69, RANDBETWEEN(1, COUNTA(event_table!$A$2:$A$69)))</f>
        <v>3168</v>
      </c>
      <c r="B1202" s="6">
        <f t="array" ref="B1202">IFERROR(INDEX(event_table!$E$1:$E3686,MATCH(A1202,event_table!$A$1:$A3686,0)),"")
</f>
        <v>1</v>
      </c>
      <c r="C1202" s="7">
        <f t="shared" si="1"/>
        <v>127</v>
      </c>
      <c r="D1202" s="6" t="str">
        <f t="array" ref="D1202">IFERROR(INDEX(user_table!$C$2:$C3686,MATCH(C1202,user_table!$B$2:$B3686,0)),"")
</f>
        <v>Sinta Wijaya</v>
      </c>
      <c r="E1202" s="6" t="str">
        <f t="array" ref="E1202">IFERROR(INDEX(user_table!$E$2:$E3686,MATCH(C1202,user_table!$B$2:$B3686,0)),"")
</f>
        <v>6, 4</v>
      </c>
      <c r="F1202" s="6" t="str">
        <f t="shared" si="2"/>
        <v>316841127</v>
      </c>
      <c r="G1202" s="16">
        <v>4.0</v>
      </c>
      <c r="H1202" s="17">
        <v>45100.0</v>
      </c>
      <c r="I1202" s="18" t="s">
        <v>1192</v>
      </c>
    </row>
    <row r="1203">
      <c r="A1203" s="5" t="str">
        <f t="array" ref="A1203">INDEX(event_table!$A$2:$A$69, RANDBETWEEN(1, COUNTA(event_table!$A$2:$A$69)))</f>
        <v>1636</v>
      </c>
      <c r="B1203" s="6">
        <f t="array" ref="B1203">IFERROR(INDEX(event_table!$E$1:$E3686,MATCH(A1203,event_table!$A$1:$A3686,0)),"")
</f>
        <v>6</v>
      </c>
      <c r="C1203" s="7">
        <f t="shared" si="1"/>
        <v>75</v>
      </c>
      <c r="D1203" s="6" t="str">
        <f t="array" ref="D1203">IFERROR(INDEX(user_table!$C$2:$C3686,MATCH(C1203,user_table!$B$2:$B3686,0)),"")
</f>
        <v>Citra Sari</v>
      </c>
      <c r="E1203" s="6" t="str">
        <f t="array" ref="E1203">IFERROR(INDEX(user_table!$E$2:$E3686,MATCH(C1203,user_table!$B$2:$B3686,0)),"")
</f>
        <v>2, 5</v>
      </c>
      <c r="F1203" s="6" t="str">
        <f t="shared" si="2"/>
        <v>16364675</v>
      </c>
      <c r="G1203" s="16">
        <v>4.0</v>
      </c>
      <c r="H1203" s="17">
        <v>44744.0</v>
      </c>
      <c r="I1203" s="18" t="s">
        <v>1193</v>
      </c>
    </row>
    <row r="1204">
      <c r="A1204" s="5" t="str">
        <f t="array" ref="A1204">INDEX(event_table!$A$2:$A$69, RANDBETWEEN(1, COUNTA(event_table!$A$2:$A$69)))</f>
        <v>1649</v>
      </c>
      <c r="B1204" s="6">
        <f t="array" ref="B1204">IFERROR(INDEX(event_table!$E$1:$E3686,MATCH(A1204,event_table!$A$1:$A3686,0)),"")
</f>
        <v>6</v>
      </c>
      <c r="C1204" s="7">
        <f t="shared" si="1"/>
        <v>73</v>
      </c>
      <c r="D1204" s="6" t="str">
        <f t="array" ref="D1204">IFERROR(INDEX(user_table!$C$2:$C3686,MATCH(C1204,user_table!$B$2:$B3686,0)),"")
</f>
        <v>Hadi Santoso</v>
      </c>
      <c r="E1204" s="6" t="str">
        <f t="array" ref="E1204">IFERROR(INDEX(user_table!$E$2:$E3686,MATCH(C1204,user_table!$B$2:$B3686,0)),"")
</f>
        <v>6, 3</v>
      </c>
      <c r="F1204" s="6" t="str">
        <f t="shared" si="2"/>
        <v>16494673</v>
      </c>
      <c r="G1204" s="16">
        <v>4.0</v>
      </c>
      <c r="H1204" s="17">
        <v>44742.0</v>
      </c>
      <c r="I1204" s="18" t="s">
        <v>1194</v>
      </c>
    </row>
    <row r="1205">
      <c r="A1205" s="5" t="str">
        <f t="array" ref="A1205">INDEX(event_table!$A$2:$A$69, RANDBETWEEN(1, COUNTA(event_table!$A$2:$A$69)))</f>
        <v>119</v>
      </c>
      <c r="B1205" s="6">
        <f t="array" ref="B1205">IFERROR(INDEX(event_table!$E$1:$E3686,MATCH(A1205,event_table!$A$1:$A3686,0)),"")
</f>
        <v>1</v>
      </c>
      <c r="C1205" s="7">
        <f t="shared" si="1"/>
        <v>130</v>
      </c>
      <c r="D1205" s="6" t="str">
        <f t="array" ref="D1205">IFERROR(INDEX(user_table!$C$2:$C3686,MATCH(C1205,user_table!$B$2:$B3686,0)),"")
</f>
        <v>Andi Putri</v>
      </c>
      <c r="E1205" s="6" t="str">
        <f t="array" ref="E1205">IFERROR(INDEX(user_table!$E$2:$E3686,MATCH(C1205,user_table!$B$2:$B3686,0)),"")
</f>
        <v>2, 3</v>
      </c>
      <c r="F1205" s="6" t="str">
        <f t="shared" si="2"/>
        <v>11931130</v>
      </c>
      <c r="G1205" s="16">
        <v>3.0</v>
      </c>
      <c r="H1205" s="17">
        <v>44808.0</v>
      </c>
      <c r="I1205" s="18" t="s">
        <v>1195</v>
      </c>
    </row>
    <row r="1206">
      <c r="A1206" s="5" t="str">
        <f t="array" ref="A1206">INDEX(event_table!$A$2:$A$69, RANDBETWEEN(1, COUNTA(event_table!$A$2:$A$69)))</f>
        <v>3658</v>
      </c>
      <c r="B1206" s="6">
        <f t="array" ref="B1206">IFERROR(INDEX(event_table!$E$1:$E3686,MATCH(A1206,event_table!$A$1:$A3686,0)),"")
</f>
        <v>6</v>
      </c>
      <c r="C1206" s="7">
        <f t="shared" si="1"/>
        <v>34</v>
      </c>
      <c r="D1206" s="6" t="str">
        <f t="array" ref="D1206">IFERROR(INDEX(user_table!$C$2:$C3686,MATCH(C1206,user_table!$B$2:$B3686,0)),"")
</f>
        <v>Bambang Putri</v>
      </c>
      <c r="E1206" s="6" t="str">
        <f t="array" ref="E1206">IFERROR(INDEX(user_table!$E$2:$E3686,MATCH(C1206,user_table!$B$2:$B3686,0)),"")
</f>
        <v>3, 5</v>
      </c>
      <c r="F1206" s="6" t="str">
        <f t="shared" si="2"/>
        <v>36583634</v>
      </c>
      <c r="G1206" s="16">
        <v>3.0</v>
      </c>
      <c r="H1206" s="17">
        <v>45219.0</v>
      </c>
      <c r="I1206" s="18" t="s">
        <v>1196</v>
      </c>
    </row>
    <row r="1207">
      <c r="A1207" s="5" t="str">
        <f t="array" ref="A1207">INDEX(event_table!$A$2:$A$69, RANDBETWEEN(1, COUNTA(event_table!$A$2:$A$69)))</f>
        <v>1526</v>
      </c>
      <c r="B1207" s="6">
        <f t="array" ref="B1207">IFERROR(INDEX(event_table!$E$1:$E3686,MATCH(A1207,event_table!$A$1:$A3686,0)),"")
</f>
        <v>5</v>
      </c>
      <c r="C1207" s="7">
        <f t="shared" si="1"/>
        <v>150</v>
      </c>
      <c r="D1207" s="6" t="str">
        <f t="array" ref="D1207">IFERROR(INDEX(user_table!$C$2:$C3686,MATCH(C1207,user_table!$B$2:$B3686,0)),"")
</f>
        <v>Dina Susanto</v>
      </c>
      <c r="E1207" s="6" t="str">
        <f t="array" ref="E1207">IFERROR(INDEX(user_table!$E$2:$E3686,MATCH(C1207,user_table!$B$2:$B3686,0)),"")
</f>
        <v>2, 6</v>
      </c>
      <c r="F1207" s="6" t="str">
        <f t="shared" si="2"/>
        <v>152635150</v>
      </c>
      <c r="G1207" s="16">
        <v>3.0</v>
      </c>
      <c r="H1207" s="17">
        <v>45147.0</v>
      </c>
      <c r="I1207" s="18" t="s">
        <v>914</v>
      </c>
    </row>
    <row r="1208">
      <c r="A1208" s="5" t="str">
        <f t="array" ref="A1208">INDEX(event_table!$A$2:$A$69, RANDBETWEEN(1, COUNTA(event_table!$A$2:$A$69)))</f>
        <v>1637</v>
      </c>
      <c r="B1208" s="6">
        <f t="array" ref="B1208">IFERROR(INDEX(event_table!$E$1:$E3686,MATCH(A1208,event_table!$A$1:$A3686,0)),"")
</f>
        <v>6</v>
      </c>
      <c r="C1208" s="7">
        <f t="shared" si="1"/>
        <v>184</v>
      </c>
      <c r="D1208" s="6" t="str">
        <f t="array" ref="D1208">IFERROR(INDEX(user_table!$C$2:$C3686,MATCH(C1208,user_table!$B$2:$B3686,0)),"")
</f>
        <v>Dewi Hadiwijaya</v>
      </c>
      <c r="E1208" s="6" t="str">
        <f t="array" ref="E1208">IFERROR(INDEX(user_table!$E$2:$E3686,MATCH(C1208,user_table!$B$2:$B3686,0)),"")
</f>
        <v>2, 1</v>
      </c>
      <c r="F1208" s="6" t="str">
        <f t="shared" si="2"/>
        <v>163726184</v>
      </c>
      <c r="G1208" s="16">
        <v>2.0</v>
      </c>
      <c r="H1208" s="17">
        <v>45104.0</v>
      </c>
      <c r="I1208" s="18" t="s">
        <v>1197</v>
      </c>
    </row>
    <row r="1209">
      <c r="A1209" s="5" t="str">
        <f t="array" ref="A1209">INDEX(event_table!$A$2:$A$69, RANDBETWEEN(1, COUNTA(event_table!$A$2:$A$69)))</f>
        <v>3167</v>
      </c>
      <c r="B1209" s="6">
        <f t="array" ref="B1209">IFERROR(INDEX(event_table!$E$1:$E3686,MATCH(A1209,event_table!$A$1:$A3686,0)),"")
</f>
        <v>1</v>
      </c>
      <c r="C1209" s="7">
        <f t="shared" si="1"/>
        <v>34</v>
      </c>
      <c r="D1209" s="6" t="str">
        <f t="array" ref="D1209">IFERROR(INDEX(user_table!$C$2:$C3686,MATCH(C1209,user_table!$B$2:$B3686,0)),"")
</f>
        <v>Bambang Putri</v>
      </c>
      <c r="E1209" s="6" t="str">
        <f t="array" ref="E1209">IFERROR(INDEX(user_table!$E$2:$E3686,MATCH(C1209,user_table!$B$2:$B3686,0)),"")
</f>
        <v>3, 5</v>
      </c>
      <c r="F1209" s="6" t="str">
        <f t="shared" si="2"/>
        <v>31672134</v>
      </c>
      <c r="G1209" s="16">
        <v>2.0</v>
      </c>
      <c r="H1209" s="17">
        <v>45084.0</v>
      </c>
      <c r="I1209" s="18" t="s">
        <v>1198</v>
      </c>
    </row>
    <row r="1210">
      <c r="A1210" s="5" t="str">
        <f t="array" ref="A1210">INDEX(event_table!$A$2:$A$69, RANDBETWEEN(1, COUNTA(event_table!$A$2:$A$69)))</f>
        <v>1424</v>
      </c>
      <c r="B1210" s="6">
        <f t="array" ref="B1210">IFERROR(INDEX(event_table!$E$1:$E3686,MATCH(A1210,event_table!$A$1:$A3686,0)),"")
</f>
        <v>4</v>
      </c>
      <c r="C1210" s="7">
        <f t="shared" si="1"/>
        <v>144</v>
      </c>
      <c r="D1210" s="6" t="str">
        <f t="array" ref="D1210">IFERROR(INDEX(user_table!$C$2:$C3686,MATCH(C1210,user_table!$B$2:$B3686,0)),"")
</f>
        <v>Sinta Rahayu</v>
      </c>
      <c r="E1210" s="6" t="str">
        <f t="array" ref="E1210">IFERROR(INDEX(user_table!$E$2:$E3686,MATCH(C1210,user_table!$B$2:$B3686,0)),"")
</f>
        <v>6, 3</v>
      </c>
      <c r="F1210" s="6" t="str">
        <f t="shared" si="2"/>
        <v>142424144</v>
      </c>
      <c r="G1210" s="16">
        <v>2.0</v>
      </c>
      <c r="H1210" s="17">
        <v>44859.0</v>
      </c>
      <c r="I1210" s="18" t="s">
        <v>1199</v>
      </c>
    </row>
    <row r="1211">
      <c r="A1211" s="5" t="str">
        <f t="array" ref="A1211">INDEX(event_table!$A$2:$A$69, RANDBETWEEN(1, COUNTA(event_table!$A$2:$A$69)))</f>
        <v>3167</v>
      </c>
      <c r="B1211" s="6">
        <f t="array" ref="B1211">IFERROR(INDEX(event_table!$E$1:$E3686,MATCH(A1211,event_table!$A$1:$A3686,0)),"")
</f>
        <v>1</v>
      </c>
      <c r="C1211" s="7">
        <f t="shared" si="1"/>
        <v>175</v>
      </c>
      <c r="D1211" s="6" t="str">
        <f t="array" ref="D1211">IFERROR(INDEX(user_table!$C$2:$C3686,MATCH(C1211,user_table!$B$2:$B3686,0)),"")
</f>
        <v>Siti Septiani</v>
      </c>
      <c r="E1211" s="6" t="str">
        <f t="array" ref="E1211">IFERROR(INDEX(user_table!$E$2:$E3686,MATCH(C1211,user_table!$B$2:$B3686,0)),"")
</f>
        <v>2, 5</v>
      </c>
      <c r="F1211" s="6" t="str">
        <f t="shared" si="2"/>
        <v>316721175</v>
      </c>
      <c r="G1211" s="16">
        <v>2.0</v>
      </c>
      <c r="H1211" s="17">
        <v>45272.0</v>
      </c>
      <c r="I1211" s="18" t="s">
        <v>1200</v>
      </c>
    </row>
    <row r="1212">
      <c r="A1212" s="5" t="str">
        <f t="array" ref="A1212">INDEX(event_table!$A$2:$A$69, RANDBETWEEN(1, COUNTA(event_table!$A$2:$A$69)))</f>
        <v>1421</v>
      </c>
      <c r="B1212" s="6">
        <f t="array" ref="B1212">IFERROR(INDEX(event_table!$E$1:$E3686,MATCH(A1212,event_table!$A$1:$A3686,0)),"")
</f>
        <v>4</v>
      </c>
      <c r="C1212" s="7">
        <f t="shared" si="1"/>
        <v>136</v>
      </c>
      <c r="D1212" s="6" t="str">
        <f t="array" ref="D1212">IFERROR(INDEX(user_table!$C$2:$C3686,MATCH(C1212,user_table!$B$2:$B3686,0)),"")
</f>
        <v>Fandi Purnama</v>
      </c>
      <c r="E1212" s="6" t="str">
        <f t="array" ref="E1212">IFERROR(INDEX(user_table!$E$2:$E3686,MATCH(C1212,user_table!$B$2:$B3686,0)),"")
</f>
        <v>5, 6</v>
      </c>
      <c r="F1212" s="6" t="str">
        <f t="shared" si="2"/>
        <v>142124136</v>
      </c>
      <c r="G1212" s="16">
        <v>2.0</v>
      </c>
      <c r="H1212" s="17">
        <v>44845.0</v>
      </c>
      <c r="I1212" s="18" t="s">
        <v>1201</v>
      </c>
    </row>
    <row r="1213">
      <c r="A1213" s="5" t="str">
        <f t="array" ref="A1213">INDEX(event_table!$A$2:$A$69, RANDBETWEEN(1, COUNTA(event_table!$A$2:$A$69)))</f>
        <v>1645</v>
      </c>
      <c r="B1213" s="6">
        <f t="array" ref="B1213">IFERROR(INDEX(event_table!$E$1:$E3686,MATCH(A1213,event_table!$A$1:$A3686,0)),"")
</f>
        <v>6</v>
      </c>
      <c r="C1213" s="7">
        <f t="shared" si="1"/>
        <v>48</v>
      </c>
      <c r="D1213" s="6" t="str">
        <f t="array" ref="D1213">IFERROR(INDEX(user_table!$C$2:$C3686,MATCH(C1213,user_table!$B$2:$B3686,0)),"")
</f>
        <v>Maya Kusuma</v>
      </c>
      <c r="E1213" s="6" t="str">
        <f t="array" ref="E1213">IFERROR(INDEX(user_table!$E$2:$E3686,MATCH(C1213,user_table!$B$2:$B3686,0)),"")
</f>
        <v>2, 3</v>
      </c>
      <c r="F1213" s="6" t="str">
        <f t="shared" si="2"/>
        <v>16452648</v>
      </c>
      <c r="G1213" s="16">
        <v>2.0</v>
      </c>
      <c r="H1213" s="17">
        <v>44834.0</v>
      </c>
      <c r="I1213" s="18" t="s">
        <v>1202</v>
      </c>
    </row>
    <row r="1214">
      <c r="A1214" s="5" t="str">
        <f t="array" ref="A1214">INDEX(event_table!$A$2:$A$69, RANDBETWEEN(1, COUNTA(event_table!$A$2:$A$69)))</f>
        <v>1553</v>
      </c>
      <c r="B1214" s="6">
        <f t="array" ref="B1214">IFERROR(INDEX(event_table!$E$1:$E3686,MATCH(A1214,event_table!$A$1:$A3686,0)),"")
</f>
        <v>5</v>
      </c>
      <c r="C1214" s="7">
        <f t="shared" si="1"/>
        <v>16</v>
      </c>
      <c r="D1214" s="6" t="str">
        <f t="array" ref="D1214">IFERROR(INDEX(user_table!$C$2:$C3686,MATCH(C1214,user_table!$B$2:$B3686,0)),"")
</f>
        <v>Siti Utami</v>
      </c>
      <c r="E1214" s="6" t="str">
        <f t="array" ref="E1214">IFERROR(INDEX(user_table!$E$2:$E3686,MATCH(C1214,user_table!$B$2:$B3686,0)),"")
</f>
        <v>1, 2</v>
      </c>
      <c r="F1214" s="6" t="str">
        <f t="shared" si="2"/>
        <v>15532516</v>
      </c>
      <c r="G1214" s="16">
        <v>2.0</v>
      </c>
      <c r="H1214" s="17">
        <v>44493.0</v>
      </c>
      <c r="I1214" s="18" t="s">
        <v>1203</v>
      </c>
    </row>
    <row r="1215">
      <c r="A1215" s="5" t="str">
        <f t="array" ref="A1215">INDEX(event_table!$A$2:$A$69, RANDBETWEEN(1, COUNTA(event_table!$A$2:$A$69)))</f>
        <v>1526</v>
      </c>
      <c r="B1215" s="6">
        <f t="array" ref="B1215">IFERROR(INDEX(event_table!$E$1:$E3686,MATCH(A1215,event_table!$A$1:$A3686,0)),"")
</f>
        <v>5</v>
      </c>
      <c r="C1215" s="7">
        <f t="shared" si="1"/>
        <v>58</v>
      </c>
      <c r="D1215" s="6" t="str">
        <f t="array" ref="D1215">IFERROR(INDEX(user_table!$C$2:$C3686,MATCH(C1215,user_table!$B$2:$B3686,0)),"")
</f>
        <v>Joko Septiani</v>
      </c>
      <c r="E1215" s="6" t="str">
        <f t="array" ref="E1215">IFERROR(INDEX(user_table!$E$2:$E3686,MATCH(C1215,user_table!$B$2:$B3686,0)),"")
</f>
        <v>2, 5</v>
      </c>
      <c r="F1215" s="6" t="str">
        <f t="shared" si="2"/>
        <v>15262558</v>
      </c>
      <c r="G1215" s="16">
        <v>2.0</v>
      </c>
      <c r="H1215" s="17">
        <v>44313.0</v>
      </c>
      <c r="I1215" s="18" t="s">
        <v>1204</v>
      </c>
    </row>
    <row r="1216">
      <c r="A1216" s="5" t="str">
        <f t="array" ref="A1216">INDEX(event_table!$A$2:$A$69, RANDBETWEEN(1, COUNTA(event_table!$A$2:$A$69)))</f>
        <v>1424</v>
      </c>
      <c r="B1216" s="6">
        <f t="array" ref="B1216">IFERROR(INDEX(event_table!$E$1:$E3686,MATCH(A1216,event_table!$A$1:$A3686,0)),"")
</f>
        <v>4</v>
      </c>
      <c r="C1216" s="7">
        <f t="shared" si="1"/>
        <v>142</v>
      </c>
      <c r="D1216" s="6" t="str">
        <f t="array" ref="D1216">IFERROR(INDEX(user_table!$C$2:$C3686,MATCH(C1216,user_table!$B$2:$B3686,0)),"")
</f>
        <v>Siti Rahayu</v>
      </c>
      <c r="E1216" s="6" t="str">
        <f t="array" ref="E1216">IFERROR(INDEX(user_table!$E$2:$E3686,MATCH(C1216,user_table!$B$2:$B3686,0)),"")
</f>
        <v>6, 3</v>
      </c>
      <c r="F1216" s="6" t="str">
        <f t="shared" si="2"/>
        <v>142424142</v>
      </c>
      <c r="G1216" s="16">
        <v>2.0</v>
      </c>
      <c r="H1216" s="17">
        <v>45267.0</v>
      </c>
      <c r="I1216" s="18" t="s">
        <v>1205</v>
      </c>
    </row>
    <row r="1217">
      <c r="A1217" s="5" t="str">
        <f t="array" ref="A1217">INDEX(event_table!$A$2:$A$69, RANDBETWEEN(1, COUNTA(event_table!$A$2:$A$69)))</f>
        <v>3165</v>
      </c>
      <c r="B1217" s="6">
        <f t="array" ref="B1217">IFERROR(INDEX(event_table!$E$1:$E3686,MATCH(A1217,event_table!$A$1:$A3686,0)),"")
</f>
        <v>1</v>
      </c>
      <c r="C1217" s="7">
        <f t="shared" si="1"/>
        <v>121</v>
      </c>
      <c r="D1217" s="6" t="str">
        <f t="array" ref="D1217">IFERROR(INDEX(user_table!$C$2:$C3686,MATCH(C1217,user_table!$B$2:$B3686,0)),"")
</f>
        <v>Wahyu Saputra</v>
      </c>
      <c r="E1217" s="6" t="str">
        <f t="array" ref="E1217">IFERROR(INDEX(user_table!$E$2:$E3686,MATCH(C1217,user_table!$B$2:$B3686,0)),"")
</f>
        <v>6, 3</v>
      </c>
      <c r="F1217" s="6" t="str">
        <f t="shared" si="2"/>
        <v>316521121</v>
      </c>
      <c r="G1217" s="16">
        <v>2.0</v>
      </c>
      <c r="H1217" s="17">
        <v>45260.0</v>
      </c>
      <c r="I1217" s="18" t="s">
        <v>1206</v>
      </c>
    </row>
    <row r="1218">
      <c r="A1218" s="5" t="str">
        <f t="array" ref="A1218">INDEX(event_table!$A$2:$A$69, RANDBETWEEN(1, COUNTA(event_table!$A$2:$A$69)))</f>
        <v>1643</v>
      </c>
      <c r="B1218" s="6">
        <f t="array" ref="B1218">IFERROR(INDEX(event_table!$E$1:$E3686,MATCH(A1218,event_table!$A$1:$A3686,0)),"")
</f>
        <v>6</v>
      </c>
      <c r="C1218" s="7">
        <f t="shared" si="1"/>
        <v>30</v>
      </c>
      <c r="D1218" s="6" t="str">
        <f t="array" ref="D1218">IFERROR(INDEX(user_table!$C$2:$C3686,MATCH(C1218,user_table!$B$2:$B3686,0)),"")
</f>
        <v>Fajar Kurniawan</v>
      </c>
      <c r="E1218" s="6" t="str">
        <f t="array" ref="E1218">IFERROR(INDEX(user_table!$E$2:$E3686,MATCH(C1218,user_table!$B$2:$B3686,0)),"")
</f>
        <v>5, 3</v>
      </c>
      <c r="F1218" s="6" t="str">
        <f t="shared" si="2"/>
        <v>16432630</v>
      </c>
      <c r="G1218" s="16">
        <v>2.0</v>
      </c>
      <c r="H1218" s="17">
        <v>45233.0</v>
      </c>
      <c r="I1218" s="18" t="s">
        <v>1207</v>
      </c>
    </row>
    <row r="1219">
      <c r="A1219" s="5" t="str">
        <f t="array" ref="A1219">INDEX(event_table!$A$2:$A$69, RANDBETWEEN(1, COUNTA(event_table!$A$2:$A$69)))</f>
        <v>114</v>
      </c>
      <c r="B1219" s="6">
        <f t="array" ref="B1219">IFERROR(INDEX(event_table!$E$1:$E3686,MATCH(A1219,event_table!$A$1:$A3686,0)),"")
</f>
        <v>1</v>
      </c>
      <c r="C1219" s="7">
        <f t="shared" si="1"/>
        <v>148</v>
      </c>
      <c r="D1219" s="6" t="str">
        <f t="array" ref="D1219">IFERROR(INDEX(user_table!$C$2:$C3686,MATCH(C1219,user_table!$B$2:$B3686,0)),"")
</f>
        <v>Fajar Setiawan</v>
      </c>
      <c r="E1219" s="6" t="str">
        <f t="array" ref="E1219">IFERROR(INDEX(user_table!$E$2:$E3686,MATCH(C1219,user_table!$B$2:$B3686,0)),"")
</f>
        <v>6, 4</v>
      </c>
      <c r="F1219" s="6" t="str">
        <f t="shared" si="2"/>
        <v>11421148</v>
      </c>
      <c r="G1219" s="16">
        <v>2.0</v>
      </c>
      <c r="H1219" s="17">
        <v>45176.0</v>
      </c>
      <c r="I1219" s="18" t="s">
        <v>1208</v>
      </c>
    </row>
    <row r="1220">
      <c r="A1220" s="5" t="str">
        <f t="array" ref="A1220">INDEX(event_table!$A$2:$A$69, RANDBETWEEN(1, COUNTA(event_table!$A$2:$A$69)))</f>
        <v>122</v>
      </c>
      <c r="B1220" s="6">
        <f t="array" ref="B1220">IFERROR(INDEX(event_table!$E$1:$E3686,MATCH(A1220,event_table!$A$1:$A3686,0)),"")
</f>
        <v>2</v>
      </c>
      <c r="C1220" s="7">
        <f t="shared" si="1"/>
        <v>199</v>
      </c>
      <c r="D1220" s="6" t="str">
        <f t="array" ref="D1220">IFERROR(INDEX(user_table!$C$2:$C3686,MATCH(C1220,user_table!$B$2:$B3686,0)),"")
</f>
        <v>Rudi Putri</v>
      </c>
      <c r="E1220" s="6" t="str">
        <f t="array" ref="E1220">IFERROR(INDEX(user_table!$E$2:$E3686,MATCH(C1220,user_table!$B$2:$B3686,0)),"")
</f>
        <v>2, 1</v>
      </c>
      <c r="F1220" s="6" t="str">
        <f t="shared" si="2"/>
        <v>12222199</v>
      </c>
      <c r="G1220" s="16">
        <v>2.0</v>
      </c>
      <c r="H1220" s="17">
        <v>45137.0</v>
      </c>
      <c r="I1220" s="18" t="s">
        <v>1209</v>
      </c>
    </row>
    <row r="1221">
      <c r="A1221" s="5" t="str">
        <f t="array" ref="A1221">INDEX(event_table!$A$2:$A$69, RANDBETWEEN(1, COUNTA(event_table!$A$2:$A$69)))</f>
        <v>1212</v>
      </c>
      <c r="B1221" s="6">
        <f t="array" ref="B1221">IFERROR(INDEX(event_table!$E$1:$E3686,MATCH(A1221,event_table!$A$1:$A3686,0)),"")
</f>
        <v>2</v>
      </c>
      <c r="C1221" s="7">
        <f t="shared" si="1"/>
        <v>73</v>
      </c>
      <c r="D1221" s="6" t="str">
        <f t="array" ref="D1221">IFERROR(INDEX(user_table!$C$2:$C3686,MATCH(C1221,user_table!$B$2:$B3686,0)),"")
</f>
        <v>Hadi Santoso</v>
      </c>
      <c r="E1221" s="6" t="str">
        <f t="array" ref="E1221">IFERROR(INDEX(user_table!$E$2:$E3686,MATCH(C1221,user_table!$B$2:$B3686,0)),"")
</f>
        <v>6, 3</v>
      </c>
      <c r="F1221" s="6" t="str">
        <f t="shared" si="2"/>
        <v>12121273</v>
      </c>
      <c r="G1221" s="16">
        <v>1.0</v>
      </c>
      <c r="H1221" s="17">
        <v>45205.0</v>
      </c>
      <c r="I1221" s="18" t="s">
        <v>1210</v>
      </c>
    </row>
    <row r="1222">
      <c r="A1222" s="5" t="str">
        <f t="array" ref="A1222">INDEX(event_table!$A$2:$A$69, RANDBETWEEN(1, COUNTA(event_table!$A$2:$A$69)))</f>
        <v>1332</v>
      </c>
      <c r="B1222" s="6">
        <f t="array" ref="B1222">IFERROR(INDEX(event_table!$E$1:$E3686,MATCH(A1222,event_table!$A$1:$A3686,0)),"")
</f>
        <v>3</v>
      </c>
      <c r="C1222" s="7">
        <f t="shared" si="1"/>
        <v>187</v>
      </c>
      <c r="D1222" s="6" t="str">
        <f t="array" ref="D1222">IFERROR(INDEX(user_table!$C$2:$C3686,MATCH(C1222,user_table!$B$2:$B3686,0)),"")
</f>
        <v>Bambang Saputra</v>
      </c>
      <c r="E1222" s="6" t="str">
        <f t="array" ref="E1222">IFERROR(INDEX(user_table!$E$2:$E3686,MATCH(C1222,user_table!$B$2:$B3686,0)),"")
</f>
        <v>3, 1</v>
      </c>
      <c r="F1222" s="6" t="str">
        <f t="shared" si="2"/>
        <v>133213187</v>
      </c>
      <c r="G1222" s="16">
        <v>1.0</v>
      </c>
      <c r="H1222" s="17">
        <v>45203.0</v>
      </c>
      <c r="I1222" s="18" t="s">
        <v>1211</v>
      </c>
    </row>
    <row r="1223">
      <c r="A1223" s="5" t="str">
        <f t="array" ref="A1223">INDEX(event_table!$A$2:$A$69, RANDBETWEEN(1, COUNTA(event_table!$A$2:$A$69)))</f>
        <v>1332</v>
      </c>
      <c r="B1223" s="6">
        <f t="array" ref="B1223">IFERROR(INDEX(event_table!$E$1:$E3686,MATCH(A1223,event_table!$A$1:$A3686,0)),"")
</f>
        <v>3</v>
      </c>
      <c r="C1223" s="7">
        <f t="shared" si="1"/>
        <v>81</v>
      </c>
      <c r="D1223" s="6" t="str">
        <f t="array" ref="D1223">IFERROR(INDEX(user_table!$C$2:$C3686,MATCH(C1223,user_table!$B$2:$B3686,0)),"")
</f>
        <v>Lina Rahayu</v>
      </c>
      <c r="E1223" s="6" t="str">
        <f t="array" ref="E1223">IFERROR(INDEX(user_table!$E$2:$E3686,MATCH(C1223,user_table!$B$2:$B3686,0)),"")
</f>
        <v>2, 1</v>
      </c>
      <c r="F1223" s="6" t="str">
        <f t="shared" si="2"/>
        <v>13321381</v>
      </c>
      <c r="G1223" s="16">
        <v>1.0</v>
      </c>
      <c r="H1223" s="17">
        <v>45267.0</v>
      </c>
      <c r="I1223" s="18" t="s">
        <v>1212</v>
      </c>
    </row>
    <row r="1224">
      <c r="A1224" s="5" t="str">
        <f t="array" ref="A1224">INDEX(event_table!$A$2:$A$69, RANDBETWEEN(1, COUNTA(event_table!$A$2:$A$69)))</f>
        <v>1645</v>
      </c>
      <c r="B1224" s="6">
        <f t="array" ref="B1224">IFERROR(INDEX(event_table!$E$1:$E3686,MATCH(A1224,event_table!$A$1:$A3686,0)),"")
</f>
        <v>6</v>
      </c>
      <c r="C1224" s="7">
        <f t="shared" si="1"/>
        <v>10</v>
      </c>
      <c r="D1224" s="6" t="str">
        <f t="array" ref="D1224">IFERROR(INDEX(user_table!$C$2:$C3686,MATCH(C1224,user_table!$B$2:$B3686,0)),"")
</f>
        <v>Dina Susanto</v>
      </c>
      <c r="E1224" s="6" t="str">
        <f t="array" ref="E1224">IFERROR(INDEX(user_table!$E$2:$E3686,MATCH(C1224,user_table!$B$2:$B3686,0)),"")
</f>
        <v>4, 5</v>
      </c>
      <c r="F1224" s="6" t="str">
        <f t="shared" si="2"/>
        <v>16451610</v>
      </c>
      <c r="G1224" s="16">
        <v>1.0</v>
      </c>
      <c r="H1224" s="17">
        <v>45264.0</v>
      </c>
      <c r="I1224" s="18" t="s">
        <v>777</v>
      </c>
    </row>
    <row r="1225">
      <c r="A1225" s="5" t="str">
        <f t="array" ref="A1225">INDEX(event_table!$A$2:$A$69, RANDBETWEEN(1, COUNTA(event_table!$A$2:$A$69)))</f>
        <v>1526</v>
      </c>
      <c r="B1225" s="6">
        <f t="array" ref="B1225">IFERROR(INDEX(event_table!$E$1:$E3686,MATCH(A1225,event_table!$A$1:$A3686,0)),"")
</f>
        <v>5</v>
      </c>
      <c r="C1225" s="7">
        <f t="shared" si="1"/>
        <v>126</v>
      </c>
      <c r="D1225" s="6" t="str">
        <f t="array" ref="D1225">IFERROR(INDEX(user_table!$C$2:$C3686,MATCH(C1225,user_table!$B$2:$B3686,0)),"")
</f>
        <v>Agus Santoso</v>
      </c>
      <c r="E1225" s="6" t="str">
        <f t="array" ref="E1225">IFERROR(INDEX(user_table!$E$2:$E3686,MATCH(C1225,user_table!$B$2:$B3686,0)),"")
</f>
        <v>3, 6</v>
      </c>
      <c r="F1225" s="6" t="str">
        <f t="shared" si="2"/>
        <v>152615126</v>
      </c>
      <c r="G1225" s="16">
        <v>1.0</v>
      </c>
      <c r="H1225" s="17">
        <v>45261.0</v>
      </c>
      <c r="I1225" s="18" t="s">
        <v>1213</v>
      </c>
    </row>
    <row r="1226">
      <c r="A1226" s="5" t="str">
        <f t="array" ref="A1226">INDEX(event_table!$A$2:$A$69, RANDBETWEEN(1, COUNTA(event_table!$A$2:$A$69)))</f>
        <v>1425</v>
      </c>
      <c r="B1226" s="6">
        <f t="array" ref="B1226">IFERROR(INDEX(event_table!$E$1:$E3686,MATCH(A1226,event_table!$A$1:$A3686,0)),"")
</f>
        <v>4</v>
      </c>
      <c r="C1226" s="7">
        <f t="shared" si="1"/>
        <v>22</v>
      </c>
      <c r="D1226" s="6" t="str">
        <f t="array" ref="D1226">IFERROR(INDEX(user_table!$C$2:$C3686,MATCH(C1226,user_table!$B$2:$B3686,0)),"")
</f>
        <v>Fajar Wijaya</v>
      </c>
      <c r="E1226" s="6" t="str">
        <f t="array" ref="E1226">IFERROR(INDEX(user_table!$E$2:$E3686,MATCH(C1226,user_table!$B$2:$B3686,0)),"")
</f>
        <v>2, 6</v>
      </c>
      <c r="F1226" s="6" t="str">
        <f t="shared" si="2"/>
        <v>14251422</v>
      </c>
      <c r="G1226" s="16">
        <v>1.0</v>
      </c>
      <c r="H1226" s="17">
        <v>45231.0</v>
      </c>
      <c r="I1226" s="18" t="s">
        <v>1214</v>
      </c>
    </row>
    <row r="1227">
      <c r="A1227" s="5" t="str">
        <f t="array" ref="A1227">INDEX(event_table!$A$2:$A$69, RANDBETWEEN(1, COUNTA(event_table!$A$2:$A$69)))</f>
        <v>1553</v>
      </c>
      <c r="B1227" s="6">
        <f t="array" ref="B1227">IFERROR(INDEX(event_table!$E$1:$E3686,MATCH(A1227,event_table!$A$1:$A3686,0)),"")
</f>
        <v>5</v>
      </c>
      <c r="C1227" s="7">
        <f t="shared" si="1"/>
        <v>28</v>
      </c>
      <c r="D1227" s="6" t="str">
        <f t="array" ref="D1227">IFERROR(INDEX(user_table!$C$2:$C3686,MATCH(C1227,user_table!$B$2:$B3686,0)),"")
</f>
        <v>Fandi Putri</v>
      </c>
      <c r="E1227" s="6" t="str">
        <f t="array" ref="E1227">IFERROR(INDEX(user_table!$E$2:$E3686,MATCH(C1227,user_table!$B$2:$B3686,0)),"")
</f>
        <v>5, 1</v>
      </c>
      <c r="F1227" s="6" t="str">
        <f t="shared" si="2"/>
        <v>15531528</v>
      </c>
      <c r="G1227" s="16">
        <v>1.0</v>
      </c>
      <c r="H1227" s="17">
        <v>45206.0</v>
      </c>
      <c r="I1227" s="18" t="s">
        <v>1215</v>
      </c>
    </row>
    <row r="1228">
      <c r="A1228" s="5" t="str">
        <f t="array" ref="A1228">INDEX(event_table!$A$2:$A$69, RANDBETWEEN(1, COUNTA(event_table!$A$2:$A$69)))</f>
        <v>1420</v>
      </c>
      <c r="B1228" s="6">
        <f t="array" ref="B1228">IFERROR(INDEX(event_table!$E$1:$E3686,MATCH(A1228,event_table!$A$1:$A3686,0)),"")
</f>
        <v>4</v>
      </c>
      <c r="C1228" s="7">
        <f t="shared" si="1"/>
        <v>95</v>
      </c>
      <c r="D1228" s="6" t="str">
        <f t="array" ref="D1228">IFERROR(INDEX(user_table!$C$2:$C3686,MATCH(C1228,user_table!$B$2:$B3686,0)),"")
</f>
        <v>Ani Pratama</v>
      </c>
      <c r="E1228" s="6" t="str">
        <f t="array" ref="E1228">IFERROR(INDEX(user_table!$E$2:$E3686,MATCH(C1228,user_table!$B$2:$B3686,0)),"")
</f>
        <v>3, 5</v>
      </c>
      <c r="F1228" s="6" t="str">
        <f t="shared" si="2"/>
        <v>14201495</v>
      </c>
      <c r="G1228" s="16">
        <v>1.0</v>
      </c>
      <c r="H1228" s="17">
        <v>45201.0</v>
      </c>
      <c r="I1228" s="18" t="s">
        <v>1216</v>
      </c>
    </row>
    <row r="1229">
      <c r="A1229" s="5" t="str">
        <f t="array" ref="A1229">INDEX(event_table!$A$2:$A$69, RANDBETWEEN(1, COUNTA(event_table!$A$2:$A$69)))</f>
        <v>1641</v>
      </c>
      <c r="B1229" s="6">
        <f t="array" ref="B1229">IFERROR(INDEX(event_table!$E$1:$E3686,MATCH(A1229,event_table!$A$1:$A3686,0)),"")
</f>
        <v>6</v>
      </c>
      <c r="C1229" s="7">
        <f t="shared" si="1"/>
        <v>140</v>
      </c>
      <c r="D1229" s="6" t="str">
        <f t="array" ref="D1229">IFERROR(INDEX(user_table!$C$2:$C3686,MATCH(C1229,user_table!$B$2:$B3686,0)),"")
</f>
        <v>Maya Wijaya</v>
      </c>
      <c r="E1229" s="6" t="str">
        <f t="array" ref="E1229">IFERROR(INDEX(user_table!$E$2:$E3686,MATCH(C1229,user_table!$B$2:$B3686,0)),"")
</f>
        <v>3, 2</v>
      </c>
      <c r="F1229" s="6" t="str">
        <f t="shared" si="2"/>
        <v>164116140</v>
      </c>
      <c r="G1229" s="16">
        <v>1.0</v>
      </c>
      <c r="H1229" s="17">
        <v>45144.0</v>
      </c>
      <c r="I1229" s="18" t="s">
        <v>1217</v>
      </c>
    </row>
    <row r="1230">
      <c r="A1230" s="5" t="str">
        <f t="array" ref="A1230">INDEX(event_table!$A$2:$A$69, RANDBETWEEN(1, COUNTA(event_table!$A$2:$A$69)))</f>
        <v>1215</v>
      </c>
      <c r="B1230" s="6">
        <f t="array" ref="B1230">IFERROR(INDEX(event_table!$E$1:$E3686,MATCH(A1230,event_table!$A$1:$A3686,0)),"")
</f>
        <v>2</v>
      </c>
      <c r="C1230" s="7">
        <f t="shared" si="1"/>
        <v>97</v>
      </c>
      <c r="D1230" s="6" t="str">
        <f t="array" ref="D1230">IFERROR(INDEX(user_table!$C$2:$C3686,MATCH(C1230,user_table!$B$2:$B3686,0)),"")
</f>
        <v>Dewi Hidayat</v>
      </c>
      <c r="E1230" s="6" t="str">
        <f t="array" ref="E1230">IFERROR(INDEX(user_table!$E$2:$E3686,MATCH(C1230,user_table!$B$2:$B3686,0)),"")
</f>
        <v>2, 2</v>
      </c>
      <c r="F1230" s="6" t="str">
        <f t="shared" si="2"/>
        <v>12151297</v>
      </c>
      <c r="G1230" s="16">
        <v>1.0</v>
      </c>
      <c r="H1230" s="17">
        <v>45143.0</v>
      </c>
      <c r="I1230" s="18" t="s">
        <v>1218</v>
      </c>
    </row>
    <row r="1231">
      <c r="A1231" s="5" t="str">
        <f t="array" ref="A1231">INDEX(event_table!$A$2:$A$69, RANDBETWEEN(1, COUNTA(event_table!$A$2:$A$69)))</f>
        <v>113</v>
      </c>
      <c r="B1231" s="6">
        <f t="array" ref="B1231">IFERROR(INDEX(event_table!$E$1:$E3686,MATCH(A1231,event_table!$A$1:$A3686,0)),"")
</f>
        <v>1</v>
      </c>
      <c r="C1231" s="7">
        <f t="shared" si="1"/>
        <v>85</v>
      </c>
      <c r="D1231" s="6" t="str">
        <f t="array" ref="D1231">IFERROR(INDEX(user_table!$C$2:$C3686,MATCH(C1231,user_table!$B$2:$B3686,0)),"")
</f>
        <v>Maya Susanto</v>
      </c>
      <c r="E1231" s="6" t="str">
        <f t="array" ref="E1231">IFERROR(INDEX(user_table!$E$2:$E3686,MATCH(C1231,user_table!$B$2:$B3686,0)),"")
</f>
        <v>6, 5</v>
      </c>
      <c r="F1231" s="6" t="str">
        <f t="shared" si="2"/>
        <v>1131185</v>
      </c>
      <c r="G1231" s="16">
        <v>1.0</v>
      </c>
      <c r="H1231" s="17">
        <v>45143.0</v>
      </c>
      <c r="I1231" s="18" t="s">
        <v>1219</v>
      </c>
    </row>
    <row r="1232">
      <c r="A1232" s="5" t="str">
        <f t="array" ref="A1232">INDEX(event_table!$A$2:$A$69, RANDBETWEEN(1, COUNTA(event_table!$A$2:$A$69)))</f>
        <v>111</v>
      </c>
      <c r="B1232" s="6">
        <f t="array" ref="B1232">IFERROR(INDEX(event_table!$E$1:$E3686,MATCH(A1232,event_table!$A$1:$A3686,0)),"")
</f>
        <v>1</v>
      </c>
      <c r="C1232" s="7">
        <f t="shared" si="1"/>
        <v>134</v>
      </c>
      <c r="D1232" s="6" t="str">
        <f t="array" ref="D1232">IFERROR(INDEX(user_table!$C$2:$C3686,MATCH(C1232,user_table!$B$2:$B3686,0)),"")
</f>
        <v>Maya Septiani</v>
      </c>
      <c r="E1232" s="6" t="str">
        <f t="array" ref="E1232">IFERROR(INDEX(user_table!$E$2:$E3686,MATCH(C1232,user_table!$B$2:$B3686,0)),"")
</f>
        <v>2, 4</v>
      </c>
      <c r="F1232" s="6" t="str">
        <f t="shared" si="2"/>
        <v>11111134</v>
      </c>
      <c r="G1232" s="16">
        <v>1.0</v>
      </c>
      <c r="H1232" s="17">
        <v>45113.0</v>
      </c>
      <c r="I1232" s="18" t="s">
        <v>1220</v>
      </c>
    </row>
    <row r="1233">
      <c r="A1233" s="5" t="str">
        <f t="array" ref="A1233">INDEX(event_table!$A$2:$A$69, RANDBETWEEN(1, COUNTA(event_table!$A$2:$A$69)))</f>
        <v>115</v>
      </c>
      <c r="B1233" s="6">
        <f t="array" ref="B1233">IFERROR(INDEX(event_table!$E$1:$E3686,MATCH(A1233,event_table!$A$1:$A3686,0)),"")
</f>
        <v>1</v>
      </c>
      <c r="C1233" s="7">
        <f t="shared" si="1"/>
        <v>158</v>
      </c>
      <c r="D1233" s="6" t="str">
        <f t="array" ref="D1233">IFERROR(INDEX(user_table!$C$2:$C3686,MATCH(C1233,user_table!$B$2:$B3686,0)),"")
</f>
        <v>Maya Wijaya</v>
      </c>
      <c r="E1233" s="6" t="str">
        <f t="array" ref="E1233">IFERROR(INDEX(user_table!$E$2:$E3686,MATCH(C1233,user_table!$B$2:$B3686,0)),"")
</f>
        <v>3, 4</v>
      </c>
      <c r="F1233" s="6" t="str">
        <f t="shared" si="2"/>
        <v>11511158</v>
      </c>
      <c r="G1233" s="16">
        <v>1.0</v>
      </c>
      <c r="H1233" s="17">
        <v>45082.0</v>
      </c>
      <c r="I1233" s="18" t="s">
        <v>1221</v>
      </c>
    </row>
    <row r="1234">
      <c r="A1234" s="5" t="str">
        <f t="array" ref="A1234">INDEX(event_table!$A$2:$A$69, RANDBETWEEN(1, COUNTA(event_table!$A$2:$A$69)))</f>
        <v>3657</v>
      </c>
      <c r="B1234" s="6">
        <f t="array" ref="B1234">IFERROR(INDEX(event_table!$E$1:$E3686,MATCH(A1234,event_table!$A$1:$A3686,0)),"")
</f>
        <v>6</v>
      </c>
      <c r="C1234" s="7">
        <f t="shared" si="1"/>
        <v>7</v>
      </c>
      <c r="D1234" s="6" t="str">
        <f t="array" ref="D1234">IFERROR(INDEX(user_table!$C$2:$C3686,MATCH(C1234,user_table!$B$2:$B3686,0)),"")
</f>
        <v>Maya Sari</v>
      </c>
      <c r="E1234" s="6" t="str">
        <f t="array" ref="E1234">IFERROR(INDEX(user_table!$E$2:$E3686,MATCH(C1234,user_table!$B$2:$B3686,0)),"")
</f>
        <v>5, 2</v>
      </c>
      <c r="F1234" s="6" t="str">
        <f t="shared" si="2"/>
        <v>3657167</v>
      </c>
      <c r="G1234" s="16">
        <v>1.0</v>
      </c>
      <c r="H1234" s="17">
        <v>45068.0</v>
      </c>
      <c r="I1234" s="18" t="s">
        <v>1222</v>
      </c>
    </row>
    <row r="1235">
      <c r="A1235" s="5" t="str">
        <f t="array" ref="A1235">INDEX(event_table!$A$2:$A$69, RANDBETWEEN(1, COUNTA(event_table!$A$2:$A$69)))</f>
        <v>1332</v>
      </c>
      <c r="B1235" s="6">
        <f t="array" ref="B1235">IFERROR(INDEX(event_table!$E$1:$E3686,MATCH(A1235,event_table!$A$1:$A3686,0)),"")
</f>
        <v>3</v>
      </c>
      <c r="C1235" s="7">
        <f t="shared" si="1"/>
        <v>127</v>
      </c>
      <c r="D1235" s="6" t="str">
        <f t="array" ref="D1235">IFERROR(INDEX(user_table!$C$2:$C3686,MATCH(C1235,user_table!$B$2:$B3686,0)),"")
</f>
        <v>Sinta Wijaya</v>
      </c>
      <c r="E1235" s="6" t="str">
        <f t="array" ref="E1235">IFERROR(INDEX(user_table!$E$2:$E3686,MATCH(C1235,user_table!$B$2:$B3686,0)),"")
</f>
        <v>6, 4</v>
      </c>
      <c r="F1235" s="6" t="str">
        <f t="shared" si="2"/>
        <v>133213127</v>
      </c>
      <c r="G1235" s="16">
        <v>1.0</v>
      </c>
      <c r="H1235" s="17">
        <v>45041.0</v>
      </c>
      <c r="I1235" s="18" t="s">
        <v>1223</v>
      </c>
    </row>
    <row r="1236">
      <c r="A1236" s="5" t="str">
        <f t="array" ref="A1236">INDEX(event_table!$A$2:$A$69, RANDBETWEEN(1, COUNTA(event_table!$A$2:$A$69)))</f>
        <v>111</v>
      </c>
      <c r="B1236" s="6">
        <f t="array" ref="B1236">IFERROR(INDEX(event_table!$E$1:$E3686,MATCH(A1236,event_table!$A$1:$A3686,0)),"")
</f>
        <v>1</v>
      </c>
      <c r="C1236" s="7">
        <f t="shared" si="1"/>
        <v>156</v>
      </c>
      <c r="D1236" s="6" t="str">
        <f t="array" ref="D1236">IFERROR(INDEX(user_table!$C$2:$C3686,MATCH(C1236,user_table!$B$2:$B3686,0)),"")
</f>
        <v>Lina Kusuma</v>
      </c>
      <c r="E1236" s="6" t="str">
        <f t="array" ref="E1236">IFERROR(INDEX(user_table!$E$2:$E3686,MATCH(C1236,user_table!$B$2:$B3686,0)),"")
</f>
        <v>4, 3</v>
      </c>
      <c r="F1236" s="6" t="str">
        <f t="shared" si="2"/>
        <v>11111156</v>
      </c>
      <c r="G1236" s="16">
        <v>1.0</v>
      </c>
      <c r="H1236" s="17">
        <v>45037.0</v>
      </c>
      <c r="I1236" s="18" t="s">
        <v>1224</v>
      </c>
    </row>
    <row r="1237">
      <c r="A1237" s="5" t="str">
        <f t="array" ref="A1237">INDEX(event_table!$A$2:$A$69, RANDBETWEEN(1, COUNTA(event_table!$A$2:$A$69)))</f>
        <v>3356</v>
      </c>
      <c r="B1237" s="6">
        <f t="array" ref="B1237">IFERROR(INDEX(event_table!$E$1:$E3686,MATCH(A1237,event_table!$A$1:$A3686,0)),"")
</f>
        <v>3</v>
      </c>
      <c r="C1237" s="7">
        <f t="shared" si="1"/>
        <v>28</v>
      </c>
      <c r="D1237" s="6" t="str">
        <f t="array" ref="D1237">IFERROR(INDEX(user_table!$C$2:$C3686,MATCH(C1237,user_table!$B$2:$B3686,0)),"")
</f>
        <v>Fandi Putri</v>
      </c>
      <c r="E1237" s="6" t="str">
        <f t="array" ref="E1237">IFERROR(INDEX(user_table!$E$2:$E3686,MATCH(C1237,user_table!$B$2:$B3686,0)),"")
</f>
        <v>5, 1</v>
      </c>
      <c r="F1237" s="6" t="str">
        <f t="shared" si="2"/>
        <v>33561328</v>
      </c>
      <c r="G1237" s="16">
        <v>1.0</v>
      </c>
      <c r="H1237" s="17">
        <v>45033.0</v>
      </c>
      <c r="I1237" s="18" t="s">
        <v>1225</v>
      </c>
    </row>
    <row r="1238">
      <c r="A1238" s="5" t="str">
        <f t="array" ref="A1238">INDEX(event_table!$A$2:$A$69, RANDBETWEEN(1, COUNTA(event_table!$A$2:$A$69)))</f>
        <v>1110</v>
      </c>
      <c r="B1238" s="6">
        <f t="array" ref="B1238">IFERROR(INDEX(event_table!$E$1:$E3686,MATCH(A1238,event_table!$A$1:$A3686,0)),"")
</f>
        <v>1</v>
      </c>
      <c r="C1238" s="7">
        <f t="shared" si="1"/>
        <v>81</v>
      </c>
      <c r="D1238" s="6" t="str">
        <f t="array" ref="D1238">IFERROR(INDEX(user_table!$C$2:$C3686,MATCH(C1238,user_table!$B$2:$B3686,0)),"")
</f>
        <v>Lina Rahayu</v>
      </c>
      <c r="E1238" s="6" t="str">
        <f t="array" ref="E1238">IFERROR(INDEX(user_table!$E$2:$E3686,MATCH(C1238,user_table!$B$2:$B3686,0)),"")
</f>
        <v>2, 1</v>
      </c>
      <c r="F1238" s="6" t="str">
        <f t="shared" si="2"/>
        <v>11105181</v>
      </c>
      <c r="G1238" s="16">
        <v>5.0</v>
      </c>
      <c r="H1238" s="17">
        <v>44716.0</v>
      </c>
      <c r="I1238" s="18" t="s">
        <v>1226</v>
      </c>
    </row>
    <row r="1239">
      <c r="A1239" s="5" t="str">
        <f t="array" ref="A1239">INDEX(event_table!$A$2:$A$69, RANDBETWEEN(1, COUNTA(event_table!$A$2:$A$69)))</f>
        <v>1215</v>
      </c>
      <c r="B1239" s="6">
        <f t="array" ref="B1239">IFERROR(INDEX(event_table!$E$1:$E3686,MATCH(A1239,event_table!$A$1:$A3686,0)),"")
</f>
        <v>2</v>
      </c>
      <c r="C1239" s="7">
        <f t="shared" si="1"/>
        <v>64</v>
      </c>
      <c r="D1239" s="6" t="str">
        <f t="array" ref="D1239">IFERROR(INDEX(user_table!$C$2:$C3686,MATCH(C1239,user_table!$B$2:$B3686,0)),"")
</f>
        <v>Fajar Utami</v>
      </c>
      <c r="E1239" s="6" t="str">
        <f t="array" ref="E1239">IFERROR(INDEX(user_table!$E$2:$E3686,MATCH(C1239,user_table!$B$2:$B3686,0)),"")
</f>
        <v>5, 2</v>
      </c>
      <c r="F1239" s="6" t="str">
        <f t="shared" si="2"/>
        <v>12155264</v>
      </c>
      <c r="G1239" s="16">
        <v>5.0</v>
      </c>
      <c r="H1239" s="17">
        <v>45040.0</v>
      </c>
      <c r="I1239" s="18" t="s">
        <v>1227</v>
      </c>
    </row>
    <row r="1240">
      <c r="A1240" s="5" t="str">
        <f t="array" ref="A1240">INDEX(event_table!$A$2:$A$69, RANDBETWEEN(1, COUNTA(event_table!$A$2:$A$69)))</f>
        <v>1648</v>
      </c>
      <c r="B1240" s="6">
        <f t="array" ref="B1240">IFERROR(INDEX(event_table!$E$1:$E3686,MATCH(A1240,event_table!$A$1:$A3686,0)),"")
</f>
        <v>6</v>
      </c>
      <c r="C1240" s="7">
        <f t="shared" si="1"/>
        <v>82</v>
      </c>
      <c r="D1240" s="6" t="str">
        <f t="array" ref="D1240">IFERROR(INDEX(user_table!$C$2:$C3686,MATCH(C1240,user_table!$B$2:$B3686,0)),"")
</f>
        <v>Fandi Nurhayati</v>
      </c>
      <c r="E1240" s="6" t="str">
        <f t="array" ref="E1240">IFERROR(INDEX(user_table!$E$2:$E3686,MATCH(C1240,user_table!$B$2:$B3686,0)),"")
</f>
        <v>3, 2</v>
      </c>
      <c r="F1240" s="6" t="str">
        <f t="shared" si="2"/>
        <v>16485682</v>
      </c>
      <c r="G1240" s="16">
        <v>5.0</v>
      </c>
      <c r="H1240" s="17">
        <v>44871.0</v>
      </c>
      <c r="I1240" s="18" t="s">
        <v>1228</v>
      </c>
    </row>
    <row r="1241">
      <c r="A1241" s="5" t="str">
        <f t="array" ref="A1241">INDEX(event_table!$A$2:$A$69, RANDBETWEEN(1, COUNTA(event_table!$A$2:$A$69)))</f>
        <v>1645</v>
      </c>
      <c r="B1241" s="6">
        <f t="array" ref="B1241">IFERROR(INDEX(event_table!$E$1:$E3686,MATCH(A1241,event_table!$A$1:$A3686,0)),"")
</f>
        <v>6</v>
      </c>
      <c r="C1241" s="7">
        <f t="shared" si="1"/>
        <v>122</v>
      </c>
      <c r="D1241" s="6" t="str">
        <f t="array" ref="D1241">IFERROR(INDEX(user_table!$C$2:$C3686,MATCH(C1241,user_table!$B$2:$B3686,0)),"")
</f>
        <v>Maya Setiawan</v>
      </c>
      <c r="E1241" s="6" t="str">
        <f t="array" ref="E1241">IFERROR(INDEX(user_table!$E$2:$E3686,MATCH(C1241,user_table!$B$2:$B3686,0)),"")
</f>
        <v>2, 3</v>
      </c>
      <c r="F1241" s="6" t="str">
        <f t="shared" si="2"/>
        <v>164556122</v>
      </c>
      <c r="G1241" s="16">
        <v>5.0</v>
      </c>
      <c r="H1241" s="17">
        <v>44828.0</v>
      </c>
      <c r="I1241" s="18" t="s">
        <v>1229</v>
      </c>
    </row>
    <row r="1242">
      <c r="A1242" s="5" t="str">
        <f t="array" ref="A1242">INDEX(event_table!$A$2:$A$69, RANDBETWEEN(1, COUNTA(event_table!$A$2:$A$69)))</f>
        <v>1531</v>
      </c>
      <c r="B1242" s="6">
        <f t="array" ref="B1242">IFERROR(INDEX(event_table!$E$1:$E3686,MATCH(A1242,event_table!$A$1:$A3686,0)),"")
</f>
        <v>5</v>
      </c>
      <c r="C1242" s="7">
        <f t="shared" si="1"/>
        <v>105</v>
      </c>
      <c r="D1242" s="6" t="str">
        <f t="array" ref="D1242">IFERROR(INDEX(user_table!$C$2:$C3686,MATCH(C1242,user_table!$B$2:$B3686,0)),"")
</f>
        <v>Siti Susanto</v>
      </c>
      <c r="E1242" s="6" t="str">
        <f t="array" ref="E1242">IFERROR(INDEX(user_table!$E$2:$E3686,MATCH(C1242,user_table!$B$2:$B3686,0)),"")
</f>
        <v>2, 6</v>
      </c>
      <c r="F1242" s="6" t="str">
        <f t="shared" si="2"/>
        <v>153155105</v>
      </c>
      <c r="G1242" s="16">
        <v>5.0</v>
      </c>
      <c r="H1242" s="17">
        <v>44759.0</v>
      </c>
      <c r="I1242" s="18" t="s">
        <v>1230</v>
      </c>
    </row>
    <row r="1243">
      <c r="A1243" s="5" t="str">
        <f t="array" ref="A1243">INDEX(event_table!$A$2:$A$69, RANDBETWEEN(1, COUNTA(event_table!$A$2:$A$69)))</f>
        <v>3163</v>
      </c>
      <c r="B1243" s="6">
        <f t="array" ref="B1243">IFERROR(INDEX(event_table!$E$1:$E3686,MATCH(A1243,event_table!$A$1:$A3686,0)),"")
</f>
        <v>1</v>
      </c>
      <c r="C1243" s="7">
        <f t="shared" si="1"/>
        <v>140</v>
      </c>
      <c r="D1243" s="6" t="str">
        <f t="array" ref="D1243">IFERROR(INDEX(user_table!$C$2:$C3686,MATCH(C1243,user_table!$B$2:$B3686,0)),"")
</f>
        <v>Maya Wijaya</v>
      </c>
      <c r="E1243" s="6" t="str">
        <f t="array" ref="E1243">IFERROR(INDEX(user_table!$E$2:$E3686,MATCH(C1243,user_table!$B$2:$B3686,0)),"")
</f>
        <v>3, 2</v>
      </c>
      <c r="F1243" s="6" t="str">
        <f t="shared" si="2"/>
        <v>316351140</v>
      </c>
      <c r="G1243" s="16">
        <v>5.0</v>
      </c>
      <c r="H1243" s="17">
        <v>44734.0</v>
      </c>
      <c r="I1243" s="18" t="s">
        <v>1231</v>
      </c>
    </row>
    <row r="1244">
      <c r="A1244" s="5" t="str">
        <f t="array" ref="A1244">INDEX(event_table!$A$2:$A$69, RANDBETWEEN(1, COUNTA(event_table!$A$2:$A$69)))</f>
        <v>1636</v>
      </c>
      <c r="B1244" s="6">
        <f t="array" ref="B1244">IFERROR(INDEX(event_table!$E$1:$E3686,MATCH(A1244,event_table!$A$1:$A3686,0)),"")
</f>
        <v>6</v>
      </c>
      <c r="C1244" s="7">
        <f t="shared" si="1"/>
        <v>160</v>
      </c>
      <c r="D1244" s="6" t="str">
        <f t="array" ref="D1244">IFERROR(INDEX(user_table!$C$2:$C3686,MATCH(C1244,user_table!$B$2:$B3686,0)),"")
</f>
        <v>Hadi Hadiwijaya</v>
      </c>
      <c r="E1244" s="6" t="str">
        <f t="array" ref="E1244">IFERROR(INDEX(user_table!$E$2:$E3686,MATCH(C1244,user_table!$B$2:$B3686,0)),"")
</f>
        <v>2, 4</v>
      </c>
      <c r="F1244" s="6" t="str">
        <f t="shared" si="2"/>
        <v>163656160</v>
      </c>
      <c r="G1244" s="16">
        <v>5.0</v>
      </c>
      <c r="H1244" s="17">
        <v>44696.0</v>
      </c>
      <c r="I1244" s="18" t="s">
        <v>1232</v>
      </c>
    </row>
    <row r="1245">
      <c r="A1245" s="5" t="str">
        <f t="array" ref="A1245">INDEX(event_table!$A$2:$A$69, RANDBETWEEN(1, COUNTA(event_table!$A$2:$A$69)))</f>
        <v>1334</v>
      </c>
      <c r="B1245" s="6">
        <f t="array" ref="B1245">IFERROR(INDEX(event_table!$E$1:$E3686,MATCH(A1245,event_table!$A$1:$A3686,0)),"")
</f>
        <v>3</v>
      </c>
      <c r="C1245" s="7">
        <f t="shared" si="1"/>
        <v>30</v>
      </c>
      <c r="D1245" s="6" t="str">
        <f t="array" ref="D1245">IFERROR(INDEX(user_table!$C$2:$C3686,MATCH(C1245,user_table!$B$2:$B3686,0)),"")
</f>
        <v>Fajar Kurniawan</v>
      </c>
      <c r="E1245" s="6" t="str">
        <f t="array" ref="E1245">IFERROR(INDEX(user_table!$E$2:$E3686,MATCH(C1245,user_table!$B$2:$B3686,0)),"")
</f>
        <v>5, 3</v>
      </c>
      <c r="F1245" s="6" t="str">
        <f t="shared" si="2"/>
        <v>13345330</v>
      </c>
      <c r="G1245" s="16">
        <v>5.0</v>
      </c>
      <c r="H1245" s="17">
        <v>44681.0</v>
      </c>
      <c r="I1245" s="18" t="s">
        <v>1233</v>
      </c>
    </row>
    <row r="1246">
      <c r="A1246" s="5" t="str">
        <f t="array" ref="A1246">INDEX(event_table!$A$2:$A$69, RANDBETWEEN(1, COUNTA(event_table!$A$2:$A$69)))</f>
        <v>1212</v>
      </c>
      <c r="B1246" s="6">
        <f t="array" ref="B1246">IFERROR(INDEX(event_table!$E$1:$E3686,MATCH(A1246,event_table!$A$1:$A3686,0)),"")
</f>
        <v>2</v>
      </c>
      <c r="C1246" s="7">
        <f t="shared" si="1"/>
        <v>185</v>
      </c>
      <c r="D1246" s="6" t="str">
        <f t="array" ref="D1246">IFERROR(INDEX(user_table!$C$2:$C3686,MATCH(C1246,user_table!$B$2:$B3686,0)),"")
</f>
        <v>Budi Wijaya</v>
      </c>
      <c r="E1246" s="6" t="str">
        <f t="array" ref="E1246">IFERROR(INDEX(user_table!$E$2:$E3686,MATCH(C1246,user_table!$B$2:$B3686,0)),"")
</f>
        <v>6, 3</v>
      </c>
      <c r="F1246" s="6" t="str">
        <f t="shared" si="2"/>
        <v>121242185</v>
      </c>
      <c r="G1246" s="16">
        <v>4.0</v>
      </c>
      <c r="H1246" s="17">
        <v>44745.0</v>
      </c>
      <c r="I1246" s="18" t="s">
        <v>1234</v>
      </c>
    </row>
    <row r="1247">
      <c r="A1247" s="5" t="str">
        <f t="array" ref="A1247">INDEX(event_table!$A$2:$A$69, RANDBETWEEN(1, COUNTA(event_table!$A$2:$A$69)))</f>
        <v>1423</v>
      </c>
      <c r="B1247" s="6">
        <f t="array" ref="B1247">IFERROR(INDEX(event_table!$E$1:$E3686,MATCH(A1247,event_table!$A$1:$A3686,0)),"")
</f>
        <v>4</v>
      </c>
      <c r="C1247" s="7">
        <f t="shared" si="1"/>
        <v>48</v>
      </c>
      <c r="D1247" s="6" t="str">
        <f t="array" ref="D1247">IFERROR(INDEX(user_table!$C$2:$C3686,MATCH(C1247,user_table!$B$2:$B3686,0)),"")
</f>
        <v>Maya Kusuma</v>
      </c>
      <c r="E1247" s="6" t="str">
        <f t="array" ref="E1247">IFERROR(INDEX(user_table!$E$2:$E3686,MATCH(C1247,user_table!$B$2:$B3686,0)),"")
</f>
        <v>2, 3</v>
      </c>
      <c r="F1247" s="6" t="str">
        <f t="shared" si="2"/>
        <v>14234448</v>
      </c>
      <c r="G1247" s="16">
        <v>4.0</v>
      </c>
      <c r="H1247" s="17">
        <v>44856.0</v>
      </c>
      <c r="I1247" s="18" t="s">
        <v>1235</v>
      </c>
    </row>
    <row r="1248">
      <c r="A1248" s="5" t="str">
        <f t="array" ref="A1248">INDEX(event_table!$A$2:$A$69, RANDBETWEEN(1, COUNTA(event_table!$A$2:$A$69)))</f>
        <v>1425</v>
      </c>
      <c r="B1248" s="6">
        <f t="array" ref="B1248">IFERROR(INDEX(event_table!$E$1:$E3686,MATCH(A1248,event_table!$A$1:$A3686,0)),"")
</f>
        <v>4</v>
      </c>
      <c r="C1248" s="7">
        <f t="shared" si="1"/>
        <v>130</v>
      </c>
      <c r="D1248" s="6" t="str">
        <f t="array" ref="D1248">IFERROR(INDEX(user_table!$C$2:$C3686,MATCH(C1248,user_table!$B$2:$B3686,0)),"")
</f>
        <v>Andi Putri</v>
      </c>
      <c r="E1248" s="6" t="str">
        <f t="array" ref="E1248">IFERROR(INDEX(user_table!$E$2:$E3686,MATCH(C1248,user_table!$B$2:$B3686,0)),"")
</f>
        <v>2, 3</v>
      </c>
      <c r="F1248" s="6" t="str">
        <f t="shared" si="2"/>
        <v>142544130</v>
      </c>
      <c r="G1248" s="16">
        <v>4.0</v>
      </c>
      <c r="H1248" s="17">
        <v>44713.0</v>
      </c>
      <c r="I1248" s="18" t="s">
        <v>1236</v>
      </c>
    </row>
    <row r="1249">
      <c r="A1249" s="5" t="str">
        <f t="array" ref="A1249">INDEX(event_table!$A$2:$A$69, RANDBETWEEN(1, COUNTA(event_table!$A$2:$A$69)))</f>
        <v>1111</v>
      </c>
      <c r="B1249" s="6">
        <f t="array" ref="B1249">IFERROR(INDEX(event_table!$E$1:$E3686,MATCH(A1249,event_table!$A$1:$A3686,0)),"")
</f>
        <v>1</v>
      </c>
      <c r="C1249" s="7">
        <f t="shared" si="1"/>
        <v>98</v>
      </c>
      <c r="D1249" s="6" t="str">
        <f t="array" ref="D1249">IFERROR(INDEX(user_table!$C$2:$C3686,MATCH(C1249,user_table!$B$2:$B3686,0)),"")
</f>
        <v>Agus Hidayat</v>
      </c>
      <c r="E1249" s="6" t="str">
        <f t="array" ref="E1249">IFERROR(INDEX(user_table!$E$2:$E3686,MATCH(C1249,user_table!$B$2:$B3686,0)),"")
</f>
        <v>3, 6</v>
      </c>
      <c r="F1249" s="6" t="str">
        <f t="shared" si="2"/>
        <v>11114198</v>
      </c>
      <c r="G1249" s="16">
        <v>4.0</v>
      </c>
      <c r="H1249" s="17">
        <v>44702.0</v>
      </c>
      <c r="I1249" s="18" t="s">
        <v>1237</v>
      </c>
    </row>
    <row r="1250">
      <c r="A1250" s="5" t="str">
        <f t="array" ref="A1250">INDEX(event_table!$A$2:$A$69, RANDBETWEEN(1, COUNTA(event_table!$A$2:$A$69)))</f>
        <v>119</v>
      </c>
      <c r="B1250" s="6">
        <f t="array" ref="B1250">IFERROR(INDEX(event_table!$E$1:$E3686,MATCH(A1250,event_table!$A$1:$A3686,0)),"")
</f>
        <v>1</v>
      </c>
      <c r="C1250" s="7">
        <f t="shared" si="1"/>
        <v>59</v>
      </c>
      <c r="D1250" s="6" t="str">
        <f t="array" ref="D1250">IFERROR(INDEX(user_table!$C$2:$C3686,MATCH(C1250,user_table!$B$2:$B3686,0)),"")
</f>
        <v>Siti Rahayu</v>
      </c>
      <c r="E1250" s="6" t="str">
        <f t="array" ref="E1250">IFERROR(INDEX(user_table!$E$2:$E3686,MATCH(C1250,user_table!$B$2:$B3686,0)),"")
</f>
        <v>3, 5</v>
      </c>
      <c r="F1250" s="6" t="str">
        <f t="shared" si="2"/>
        <v>1194159</v>
      </c>
      <c r="G1250" s="16">
        <v>4.0</v>
      </c>
      <c r="H1250" s="17">
        <v>44688.0</v>
      </c>
      <c r="I1250" s="18" t="s">
        <v>1238</v>
      </c>
    </row>
    <row r="1251">
      <c r="A1251" s="5" t="str">
        <f t="array" ref="A1251">INDEX(event_table!$A$2:$A$69, RANDBETWEEN(1, COUNTA(event_table!$A$2:$A$69)))</f>
        <v>114</v>
      </c>
      <c r="B1251" s="6">
        <f t="array" ref="B1251">IFERROR(INDEX(event_table!$E$1:$E3686,MATCH(A1251,event_table!$A$1:$A3686,0)),"")
</f>
        <v>1</v>
      </c>
      <c r="C1251" s="7">
        <f t="shared" si="1"/>
        <v>54</v>
      </c>
      <c r="D1251" s="6" t="str">
        <f t="array" ref="D1251">IFERROR(INDEX(user_table!$C$2:$C3686,MATCH(C1251,user_table!$B$2:$B3686,0)),"")
</f>
        <v>Andi Kurniawan</v>
      </c>
      <c r="E1251" s="6" t="str">
        <f t="array" ref="E1251">IFERROR(INDEX(user_table!$E$2:$E3686,MATCH(C1251,user_table!$B$2:$B3686,0)),"")
</f>
        <v>4, 4</v>
      </c>
      <c r="F1251" s="6" t="str">
        <f t="shared" si="2"/>
        <v>1144154</v>
      </c>
      <c r="G1251" s="16">
        <v>4.0</v>
      </c>
      <c r="H1251" s="17">
        <v>44686.0</v>
      </c>
      <c r="I1251" s="18" t="s">
        <v>1239</v>
      </c>
    </row>
    <row r="1252">
      <c r="A1252" s="5" t="str">
        <f t="array" ref="A1252">INDEX(event_table!$A$2:$A$69, RANDBETWEEN(1, COUNTA(event_table!$A$2:$A$69)))</f>
        <v>1313</v>
      </c>
      <c r="B1252" s="6">
        <f t="array" ref="B1252">IFERROR(INDEX(event_table!$E$1:$E3686,MATCH(A1252,event_table!$A$1:$A3686,0)),"")
</f>
        <v>3</v>
      </c>
      <c r="C1252" s="7">
        <f t="shared" si="1"/>
        <v>168</v>
      </c>
      <c r="D1252" s="6" t="str">
        <f t="array" ref="D1252">IFERROR(INDEX(user_table!$C$2:$C3686,MATCH(C1252,user_table!$B$2:$B3686,0)),"")
</f>
        <v>Lina Kurniawan</v>
      </c>
      <c r="E1252" s="6" t="str">
        <f t="array" ref="E1252">IFERROR(INDEX(user_table!$E$2:$E3686,MATCH(C1252,user_table!$B$2:$B3686,0)),"")
</f>
        <v>2, 2</v>
      </c>
      <c r="F1252" s="6" t="str">
        <f t="shared" si="2"/>
        <v>131343168</v>
      </c>
      <c r="G1252" s="16">
        <v>4.0</v>
      </c>
      <c r="H1252" s="17">
        <v>45138.0</v>
      </c>
      <c r="I1252" s="18" t="s">
        <v>1240</v>
      </c>
    </row>
    <row r="1253">
      <c r="A1253" s="5" t="str">
        <f t="array" ref="A1253">INDEX(event_table!$A$2:$A$69, RANDBETWEEN(1, COUNTA(event_table!$A$2:$A$69)))</f>
        <v>1114</v>
      </c>
      <c r="B1253" s="6">
        <f t="array" ref="B1253">IFERROR(INDEX(event_table!$E$1:$E3686,MATCH(A1253,event_table!$A$1:$A3686,0)),"")
</f>
        <v>1</v>
      </c>
      <c r="C1253" s="7">
        <f t="shared" si="1"/>
        <v>51</v>
      </c>
      <c r="D1253" s="6" t="str">
        <f t="array" ref="D1253">IFERROR(INDEX(user_table!$C$2:$C3686,MATCH(C1253,user_table!$B$2:$B3686,0)),"")
</f>
        <v>Fandi Pratama</v>
      </c>
      <c r="E1253" s="6" t="str">
        <f t="array" ref="E1253">IFERROR(INDEX(user_table!$E$2:$E3686,MATCH(C1253,user_table!$B$2:$B3686,0)),"")
</f>
        <v>2, 1</v>
      </c>
      <c r="F1253" s="6" t="str">
        <f t="shared" si="2"/>
        <v>11144151</v>
      </c>
      <c r="G1253" s="16">
        <v>4.0</v>
      </c>
      <c r="H1253" s="17">
        <v>45063.0</v>
      </c>
      <c r="I1253" s="18" t="s">
        <v>1241</v>
      </c>
    </row>
    <row r="1254">
      <c r="A1254" s="5" t="str">
        <f t="array" ref="A1254">INDEX(event_table!$A$2:$A$69, RANDBETWEEN(1, COUNTA(event_table!$A$2:$A$69)))</f>
        <v>1110</v>
      </c>
      <c r="B1254" s="6">
        <f t="array" ref="B1254">IFERROR(INDEX(event_table!$E$1:$E3686,MATCH(A1254,event_table!$A$1:$A3686,0)),"")
</f>
        <v>1</v>
      </c>
      <c r="C1254" s="7">
        <f t="shared" si="1"/>
        <v>187</v>
      </c>
      <c r="D1254" s="6" t="str">
        <f t="array" ref="D1254">IFERROR(INDEX(user_table!$C$2:$C3686,MATCH(C1254,user_table!$B$2:$B3686,0)),"")
</f>
        <v>Bambang Saputra</v>
      </c>
      <c r="E1254" s="6" t="str">
        <f t="array" ref="E1254">IFERROR(INDEX(user_table!$E$2:$E3686,MATCH(C1254,user_table!$B$2:$B3686,0)),"")
</f>
        <v>3, 1</v>
      </c>
      <c r="F1254" s="6" t="str">
        <f t="shared" si="2"/>
        <v>111041187</v>
      </c>
      <c r="G1254" s="16">
        <v>4.0</v>
      </c>
      <c r="H1254" s="17">
        <v>44770.0</v>
      </c>
      <c r="I1254" s="18" t="s">
        <v>1242</v>
      </c>
    </row>
    <row r="1255">
      <c r="A1255" s="5" t="str">
        <f t="array" ref="A1255">INDEX(event_table!$A$2:$A$69, RANDBETWEEN(1, COUNTA(event_table!$A$2:$A$69)))</f>
        <v>1644</v>
      </c>
      <c r="B1255" s="6">
        <f t="array" ref="B1255">IFERROR(INDEX(event_table!$E$1:$E3686,MATCH(A1255,event_table!$A$1:$A3686,0)),"")
</f>
        <v>6</v>
      </c>
      <c r="C1255" s="7">
        <f t="shared" si="1"/>
        <v>134</v>
      </c>
      <c r="D1255" s="6" t="str">
        <f t="array" ref="D1255">IFERROR(INDEX(user_table!$C$2:$C3686,MATCH(C1255,user_table!$B$2:$B3686,0)),"")
</f>
        <v>Maya Septiani</v>
      </c>
      <c r="E1255" s="6" t="str">
        <f t="array" ref="E1255">IFERROR(INDEX(user_table!$E$2:$E3686,MATCH(C1255,user_table!$B$2:$B3686,0)),"")
</f>
        <v>2, 4</v>
      </c>
      <c r="F1255" s="6" t="str">
        <f t="shared" si="2"/>
        <v>164446134</v>
      </c>
      <c r="G1255" s="16">
        <v>4.0</v>
      </c>
      <c r="H1255" s="17">
        <v>44736.0</v>
      </c>
      <c r="I1255" s="18" t="s">
        <v>1243</v>
      </c>
    </row>
    <row r="1256">
      <c r="A1256" s="5" t="str">
        <f t="array" ref="A1256">INDEX(event_table!$A$2:$A$69, RANDBETWEEN(1, COUNTA(event_table!$A$2:$A$69)))</f>
        <v>1110</v>
      </c>
      <c r="B1256" s="6">
        <f t="array" ref="B1256">IFERROR(INDEX(event_table!$E$1:$E3686,MATCH(A1256,event_table!$A$1:$A3686,0)),"")
</f>
        <v>1</v>
      </c>
      <c r="C1256" s="7">
        <f t="shared" si="1"/>
        <v>20</v>
      </c>
      <c r="D1256" s="6" t="str">
        <f t="array" ref="D1256">IFERROR(INDEX(user_table!$C$2:$C3686,MATCH(C1256,user_table!$B$2:$B3686,0)),"")
</f>
        <v>Arif Septiani</v>
      </c>
      <c r="E1256" s="6" t="str">
        <f t="array" ref="E1256">IFERROR(INDEX(user_table!$E$2:$E3686,MATCH(C1256,user_table!$B$2:$B3686,0)),"")
</f>
        <v>6, 3</v>
      </c>
      <c r="F1256" s="6" t="str">
        <f t="shared" si="2"/>
        <v>11103120</v>
      </c>
      <c r="G1256" s="16">
        <v>3.0</v>
      </c>
      <c r="H1256" s="17">
        <v>45095.0</v>
      </c>
      <c r="I1256" s="18" t="s">
        <v>1244</v>
      </c>
    </row>
    <row r="1257">
      <c r="A1257" s="5" t="str">
        <f t="array" ref="A1257">INDEX(event_table!$A$2:$A$69, RANDBETWEEN(1, COUNTA(event_table!$A$2:$A$69)))</f>
        <v>3165</v>
      </c>
      <c r="B1257" s="6">
        <f t="array" ref="B1257">IFERROR(INDEX(event_table!$E$1:$E3686,MATCH(A1257,event_table!$A$1:$A3686,0)),"")
</f>
        <v>1</v>
      </c>
      <c r="C1257" s="7">
        <f t="shared" si="1"/>
        <v>9</v>
      </c>
      <c r="D1257" s="6" t="str">
        <f t="array" ref="D1257">IFERROR(INDEX(user_table!$C$2:$C3686,MATCH(C1257,user_table!$B$2:$B3686,0)),"")
</f>
        <v>Dina Pratama</v>
      </c>
      <c r="E1257" s="6" t="str">
        <f t="array" ref="E1257">IFERROR(INDEX(user_table!$E$2:$E3686,MATCH(C1257,user_table!$B$2:$B3686,0)),"")
</f>
        <v>2, 3</v>
      </c>
      <c r="F1257" s="6" t="str">
        <f t="shared" si="2"/>
        <v>3165319</v>
      </c>
      <c r="G1257" s="16">
        <v>3.0</v>
      </c>
      <c r="H1257" s="17">
        <v>45099.0</v>
      </c>
      <c r="I1257" s="18" t="s">
        <v>1245</v>
      </c>
    </row>
    <row r="1258">
      <c r="A1258" s="5" t="str">
        <f t="array" ref="A1258">INDEX(event_table!$A$2:$A$69, RANDBETWEEN(1, COUNTA(event_table!$A$2:$A$69)))</f>
        <v>117</v>
      </c>
      <c r="B1258" s="6">
        <f t="array" ref="B1258">IFERROR(INDEX(event_table!$E$1:$E3686,MATCH(A1258,event_table!$A$1:$A3686,0)),"")
</f>
        <v>1</v>
      </c>
      <c r="C1258" s="7">
        <f t="shared" si="1"/>
        <v>103</v>
      </c>
      <c r="D1258" s="6" t="str">
        <f t="array" ref="D1258">IFERROR(INDEX(user_table!$C$2:$C3686,MATCH(C1258,user_table!$B$2:$B3686,0)),"")
</f>
        <v>Hadi Sari</v>
      </c>
      <c r="E1258" s="6" t="str">
        <f t="array" ref="E1258">IFERROR(INDEX(user_table!$E$2:$E3686,MATCH(C1258,user_table!$B$2:$B3686,0)),"")
</f>
        <v>3, 1</v>
      </c>
      <c r="F1258" s="6" t="str">
        <f t="shared" si="2"/>
        <v>11731103</v>
      </c>
      <c r="G1258" s="16">
        <v>3.0</v>
      </c>
      <c r="H1258" s="17">
        <v>44700.0</v>
      </c>
      <c r="I1258" s="18" t="s">
        <v>1246</v>
      </c>
    </row>
    <row r="1259">
      <c r="A1259" s="5" t="str">
        <f t="array" ref="A1259">INDEX(event_table!$A$2:$A$69, RANDBETWEEN(1, COUNTA(event_table!$A$2:$A$69)))</f>
        <v>3454</v>
      </c>
      <c r="B1259" s="6">
        <f t="array" ref="B1259">IFERROR(INDEX(event_table!$E$1:$E3686,MATCH(A1259,event_table!$A$1:$A3686,0)),"")
</f>
        <v>4</v>
      </c>
      <c r="C1259" s="7">
        <f t="shared" si="1"/>
        <v>115</v>
      </c>
      <c r="D1259" s="6" t="str">
        <f t="array" ref="D1259">IFERROR(INDEX(user_table!$C$2:$C3686,MATCH(C1259,user_table!$B$2:$B3686,0)),"")
</f>
        <v>Dewi Septiani</v>
      </c>
      <c r="E1259" s="6" t="str">
        <f t="array" ref="E1259">IFERROR(INDEX(user_table!$E$2:$E3686,MATCH(C1259,user_table!$B$2:$B3686,0)),"")
</f>
        <v>6, 3</v>
      </c>
      <c r="F1259" s="6" t="str">
        <f t="shared" si="2"/>
        <v>345434115</v>
      </c>
      <c r="G1259" s="16">
        <v>3.0</v>
      </c>
      <c r="H1259" s="17">
        <v>45177.0</v>
      </c>
      <c r="I1259" s="18" t="s">
        <v>1247</v>
      </c>
    </row>
    <row r="1260">
      <c r="A1260" s="5" t="str">
        <f t="array" ref="A1260">INDEX(event_table!$A$2:$A$69, RANDBETWEEN(1, COUNTA(event_table!$A$2:$A$69)))</f>
        <v>3658</v>
      </c>
      <c r="B1260" s="6">
        <f t="array" ref="B1260">IFERROR(INDEX(event_table!$E$1:$E3686,MATCH(A1260,event_table!$A$1:$A3686,0)),"")
</f>
        <v>6</v>
      </c>
      <c r="C1260" s="7">
        <f t="shared" si="1"/>
        <v>120</v>
      </c>
      <c r="D1260" s="6" t="str">
        <f t="array" ref="D1260">IFERROR(INDEX(user_table!$C$2:$C3686,MATCH(C1260,user_table!$B$2:$B3686,0)),"")
</f>
        <v>Dewi Septiani</v>
      </c>
      <c r="E1260" s="6" t="str">
        <f t="array" ref="E1260">IFERROR(INDEX(user_table!$E$2:$E3686,MATCH(C1260,user_table!$B$2:$B3686,0)),"")
</f>
        <v>5, 3</v>
      </c>
      <c r="F1260" s="6" t="str">
        <f t="shared" si="2"/>
        <v>365826120</v>
      </c>
      <c r="G1260" s="16">
        <v>2.0</v>
      </c>
      <c r="H1260" s="17">
        <v>45065.0</v>
      </c>
      <c r="I1260" s="18" t="s">
        <v>1248</v>
      </c>
    </row>
    <row r="1261">
      <c r="A1261" s="5" t="str">
        <f t="array" ref="A1261">INDEX(event_table!$A$2:$A$69, RANDBETWEEN(1, COUNTA(event_table!$A$2:$A$69)))</f>
        <v>1641</v>
      </c>
      <c r="B1261" s="6">
        <f t="array" ref="B1261">IFERROR(INDEX(event_table!$E$1:$E3686,MATCH(A1261,event_table!$A$1:$A3686,0)),"")
</f>
        <v>6</v>
      </c>
      <c r="C1261" s="7">
        <f t="shared" si="1"/>
        <v>115</v>
      </c>
      <c r="D1261" s="6" t="str">
        <f t="array" ref="D1261">IFERROR(INDEX(user_table!$C$2:$C3686,MATCH(C1261,user_table!$B$2:$B3686,0)),"")
</f>
        <v>Dewi Septiani</v>
      </c>
      <c r="E1261" s="6" t="str">
        <f t="array" ref="E1261">IFERROR(INDEX(user_table!$E$2:$E3686,MATCH(C1261,user_table!$B$2:$B3686,0)),"")
</f>
        <v>6, 3</v>
      </c>
      <c r="F1261" s="6" t="str">
        <f t="shared" si="2"/>
        <v>164126115</v>
      </c>
      <c r="G1261" s="16">
        <v>2.0</v>
      </c>
      <c r="H1261" s="17">
        <v>44733.0</v>
      </c>
      <c r="I1261" s="18" t="s">
        <v>1249</v>
      </c>
    </row>
    <row r="1262">
      <c r="A1262" s="5" t="str">
        <f t="array" ref="A1262">INDEX(event_table!$A$2:$A$69, RANDBETWEEN(1, COUNTA(event_table!$A$2:$A$69)))</f>
        <v>3657</v>
      </c>
      <c r="B1262" s="6">
        <f t="array" ref="B1262">IFERROR(INDEX(event_table!$E$1:$E3686,MATCH(A1262,event_table!$A$1:$A3686,0)),"")
</f>
        <v>6</v>
      </c>
      <c r="C1262" s="7">
        <f t="shared" si="1"/>
        <v>195</v>
      </c>
      <c r="D1262" s="6" t="str">
        <f t="array" ref="D1262">IFERROR(INDEX(user_table!$C$2:$C3686,MATCH(C1262,user_table!$B$2:$B3686,0)),"")
</f>
        <v>Rudi Purnama</v>
      </c>
      <c r="E1262" s="6" t="str">
        <f t="array" ref="E1262">IFERROR(INDEX(user_table!$E$2:$E3686,MATCH(C1262,user_table!$B$2:$B3686,0)),"")
</f>
        <v>2, 4</v>
      </c>
      <c r="F1262" s="6" t="str">
        <f t="shared" si="2"/>
        <v>365726195</v>
      </c>
      <c r="G1262" s="16">
        <v>2.0</v>
      </c>
      <c r="H1262" s="17">
        <v>44667.0</v>
      </c>
      <c r="I1262" s="18" t="s">
        <v>1250</v>
      </c>
    </row>
    <row r="1263">
      <c r="A1263" s="5" t="str">
        <f t="array" ref="A1263">INDEX(event_table!$A$2:$A$69, RANDBETWEEN(1, COUNTA(event_table!$A$2:$A$69)))</f>
        <v>3454</v>
      </c>
      <c r="B1263" s="6">
        <f t="array" ref="B1263">IFERROR(INDEX(event_table!$E$1:$E3686,MATCH(A1263,event_table!$A$1:$A3686,0)),"")
</f>
        <v>4</v>
      </c>
      <c r="C1263" s="7">
        <f t="shared" si="1"/>
        <v>97</v>
      </c>
      <c r="D1263" s="6" t="str">
        <f t="array" ref="D1263">IFERROR(INDEX(user_table!$C$2:$C3686,MATCH(C1263,user_table!$B$2:$B3686,0)),"")
</f>
        <v>Dewi Hidayat</v>
      </c>
      <c r="E1263" s="6" t="str">
        <f t="array" ref="E1263">IFERROR(INDEX(user_table!$E$2:$E3686,MATCH(C1263,user_table!$B$2:$B3686,0)),"")
</f>
        <v>2, 2</v>
      </c>
      <c r="F1263" s="6" t="str">
        <f t="shared" si="2"/>
        <v>34542497</v>
      </c>
      <c r="G1263" s="16">
        <v>2.0</v>
      </c>
      <c r="H1263" s="17">
        <v>44649.0</v>
      </c>
      <c r="I1263" s="18" t="s">
        <v>1251</v>
      </c>
    </row>
    <row r="1264">
      <c r="A1264" s="5" t="str">
        <f t="array" ref="A1264">INDEX(event_table!$A$2:$A$69, RANDBETWEEN(1, COUNTA(event_table!$A$2:$A$69)))</f>
        <v>3166</v>
      </c>
      <c r="B1264" s="6">
        <f t="array" ref="B1264">IFERROR(INDEX(event_table!$E$1:$E3686,MATCH(A1264,event_table!$A$1:$A3686,0)),"")
</f>
        <v>1</v>
      </c>
      <c r="C1264" s="7">
        <f t="shared" si="1"/>
        <v>79</v>
      </c>
      <c r="D1264" s="6" t="str">
        <f t="array" ref="D1264">IFERROR(INDEX(user_table!$C$2:$C3686,MATCH(C1264,user_table!$B$2:$B3686,0)),"")
</f>
        <v>Arif Nugroho</v>
      </c>
      <c r="E1264" s="6" t="str">
        <f t="array" ref="E1264">IFERROR(INDEX(user_table!$E$2:$E3686,MATCH(C1264,user_table!$B$2:$B3686,0)),"")
</f>
        <v>2, 3</v>
      </c>
      <c r="F1264" s="6" t="str">
        <f t="shared" si="2"/>
        <v>31662179</v>
      </c>
      <c r="G1264" s="16">
        <v>2.0</v>
      </c>
      <c r="H1264" s="17">
        <v>45233.0</v>
      </c>
      <c r="I1264" s="18" t="s">
        <v>1252</v>
      </c>
    </row>
    <row r="1265">
      <c r="A1265" s="5" t="str">
        <f t="array" ref="A1265">INDEX(event_table!$A$2:$A$69, RANDBETWEEN(1, COUNTA(event_table!$A$2:$A$69)))</f>
        <v>3164</v>
      </c>
      <c r="B1265" s="6">
        <f t="array" ref="B1265">IFERROR(INDEX(event_table!$E$1:$E3686,MATCH(A1265,event_table!$A$1:$A3686,0)),"")
</f>
        <v>1</v>
      </c>
      <c r="C1265" s="7">
        <f t="shared" si="1"/>
        <v>195</v>
      </c>
      <c r="D1265" s="6" t="str">
        <f t="array" ref="D1265">IFERROR(INDEX(user_table!$C$2:$C3686,MATCH(C1265,user_table!$B$2:$B3686,0)),"")
</f>
        <v>Rudi Purnama</v>
      </c>
      <c r="E1265" s="6" t="str">
        <f t="array" ref="E1265">IFERROR(INDEX(user_table!$E$2:$E3686,MATCH(C1265,user_table!$B$2:$B3686,0)),"")
</f>
        <v>2, 4</v>
      </c>
      <c r="F1265" s="6" t="str">
        <f t="shared" si="2"/>
        <v>316421195</v>
      </c>
      <c r="G1265" s="16">
        <v>2.0</v>
      </c>
      <c r="H1265" s="17">
        <v>45146.0</v>
      </c>
      <c r="I1265" s="18" t="s">
        <v>1253</v>
      </c>
    </row>
    <row r="1266">
      <c r="A1266" s="5" t="str">
        <f t="array" ref="A1266">INDEX(event_table!$A$2:$A$69, RANDBETWEEN(1, COUNTA(event_table!$A$2:$A$69)))</f>
        <v>116</v>
      </c>
      <c r="B1266" s="6">
        <f t="array" ref="B1266">IFERROR(INDEX(event_table!$E$1:$E3686,MATCH(A1266,event_table!$A$1:$A3686,0)),"")
</f>
        <v>1</v>
      </c>
      <c r="C1266" s="7">
        <f t="shared" si="1"/>
        <v>18</v>
      </c>
      <c r="D1266" s="6" t="str">
        <f t="array" ref="D1266">IFERROR(INDEX(user_table!$C$2:$C3686,MATCH(C1266,user_table!$B$2:$B3686,0)),"")
</f>
        <v>Rudi Santoso</v>
      </c>
      <c r="E1266" s="6" t="str">
        <f t="array" ref="E1266">IFERROR(INDEX(user_table!$E$2:$E3686,MATCH(C1266,user_table!$B$2:$B3686,0)),"")
</f>
        <v>4, 2</v>
      </c>
      <c r="F1266" s="6" t="str">
        <f t="shared" si="2"/>
        <v>1162118</v>
      </c>
      <c r="G1266" s="16">
        <v>2.0</v>
      </c>
      <c r="H1266" s="17">
        <v>45090.0</v>
      </c>
      <c r="I1266" s="18" t="s">
        <v>1254</v>
      </c>
    </row>
    <row r="1267">
      <c r="A1267" s="5" t="str">
        <f t="array" ref="A1267">INDEX(event_table!$A$2:$A$69, RANDBETWEEN(1, COUNTA(event_table!$A$2:$A$69)))</f>
        <v>3169</v>
      </c>
      <c r="B1267" s="6">
        <f t="array" ref="B1267">IFERROR(INDEX(event_table!$E$1:$E3686,MATCH(A1267,event_table!$A$1:$A3686,0)),"")
</f>
        <v>1</v>
      </c>
      <c r="C1267" s="7">
        <f t="shared" si="1"/>
        <v>128</v>
      </c>
      <c r="D1267" s="6" t="str">
        <f t="array" ref="D1267">IFERROR(INDEX(user_table!$C$2:$C3686,MATCH(C1267,user_table!$B$2:$B3686,0)),"")
</f>
        <v>Bambang Utami</v>
      </c>
      <c r="E1267" s="6" t="str">
        <f t="array" ref="E1267">IFERROR(INDEX(user_table!$E$2:$E3686,MATCH(C1267,user_table!$B$2:$B3686,0)),"")
</f>
        <v>3, 6</v>
      </c>
      <c r="F1267" s="6" t="str">
        <f t="shared" si="2"/>
        <v>316911128</v>
      </c>
      <c r="G1267" s="16">
        <v>1.0</v>
      </c>
      <c r="H1267" s="17">
        <v>45239.0</v>
      </c>
      <c r="I1267" s="18" t="s">
        <v>1255</v>
      </c>
    </row>
    <row r="1268">
      <c r="A1268" s="5" t="str">
        <f t="array" ref="A1268">INDEX(event_table!$A$2:$A$69, RANDBETWEEN(1, COUNTA(event_table!$A$2:$A$69)))</f>
        <v>1531</v>
      </c>
      <c r="B1268" s="6">
        <f t="array" ref="B1268">IFERROR(INDEX(event_table!$E$1:$E3686,MATCH(A1268,event_table!$A$1:$A3686,0)),"")
</f>
        <v>5</v>
      </c>
      <c r="C1268" s="7">
        <f t="shared" si="1"/>
        <v>122</v>
      </c>
      <c r="D1268" s="6" t="str">
        <f t="array" ref="D1268">IFERROR(INDEX(user_table!$C$2:$C3686,MATCH(C1268,user_table!$B$2:$B3686,0)),"")
</f>
        <v>Maya Setiawan</v>
      </c>
      <c r="E1268" s="6" t="str">
        <f t="array" ref="E1268">IFERROR(INDEX(user_table!$E$2:$E3686,MATCH(C1268,user_table!$B$2:$B3686,0)),"")
</f>
        <v>2, 3</v>
      </c>
      <c r="F1268" s="6" t="str">
        <f t="shared" si="2"/>
        <v>153115122</v>
      </c>
      <c r="G1268" s="16">
        <v>1.0</v>
      </c>
      <c r="H1268" s="17">
        <v>45253.0</v>
      </c>
      <c r="I1268" s="18" t="s">
        <v>1256</v>
      </c>
    </row>
    <row r="1269">
      <c r="A1269" s="5" t="str">
        <f t="array" ref="A1269">INDEX(event_table!$A$2:$A$69, RANDBETWEEN(1, COUNTA(event_table!$A$2:$A$69)))</f>
        <v>1553</v>
      </c>
      <c r="B1269" s="6">
        <f t="array" ref="B1269">IFERROR(INDEX(event_table!$E$1:$E3686,MATCH(A1269,event_table!$A$1:$A3686,0)),"")
</f>
        <v>5</v>
      </c>
      <c r="C1269" s="7">
        <f t="shared" si="1"/>
        <v>51</v>
      </c>
      <c r="D1269" s="6" t="str">
        <f t="array" ref="D1269">IFERROR(INDEX(user_table!$C$2:$C3686,MATCH(C1269,user_table!$B$2:$B3686,0)),"")
</f>
        <v>Fandi Pratama</v>
      </c>
      <c r="E1269" s="6" t="str">
        <f t="array" ref="E1269">IFERROR(INDEX(user_table!$E$2:$E3686,MATCH(C1269,user_table!$B$2:$B3686,0)),"")
</f>
        <v>2, 1</v>
      </c>
      <c r="F1269" s="6" t="str">
        <f t="shared" si="2"/>
        <v>15531551</v>
      </c>
      <c r="G1269" s="16">
        <v>1.0</v>
      </c>
      <c r="H1269" s="17">
        <v>45148.0</v>
      </c>
      <c r="I1269" s="18" t="s">
        <v>1257</v>
      </c>
    </row>
    <row r="1270">
      <c r="A1270" s="5" t="str">
        <f t="array" ref="A1270">INDEX(event_table!$A$2:$A$69, RANDBETWEEN(1, COUNTA(event_table!$A$2:$A$69)))</f>
        <v>3454</v>
      </c>
      <c r="B1270" s="6">
        <f t="array" ref="B1270">IFERROR(INDEX(event_table!$E$1:$E3686,MATCH(A1270,event_table!$A$1:$A3686,0)),"")
</f>
        <v>4</v>
      </c>
      <c r="C1270" s="7">
        <f t="shared" si="1"/>
        <v>150</v>
      </c>
      <c r="D1270" s="6" t="str">
        <f t="array" ref="D1270">IFERROR(INDEX(user_table!$C$2:$C3686,MATCH(C1270,user_table!$B$2:$B3686,0)),"")
</f>
        <v>Dina Susanto</v>
      </c>
      <c r="E1270" s="6" t="str">
        <f t="array" ref="E1270">IFERROR(INDEX(user_table!$E$2:$E3686,MATCH(C1270,user_table!$B$2:$B3686,0)),"")
</f>
        <v>2, 6</v>
      </c>
      <c r="F1270" s="6" t="str">
        <f t="shared" si="2"/>
        <v>345414150</v>
      </c>
      <c r="G1270" s="16">
        <v>1.0</v>
      </c>
      <c r="H1270" s="17">
        <v>45208.0</v>
      </c>
      <c r="I1270" s="18" t="s">
        <v>1258</v>
      </c>
    </row>
    <row r="1271">
      <c r="A1271" s="5" t="str">
        <f t="array" ref="A1271">INDEX(event_table!$A$2:$A$69, RANDBETWEEN(1, COUNTA(event_table!$A$2:$A$69)))</f>
        <v>1425</v>
      </c>
      <c r="B1271" s="6">
        <f t="array" ref="B1271">IFERROR(INDEX(event_table!$E$1:$E3686,MATCH(A1271,event_table!$A$1:$A3686,0)),"")
</f>
        <v>4</v>
      </c>
      <c r="C1271" s="7">
        <f t="shared" si="1"/>
        <v>127</v>
      </c>
      <c r="D1271" s="6" t="str">
        <f t="array" ref="D1271">IFERROR(INDEX(user_table!$C$2:$C3686,MATCH(C1271,user_table!$B$2:$B3686,0)),"")
</f>
        <v>Sinta Wijaya</v>
      </c>
      <c r="E1271" s="6" t="str">
        <f t="array" ref="E1271">IFERROR(INDEX(user_table!$E$2:$E3686,MATCH(C1271,user_table!$B$2:$B3686,0)),"")
</f>
        <v>6, 4</v>
      </c>
      <c r="F1271" s="6" t="str">
        <f t="shared" si="2"/>
        <v>142514127</v>
      </c>
      <c r="G1271" s="16">
        <v>1.0</v>
      </c>
      <c r="H1271" s="17">
        <v>45151.0</v>
      </c>
      <c r="I1271" s="18" t="s">
        <v>1259</v>
      </c>
    </row>
    <row r="1272">
      <c r="A1272" s="5" t="str">
        <f t="array" ref="A1272">INDEX(event_table!$A$2:$A$69, RANDBETWEEN(1, COUNTA(event_table!$A$2:$A$69)))</f>
        <v>1110</v>
      </c>
      <c r="B1272" s="6">
        <f t="array" ref="B1272">IFERROR(INDEX(event_table!$E$1:$E3686,MATCH(A1272,event_table!$A$1:$A3686,0)),"")
</f>
        <v>1</v>
      </c>
      <c r="C1272" s="7">
        <f t="shared" si="1"/>
        <v>62</v>
      </c>
      <c r="D1272" s="6" t="str">
        <f t="array" ref="D1272">IFERROR(INDEX(user_table!$C$2:$C3686,MATCH(C1272,user_table!$B$2:$B3686,0)),"")
</f>
        <v>Joko Sari</v>
      </c>
      <c r="E1272" s="6" t="str">
        <f t="array" ref="E1272">IFERROR(INDEX(user_table!$E$2:$E3686,MATCH(C1272,user_table!$B$2:$B3686,0)),"")
</f>
        <v>6, 1</v>
      </c>
      <c r="F1272" s="6" t="str">
        <f t="shared" si="2"/>
        <v>11101162</v>
      </c>
      <c r="G1272" s="16">
        <v>1.0</v>
      </c>
      <c r="H1272" s="17">
        <v>45143.0</v>
      </c>
      <c r="I1272" s="18" t="s">
        <v>1260</v>
      </c>
    </row>
    <row r="1273">
      <c r="A1273" s="5" t="str">
        <f t="array" ref="A1273">INDEX(event_table!$A$2:$A$69, RANDBETWEEN(1, COUNTA(event_table!$A$2:$A$69)))</f>
        <v>1423</v>
      </c>
      <c r="B1273" s="6">
        <f t="array" ref="B1273">IFERROR(INDEX(event_table!$E$1:$E3686,MATCH(A1273,event_table!$A$1:$A3686,0)),"")
</f>
        <v>4</v>
      </c>
      <c r="C1273" s="7">
        <f t="shared" si="1"/>
        <v>106</v>
      </c>
      <c r="D1273" s="6" t="str">
        <f t="array" ref="D1273">IFERROR(INDEX(user_table!$C$2:$C3686,MATCH(C1273,user_table!$B$2:$B3686,0)),"")
</f>
        <v>Budi Hidayat</v>
      </c>
      <c r="E1273" s="6" t="str">
        <f t="array" ref="E1273">IFERROR(INDEX(user_table!$E$2:$E3686,MATCH(C1273,user_table!$B$2:$B3686,0)),"")
</f>
        <v>2, 6</v>
      </c>
      <c r="F1273" s="6" t="str">
        <f t="shared" si="2"/>
        <v>142314106</v>
      </c>
      <c r="G1273" s="16">
        <v>1.0</v>
      </c>
      <c r="H1273" s="17">
        <v>45143.0</v>
      </c>
      <c r="I1273" s="18" t="s">
        <v>1261</v>
      </c>
    </row>
    <row r="1274">
      <c r="A1274" s="5" t="str">
        <f t="array" ref="A1274">INDEX(event_table!$A$2:$A$69, RANDBETWEEN(1, COUNTA(event_table!$A$2:$A$69)))</f>
        <v>3168</v>
      </c>
      <c r="B1274" s="6">
        <f t="array" ref="B1274">IFERROR(INDEX(event_table!$E$1:$E3686,MATCH(A1274,event_table!$A$1:$A3686,0)),"")
</f>
        <v>1</v>
      </c>
      <c r="C1274" s="7">
        <f t="shared" si="1"/>
        <v>142</v>
      </c>
      <c r="D1274" s="6" t="str">
        <f t="array" ref="D1274">IFERROR(INDEX(user_table!$C$2:$C3686,MATCH(C1274,user_table!$B$2:$B3686,0)),"")
</f>
        <v>Siti Rahayu</v>
      </c>
      <c r="E1274" s="6" t="str">
        <f t="array" ref="E1274">IFERROR(INDEX(user_table!$E$2:$E3686,MATCH(C1274,user_table!$B$2:$B3686,0)),"")
</f>
        <v>6, 3</v>
      </c>
      <c r="F1274" s="6" t="str">
        <f t="shared" si="2"/>
        <v>316811142</v>
      </c>
      <c r="G1274" s="16">
        <v>1.0</v>
      </c>
      <c r="H1274" s="17">
        <v>45143.0</v>
      </c>
      <c r="I1274" s="18" t="s">
        <v>1262</v>
      </c>
    </row>
    <row r="1275">
      <c r="A1275" s="5" t="str">
        <f t="array" ref="A1275">INDEX(event_table!$A$2:$A$69, RANDBETWEEN(1, COUNTA(event_table!$A$2:$A$69)))</f>
        <v>3455</v>
      </c>
      <c r="B1275" s="6">
        <f t="array" ref="B1275">IFERROR(INDEX(event_table!$E$1:$E3686,MATCH(A1275,event_table!$A$1:$A3686,0)),"")
</f>
        <v>4</v>
      </c>
      <c r="C1275" s="7">
        <f t="shared" si="1"/>
        <v>53</v>
      </c>
      <c r="D1275" s="6" t="str">
        <f t="array" ref="D1275">IFERROR(INDEX(user_table!$C$2:$C3686,MATCH(C1275,user_table!$B$2:$B3686,0)),"")
</f>
        <v>Wahyu Santoso</v>
      </c>
      <c r="E1275" s="6" t="str">
        <f t="array" ref="E1275">IFERROR(INDEX(user_table!$E$2:$E3686,MATCH(C1275,user_table!$B$2:$B3686,0)),"")
</f>
        <v>4, 5</v>
      </c>
      <c r="F1275" s="6" t="str">
        <f t="shared" si="2"/>
        <v>34555453</v>
      </c>
      <c r="G1275" s="16">
        <v>5.0</v>
      </c>
      <c r="H1275" s="17">
        <v>44746.0</v>
      </c>
      <c r="I1275" s="18" t="s">
        <v>1263</v>
      </c>
    </row>
    <row r="1276">
      <c r="A1276" s="5" t="str">
        <f t="array" ref="A1276">INDEX(event_table!$A$2:$A$69, RANDBETWEEN(1, COUNTA(event_table!$A$2:$A$69)))</f>
        <v>1639</v>
      </c>
      <c r="B1276" s="6">
        <f t="array" ref="B1276">IFERROR(INDEX(event_table!$E$1:$E3686,MATCH(A1276,event_table!$A$1:$A3686,0)),"")
</f>
        <v>6</v>
      </c>
      <c r="C1276" s="7">
        <f t="shared" si="1"/>
        <v>193</v>
      </c>
      <c r="D1276" s="6" t="str">
        <f t="array" ref="D1276">IFERROR(INDEX(user_table!$C$2:$C3686,MATCH(C1276,user_table!$B$2:$B3686,0)),"")
</f>
        <v>Dina Wijaya</v>
      </c>
      <c r="E1276" s="6" t="str">
        <f t="array" ref="E1276">IFERROR(INDEX(user_table!$E$2:$E3686,MATCH(C1276,user_table!$B$2:$B3686,0)),"")
</f>
        <v>4, 5</v>
      </c>
      <c r="F1276" s="6" t="str">
        <f t="shared" si="2"/>
        <v>163956193</v>
      </c>
      <c r="G1276" s="16">
        <v>5.0</v>
      </c>
      <c r="H1276" s="17">
        <v>44731.0</v>
      </c>
      <c r="I1276" s="18" t="s">
        <v>1264</v>
      </c>
    </row>
    <row r="1277">
      <c r="A1277" s="5" t="str">
        <f t="array" ref="A1277">INDEX(event_table!$A$2:$A$69, RANDBETWEEN(1, COUNTA(event_table!$A$2:$A$69)))</f>
        <v>118</v>
      </c>
      <c r="B1277" s="6">
        <f t="array" ref="B1277">IFERROR(INDEX(event_table!$E$1:$E3686,MATCH(A1277,event_table!$A$1:$A3686,0)),"")
</f>
        <v>1</v>
      </c>
      <c r="C1277" s="7">
        <f t="shared" si="1"/>
        <v>60</v>
      </c>
      <c r="D1277" s="6" t="str">
        <f t="array" ref="D1277">IFERROR(INDEX(user_table!$C$2:$C3686,MATCH(C1277,user_table!$B$2:$B3686,0)),"")
</f>
        <v>Rudi Septiani</v>
      </c>
      <c r="E1277" s="6" t="str">
        <f t="array" ref="E1277">IFERROR(INDEX(user_table!$E$2:$E3686,MATCH(C1277,user_table!$B$2:$B3686,0)),"")
</f>
        <v>6, 2</v>
      </c>
      <c r="F1277" s="6" t="str">
        <f t="shared" si="2"/>
        <v>1185160</v>
      </c>
      <c r="G1277" s="16">
        <v>5.0</v>
      </c>
      <c r="H1277" s="17">
        <v>44698.0</v>
      </c>
      <c r="I1277" s="18" t="s">
        <v>1265</v>
      </c>
    </row>
    <row r="1278">
      <c r="A1278" s="5" t="str">
        <f t="array" ref="A1278">INDEX(event_table!$A$2:$A$69, RANDBETWEEN(1, COUNTA(event_table!$A$2:$A$69)))</f>
        <v>1530</v>
      </c>
      <c r="B1278" s="6">
        <f t="array" ref="B1278">IFERROR(INDEX(event_table!$E$1:$E3686,MATCH(A1278,event_table!$A$1:$A3686,0)),"")
</f>
        <v>5</v>
      </c>
      <c r="C1278" s="7">
        <f t="shared" si="1"/>
        <v>43</v>
      </c>
      <c r="D1278" s="6" t="str">
        <f t="array" ref="D1278">IFERROR(INDEX(user_table!$C$2:$C3686,MATCH(C1278,user_table!$B$2:$B3686,0)),"")
</f>
        <v>Lina Putri</v>
      </c>
      <c r="E1278" s="6" t="str">
        <f t="array" ref="E1278">IFERROR(INDEX(user_table!$E$2:$E3686,MATCH(C1278,user_table!$B$2:$B3686,0)),"")
</f>
        <v>1, 6</v>
      </c>
      <c r="F1278" s="6" t="str">
        <f t="shared" si="2"/>
        <v>15305543</v>
      </c>
      <c r="G1278" s="16">
        <v>5.0</v>
      </c>
      <c r="H1278" s="17">
        <v>45250.0</v>
      </c>
      <c r="I1278" s="18" t="s">
        <v>1266</v>
      </c>
    </row>
    <row r="1279">
      <c r="A1279" s="5" t="str">
        <f t="array" ref="A1279">INDEX(event_table!$A$2:$A$69, RANDBETWEEN(1, COUNTA(event_table!$A$2:$A$69)))</f>
        <v>3356</v>
      </c>
      <c r="B1279" s="6">
        <f t="array" ref="B1279">IFERROR(INDEX(event_table!$E$1:$E3686,MATCH(A1279,event_table!$A$1:$A3686,0)),"")
</f>
        <v>3</v>
      </c>
      <c r="C1279" s="7">
        <f t="shared" si="1"/>
        <v>32</v>
      </c>
      <c r="D1279" s="6" t="str">
        <f t="array" ref="D1279">IFERROR(INDEX(user_table!$C$2:$C3686,MATCH(C1279,user_table!$B$2:$B3686,0)),"")
</f>
        <v>Ani Setiawan</v>
      </c>
      <c r="E1279" s="6" t="str">
        <f t="array" ref="E1279">IFERROR(INDEX(user_table!$E$2:$E3686,MATCH(C1279,user_table!$B$2:$B3686,0)),"")
</f>
        <v>6, 3</v>
      </c>
      <c r="F1279" s="6" t="str">
        <f t="shared" si="2"/>
        <v>33565332</v>
      </c>
      <c r="G1279" s="16">
        <v>5.0</v>
      </c>
      <c r="H1279" s="17">
        <v>45094.0</v>
      </c>
      <c r="I1279" s="18" t="s">
        <v>1267</v>
      </c>
    </row>
    <row r="1280">
      <c r="A1280" s="5" t="str">
        <f t="array" ref="A1280">INDEX(event_table!$A$2:$A$69, RANDBETWEEN(1, COUNTA(event_table!$A$2:$A$69)))</f>
        <v>1649</v>
      </c>
      <c r="B1280" s="6">
        <f t="array" ref="B1280">IFERROR(INDEX(event_table!$E$1:$E3686,MATCH(A1280,event_table!$A$1:$A3686,0)),"")
</f>
        <v>6</v>
      </c>
      <c r="C1280" s="7">
        <f t="shared" si="1"/>
        <v>115</v>
      </c>
      <c r="D1280" s="6" t="str">
        <f t="array" ref="D1280">IFERROR(INDEX(user_table!$C$2:$C3686,MATCH(C1280,user_table!$B$2:$B3686,0)),"")
</f>
        <v>Dewi Septiani</v>
      </c>
      <c r="E1280" s="6" t="str">
        <f t="array" ref="E1280">IFERROR(INDEX(user_table!$E$2:$E3686,MATCH(C1280,user_table!$B$2:$B3686,0)),"")
</f>
        <v>6, 3</v>
      </c>
      <c r="F1280" s="6" t="str">
        <f t="shared" si="2"/>
        <v>164956115</v>
      </c>
      <c r="G1280" s="16">
        <v>5.0</v>
      </c>
      <c r="H1280" s="17">
        <v>44951.0</v>
      </c>
      <c r="I1280" s="18" t="s">
        <v>1268</v>
      </c>
    </row>
    <row r="1281">
      <c r="A1281" s="5" t="str">
        <f t="array" ref="A1281">INDEX(event_table!$A$2:$A$69, RANDBETWEEN(1, COUNTA(event_table!$A$2:$A$69)))</f>
        <v>1641</v>
      </c>
      <c r="B1281" s="6">
        <f t="array" ref="B1281">IFERROR(INDEX(event_table!$E$1:$E3686,MATCH(A1281,event_table!$A$1:$A3686,0)),"")
</f>
        <v>6</v>
      </c>
      <c r="C1281" s="7">
        <f t="shared" si="1"/>
        <v>194</v>
      </c>
      <c r="D1281" s="6" t="str">
        <f t="array" ref="D1281">IFERROR(INDEX(user_table!$C$2:$C3686,MATCH(C1281,user_table!$B$2:$B3686,0)),"")
</f>
        <v>Andi Putri</v>
      </c>
      <c r="E1281" s="6" t="str">
        <f t="array" ref="E1281">IFERROR(INDEX(user_table!$E$2:$E3686,MATCH(C1281,user_table!$B$2:$B3686,0)),"")
</f>
        <v>4, 4</v>
      </c>
      <c r="F1281" s="6" t="str">
        <f t="shared" si="2"/>
        <v>164156194</v>
      </c>
      <c r="G1281" s="16">
        <v>5.0</v>
      </c>
      <c r="H1281" s="17">
        <v>44878.0</v>
      </c>
      <c r="I1281" s="18" t="s">
        <v>469</v>
      </c>
    </row>
    <row r="1282">
      <c r="A1282" s="5" t="str">
        <f t="array" ref="A1282">INDEX(event_table!$A$2:$A$69, RANDBETWEEN(1, COUNTA(event_table!$A$2:$A$69)))</f>
        <v>1114</v>
      </c>
      <c r="B1282" s="6">
        <f t="array" ref="B1282">IFERROR(INDEX(event_table!$E$1:$E3686,MATCH(A1282,event_table!$A$1:$A3686,0)),"")
</f>
        <v>1</v>
      </c>
      <c r="C1282" s="7">
        <f t="shared" si="1"/>
        <v>142</v>
      </c>
      <c r="D1282" s="6" t="str">
        <f t="array" ref="D1282">IFERROR(INDEX(user_table!$C$2:$C3686,MATCH(C1282,user_table!$B$2:$B3686,0)),"")
</f>
        <v>Siti Rahayu</v>
      </c>
      <c r="E1282" s="6" t="str">
        <f t="array" ref="E1282">IFERROR(INDEX(user_table!$E$2:$E3686,MATCH(C1282,user_table!$B$2:$B3686,0)),"")
</f>
        <v>6, 3</v>
      </c>
      <c r="F1282" s="6" t="str">
        <f t="shared" si="2"/>
        <v>111451142</v>
      </c>
      <c r="G1282" s="16">
        <v>5.0</v>
      </c>
      <c r="H1282" s="17">
        <v>44865.0</v>
      </c>
      <c r="I1282" s="18" t="s">
        <v>1269</v>
      </c>
    </row>
    <row r="1283">
      <c r="A1283" s="5" t="str">
        <f t="array" ref="A1283">INDEX(event_table!$A$2:$A$69, RANDBETWEEN(1, COUNTA(event_table!$A$2:$A$69)))</f>
        <v>1215</v>
      </c>
      <c r="B1283" s="6">
        <f t="array" ref="B1283">IFERROR(INDEX(event_table!$E$1:$E3686,MATCH(A1283,event_table!$A$1:$A3686,0)),"")
</f>
        <v>2</v>
      </c>
      <c r="C1283" s="7">
        <f t="shared" si="1"/>
        <v>85</v>
      </c>
      <c r="D1283" s="6" t="str">
        <f t="array" ref="D1283">IFERROR(INDEX(user_table!$C$2:$C3686,MATCH(C1283,user_table!$B$2:$B3686,0)),"")
</f>
        <v>Maya Susanto</v>
      </c>
      <c r="E1283" s="6" t="str">
        <f t="array" ref="E1283">IFERROR(INDEX(user_table!$E$2:$E3686,MATCH(C1283,user_table!$B$2:$B3686,0)),"")
</f>
        <v>6, 5</v>
      </c>
      <c r="F1283" s="6" t="str">
        <f t="shared" si="2"/>
        <v>12155285</v>
      </c>
      <c r="G1283" s="16">
        <v>5.0</v>
      </c>
      <c r="H1283" s="17">
        <v>44843.0</v>
      </c>
      <c r="I1283" s="18" t="s">
        <v>1270</v>
      </c>
    </row>
    <row r="1284">
      <c r="A1284" s="5" t="str">
        <f t="array" ref="A1284">INDEX(event_table!$A$2:$A$69, RANDBETWEEN(1, COUNTA(event_table!$A$2:$A$69)))</f>
        <v>3454</v>
      </c>
      <c r="B1284" s="6">
        <f t="array" ref="B1284">IFERROR(INDEX(event_table!$E$1:$E3686,MATCH(A1284,event_table!$A$1:$A3686,0)),"")
</f>
        <v>4</v>
      </c>
      <c r="C1284" s="7">
        <f t="shared" si="1"/>
        <v>106</v>
      </c>
      <c r="D1284" s="6" t="str">
        <f t="array" ref="D1284">IFERROR(INDEX(user_table!$C$2:$C3686,MATCH(C1284,user_table!$B$2:$B3686,0)),"")
</f>
        <v>Budi Hidayat</v>
      </c>
      <c r="E1284" s="6" t="str">
        <f t="array" ref="E1284">IFERROR(INDEX(user_table!$E$2:$E3686,MATCH(C1284,user_table!$B$2:$B3686,0)),"")
</f>
        <v>2, 6</v>
      </c>
      <c r="F1284" s="6" t="str">
        <f t="shared" si="2"/>
        <v>345454106</v>
      </c>
      <c r="G1284" s="16">
        <v>5.0</v>
      </c>
      <c r="H1284" s="17">
        <v>44795.0</v>
      </c>
      <c r="I1284" s="18" t="s">
        <v>1271</v>
      </c>
    </row>
    <row r="1285">
      <c r="A1285" s="5" t="str">
        <f t="array" ref="A1285">INDEX(event_table!$A$2:$A$69, RANDBETWEEN(1, COUNTA(event_table!$A$2:$A$69)))</f>
        <v>1110</v>
      </c>
      <c r="B1285" s="6">
        <f t="array" ref="B1285">IFERROR(INDEX(event_table!$E$1:$E3686,MATCH(A1285,event_table!$A$1:$A3686,0)),"")
</f>
        <v>1</v>
      </c>
      <c r="C1285" s="7">
        <f t="shared" si="1"/>
        <v>30</v>
      </c>
      <c r="D1285" s="6" t="str">
        <f t="array" ref="D1285">IFERROR(INDEX(user_table!$C$2:$C3686,MATCH(C1285,user_table!$B$2:$B3686,0)),"")
</f>
        <v>Fajar Kurniawan</v>
      </c>
      <c r="E1285" s="6" t="str">
        <f t="array" ref="E1285">IFERROR(INDEX(user_table!$E$2:$E3686,MATCH(C1285,user_table!$B$2:$B3686,0)),"")
</f>
        <v>5, 3</v>
      </c>
      <c r="F1285" s="6" t="str">
        <f t="shared" si="2"/>
        <v>11105130</v>
      </c>
      <c r="G1285" s="16">
        <v>5.0</v>
      </c>
      <c r="H1285" s="17">
        <v>44690.0</v>
      </c>
      <c r="I1285" s="18" t="s">
        <v>1272</v>
      </c>
    </row>
    <row r="1286">
      <c r="A1286" s="5" t="str">
        <f t="array" ref="A1286">INDEX(event_table!$A$2:$A$69, RANDBETWEEN(1, COUNTA(event_table!$A$2:$A$69)))</f>
        <v>1332</v>
      </c>
      <c r="B1286" s="6">
        <f t="array" ref="B1286">IFERROR(INDEX(event_table!$E$1:$E3686,MATCH(A1286,event_table!$A$1:$A3686,0)),"")
</f>
        <v>3</v>
      </c>
      <c r="C1286" s="7">
        <f t="shared" si="1"/>
        <v>69</v>
      </c>
      <c r="D1286" s="6" t="str">
        <f t="array" ref="D1286">IFERROR(INDEX(user_table!$C$2:$C3686,MATCH(C1286,user_table!$B$2:$B3686,0)),"")
</f>
        <v>Citra Rahayu</v>
      </c>
      <c r="E1286" s="6" t="str">
        <f t="array" ref="E1286">IFERROR(INDEX(user_table!$E$2:$E3686,MATCH(C1286,user_table!$B$2:$B3686,0)),"")
</f>
        <v>5, 5</v>
      </c>
      <c r="F1286" s="6" t="str">
        <f t="shared" si="2"/>
        <v>13325369</v>
      </c>
      <c r="G1286" s="16">
        <v>5.0</v>
      </c>
      <c r="H1286" s="17">
        <v>44687.0</v>
      </c>
      <c r="I1286" s="18" t="s">
        <v>1273</v>
      </c>
    </row>
    <row r="1287">
      <c r="A1287" s="5" t="str">
        <f t="array" ref="A1287">INDEX(event_table!$A$2:$A$69, RANDBETWEEN(1, COUNTA(event_table!$A$2:$A$69)))</f>
        <v>1531</v>
      </c>
      <c r="B1287" s="6">
        <f t="array" ref="B1287">IFERROR(INDEX(event_table!$E$1:$E3686,MATCH(A1287,event_table!$A$1:$A3686,0)),"")
</f>
        <v>5</v>
      </c>
      <c r="C1287" s="7">
        <f t="shared" si="1"/>
        <v>148</v>
      </c>
      <c r="D1287" s="6" t="str">
        <f t="array" ref="D1287">IFERROR(INDEX(user_table!$C$2:$C3686,MATCH(C1287,user_table!$B$2:$B3686,0)),"")
</f>
        <v>Fajar Setiawan</v>
      </c>
      <c r="E1287" s="6" t="str">
        <f t="array" ref="E1287">IFERROR(INDEX(user_table!$E$2:$E3686,MATCH(C1287,user_table!$B$2:$B3686,0)),"")
</f>
        <v>6, 4</v>
      </c>
      <c r="F1287" s="6" t="str">
        <f t="shared" si="2"/>
        <v>153145148</v>
      </c>
      <c r="G1287" s="16">
        <v>4.0</v>
      </c>
      <c r="H1287" s="17">
        <v>45110.0</v>
      </c>
      <c r="I1287" s="18" t="s">
        <v>1274</v>
      </c>
    </row>
    <row r="1288">
      <c r="A1288" s="5" t="str">
        <f t="array" ref="A1288">INDEX(event_table!$A$2:$A$69, RANDBETWEEN(1, COUNTA(event_table!$A$2:$A$69)))</f>
        <v>1640</v>
      </c>
      <c r="B1288" s="6">
        <f t="array" ref="B1288">IFERROR(INDEX(event_table!$E$1:$E3686,MATCH(A1288,event_table!$A$1:$A3686,0)),"")
</f>
        <v>6</v>
      </c>
      <c r="C1288" s="7">
        <f t="shared" si="1"/>
        <v>108</v>
      </c>
      <c r="D1288" s="6" t="str">
        <f t="array" ref="D1288">IFERROR(INDEX(user_table!$C$2:$C3686,MATCH(C1288,user_table!$B$2:$B3686,0)),"")
</f>
        <v>Dewi Hadiwijaya</v>
      </c>
      <c r="E1288" s="6" t="str">
        <f t="array" ref="E1288">IFERROR(INDEX(user_table!$E$2:$E3686,MATCH(C1288,user_table!$B$2:$B3686,0)),"")
</f>
        <v>6, 6</v>
      </c>
      <c r="F1288" s="6" t="str">
        <f t="shared" si="2"/>
        <v>164046108</v>
      </c>
      <c r="G1288" s="16">
        <v>4.0</v>
      </c>
      <c r="H1288" s="17">
        <v>44789.0</v>
      </c>
      <c r="I1288" s="18" t="s">
        <v>1275</v>
      </c>
    </row>
    <row r="1289">
      <c r="A1289" s="5" t="str">
        <f t="array" ref="A1289">INDEX(event_table!$A$2:$A$69, RANDBETWEEN(1, COUNTA(event_table!$A$2:$A$69)))</f>
        <v>1643</v>
      </c>
      <c r="B1289" s="6">
        <f t="array" ref="B1289">IFERROR(INDEX(event_table!$E$1:$E3686,MATCH(A1289,event_table!$A$1:$A3686,0)),"")
</f>
        <v>6</v>
      </c>
      <c r="C1289" s="7">
        <f t="shared" si="1"/>
        <v>153</v>
      </c>
      <c r="D1289" s="6" t="str">
        <f t="array" ref="D1289">IFERROR(INDEX(user_table!$C$2:$C3686,MATCH(C1289,user_table!$B$2:$B3686,0)),"")
</f>
        <v>Budi Hartono</v>
      </c>
      <c r="E1289" s="6" t="str">
        <f t="array" ref="E1289">IFERROR(INDEX(user_table!$E$2:$E3686,MATCH(C1289,user_table!$B$2:$B3686,0)),"")
</f>
        <v>5, 2</v>
      </c>
      <c r="F1289" s="6" t="str">
        <f t="shared" si="2"/>
        <v>164346153</v>
      </c>
      <c r="G1289" s="16">
        <v>4.0</v>
      </c>
      <c r="H1289" s="17">
        <v>44725.0</v>
      </c>
      <c r="I1289" s="18" t="s">
        <v>1276</v>
      </c>
    </row>
    <row r="1290">
      <c r="A1290" s="5" t="str">
        <f t="array" ref="A1290">INDEX(event_table!$A$2:$A$69, RANDBETWEEN(1, COUNTA(event_table!$A$2:$A$69)))</f>
        <v>1645</v>
      </c>
      <c r="B1290" s="6">
        <f t="array" ref="B1290">IFERROR(INDEX(event_table!$E$1:$E3686,MATCH(A1290,event_table!$A$1:$A3686,0)),"")
</f>
        <v>6</v>
      </c>
      <c r="C1290" s="7">
        <f t="shared" si="1"/>
        <v>25</v>
      </c>
      <c r="D1290" s="6" t="str">
        <f t="array" ref="D1290">IFERROR(INDEX(user_table!$C$2:$C3686,MATCH(C1290,user_table!$B$2:$B3686,0)),"")
</f>
        <v>Agus Hartono</v>
      </c>
      <c r="E1290" s="6" t="str">
        <f t="array" ref="E1290">IFERROR(INDEX(user_table!$E$2:$E3686,MATCH(C1290,user_table!$B$2:$B3686,0)),"")
</f>
        <v>6, 3</v>
      </c>
      <c r="F1290" s="6" t="str">
        <f t="shared" si="2"/>
        <v>16454625</v>
      </c>
      <c r="G1290" s="16">
        <v>4.0</v>
      </c>
      <c r="H1290" s="17">
        <v>44822.0</v>
      </c>
      <c r="I1290" s="18" t="s">
        <v>1277</v>
      </c>
    </row>
    <row r="1291">
      <c r="A1291" s="5" t="str">
        <f t="array" ref="A1291">INDEX(event_table!$A$2:$A$69, RANDBETWEEN(1, COUNTA(event_table!$A$2:$A$69)))</f>
        <v>3163</v>
      </c>
      <c r="B1291" s="6">
        <f t="array" ref="B1291">IFERROR(INDEX(event_table!$E$1:$E3686,MATCH(A1291,event_table!$A$1:$A3686,0)),"")
</f>
        <v>1</v>
      </c>
      <c r="C1291" s="7">
        <f t="shared" si="1"/>
        <v>59</v>
      </c>
      <c r="D1291" s="6" t="str">
        <f t="array" ref="D1291">IFERROR(INDEX(user_table!$C$2:$C3686,MATCH(C1291,user_table!$B$2:$B3686,0)),"")
</f>
        <v>Siti Rahayu</v>
      </c>
      <c r="E1291" s="6" t="str">
        <f t="array" ref="E1291">IFERROR(INDEX(user_table!$E$2:$E3686,MATCH(C1291,user_table!$B$2:$B3686,0)),"")
</f>
        <v>3, 5</v>
      </c>
      <c r="F1291" s="6" t="str">
        <f t="shared" si="2"/>
        <v>31634159</v>
      </c>
      <c r="G1291" s="16">
        <v>4.0</v>
      </c>
      <c r="H1291" s="17">
        <v>44688.0</v>
      </c>
      <c r="I1291" s="18" t="s">
        <v>1278</v>
      </c>
    </row>
    <row r="1292">
      <c r="A1292" s="5" t="str">
        <f t="array" ref="A1292">INDEX(event_table!$A$2:$A$69, RANDBETWEEN(1, COUNTA(event_table!$A$2:$A$69)))</f>
        <v>3168</v>
      </c>
      <c r="B1292" s="6">
        <f t="array" ref="B1292">IFERROR(INDEX(event_table!$E$1:$E3686,MATCH(A1292,event_table!$A$1:$A3686,0)),"")
</f>
        <v>1</v>
      </c>
      <c r="C1292" s="7">
        <f t="shared" si="1"/>
        <v>190</v>
      </c>
      <c r="D1292" s="6" t="str">
        <f t="array" ref="D1292">IFERROR(INDEX(user_table!$C$2:$C3686,MATCH(C1292,user_table!$B$2:$B3686,0)),"")
</f>
        <v>Fajar Santoso</v>
      </c>
      <c r="E1292" s="6" t="str">
        <f t="array" ref="E1292">IFERROR(INDEX(user_table!$E$2:$E3686,MATCH(C1292,user_table!$B$2:$B3686,0)),"")
</f>
        <v>1, 3</v>
      </c>
      <c r="F1292" s="6" t="str">
        <f t="shared" si="2"/>
        <v>316831190</v>
      </c>
      <c r="G1292" s="16">
        <v>3.0</v>
      </c>
      <c r="H1292" s="17">
        <v>45143.0</v>
      </c>
      <c r="I1292" s="18" t="s">
        <v>1279</v>
      </c>
    </row>
    <row r="1293">
      <c r="A1293" s="5" t="str">
        <f t="array" ref="A1293">INDEX(event_table!$A$2:$A$69, RANDBETWEEN(1, COUNTA(event_table!$A$2:$A$69)))</f>
        <v>1416</v>
      </c>
      <c r="B1293" s="6">
        <f t="array" ref="B1293">IFERROR(INDEX(event_table!$E$1:$E3686,MATCH(A1293,event_table!$A$1:$A3686,0)),"")
</f>
        <v>4</v>
      </c>
      <c r="C1293" s="7">
        <f t="shared" si="1"/>
        <v>181</v>
      </c>
      <c r="D1293" s="6" t="str">
        <f t="array" ref="D1293">IFERROR(INDEX(user_table!$C$2:$C3686,MATCH(C1293,user_table!$B$2:$B3686,0)),"")
</f>
        <v>Andi Hadiwijaya</v>
      </c>
      <c r="E1293" s="6" t="str">
        <f t="array" ref="E1293">IFERROR(INDEX(user_table!$E$2:$E3686,MATCH(C1293,user_table!$B$2:$B3686,0)),"")
</f>
        <v>3, 2</v>
      </c>
      <c r="F1293" s="6" t="str">
        <f t="shared" si="2"/>
        <v>141634181</v>
      </c>
      <c r="G1293" s="16">
        <v>3.0</v>
      </c>
      <c r="H1293" s="17">
        <v>44923.0</v>
      </c>
      <c r="I1293" s="18" t="s">
        <v>1280</v>
      </c>
    </row>
    <row r="1294">
      <c r="A1294" s="5" t="str">
        <f t="array" ref="A1294">INDEX(event_table!$A$2:$A$69, RANDBETWEEN(1, COUNTA(event_table!$A$2:$A$69)))</f>
        <v>1553</v>
      </c>
      <c r="B1294" s="6">
        <f t="array" ref="B1294">IFERROR(INDEX(event_table!$E$1:$E3686,MATCH(A1294,event_table!$A$1:$A3686,0)),"")
</f>
        <v>5</v>
      </c>
      <c r="C1294" s="7">
        <f t="shared" si="1"/>
        <v>4</v>
      </c>
      <c r="D1294" s="6" t="str">
        <f t="array" ref="D1294">IFERROR(INDEX(user_table!$C$2:$C3686,MATCH(C1294,user_table!$B$2:$B3686,0)),"")
</f>
        <v>Dina Utami</v>
      </c>
      <c r="E1294" s="6" t="str">
        <f t="array" ref="E1294">IFERROR(INDEX(user_table!$E$2:$E3686,MATCH(C1294,user_table!$B$2:$B3686,0)),"")
</f>
        <v>6, 2</v>
      </c>
      <c r="F1294" s="6" t="str">
        <f t="shared" si="2"/>
        <v>1553354</v>
      </c>
      <c r="G1294" s="16">
        <v>3.0</v>
      </c>
      <c r="H1294" s="17">
        <v>44922.0</v>
      </c>
      <c r="I1294" s="18" t="s">
        <v>1281</v>
      </c>
    </row>
    <row r="1295">
      <c r="A1295" s="5" t="str">
        <f t="array" ref="A1295">INDEX(event_table!$A$2:$A$69, RANDBETWEEN(1, COUNTA(event_table!$A$2:$A$69)))</f>
        <v>1418</v>
      </c>
      <c r="B1295" s="6">
        <f t="array" ref="B1295">IFERROR(INDEX(event_table!$E$1:$E3686,MATCH(A1295,event_table!$A$1:$A3686,0)),"")
</f>
        <v>4</v>
      </c>
      <c r="C1295" s="7">
        <f t="shared" si="1"/>
        <v>17</v>
      </c>
      <c r="D1295" s="6" t="str">
        <f t="array" ref="D1295">IFERROR(INDEX(user_table!$C$2:$C3686,MATCH(C1295,user_table!$B$2:$B3686,0)),"")
</f>
        <v>Fajar Wijaya</v>
      </c>
      <c r="E1295" s="6" t="str">
        <f t="array" ref="E1295">IFERROR(INDEX(user_table!$E$2:$E3686,MATCH(C1295,user_table!$B$2:$B3686,0)),"")
</f>
        <v>1, 1</v>
      </c>
      <c r="F1295" s="6" t="str">
        <f t="shared" si="2"/>
        <v>14183417</v>
      </c>
      <c r="G1295" s="16">
        <v>3.0</v>
      </c>
      <c r="H1295" s="17">
        <v>44702.0</v>
      </c>
      <c r="I1295" s="18" t="s">
        <v>1282</v>
      </c>
    </row>
    <row r="1296">
      <c r="A1296" s="5" t="str">
        <f t="array" ref="A1296">INDEX(event_table!$A$2:$A$69, RANDBETWEEN(1, COUNTA(event_table!$A$2:$A$69)))</f>
        <v>1646</v>
      </c>
      <c r="B1296" s="6">
        <f t="array" ref="B1296">IFERROR(INDEX(event_table!$E$1:$E3686,MATCH(A1296,event_table!$A$1:$A3686,0)),"")
</f>
        <v>6</v>
      </c>
      <c r="C1296" s="7">
        <f t="shared" si="1"/>
        <v>40</v>
      </c>
      <c r="D1296" s="6" t="str">
        <f t="array" ref="D1296">IFERROR(INDEX(user_table!$C$2:$C3686,MATCH(C1296,user_table!$B$2:$B3686,0)),"")
</f>
        <v>Joko Sari</v>
      </c>
      <c r="E1296" s="6" t="str">
        <f t="array" ref="E1296">IFERROR(INDEX(user_table!$E$2:$E3686,MATCH(C1296,user_table!$B$2:$B3686,0)),"")
</f>
        <v>5, 6</v>
      </c>
      <c r="F1296" s="6" t="str">
        <f t="shared" si="2"/>
        <v>16463640</v>
      </c>
      <c r="G1296" s="16">
        <v>3.0</v>
      </c>
      <c r="H1296" s="17">
        <v>45255.0</v>
      </c>
      <c r="I1296" s="18" t="s">
        <v>1283</v>
      </c>
    </row>
    <row r="1297">
      <c r="A1297" s="5" t="str">
        <f t="array" ref="A1297">INDEX(event_table!$A$2:$A$69, RANDBETWEEN(1, COUNTA(event_table!$A$2:$A$69)))</f>
        <v>3163</v>
      </c>
      <c r="B1297" s="6">
        <f t="array" ref="B1297">IFERROR(INDEX(event_table!$E$1:$E3686,MATCH(A1297,event_table!$A$1:$A3686,0)),"")
</f>
        <v>1</v>
      </c>
      <c r="C1297" s="7">
        <f t="shared" si="1"/>
        <v>68</v>
      </c>
      <c r="D1297" s="6" t="str">
        <f t="array" ref="D1297">IFERROR(INDEX(user_table!$C$2:$C3686,MATCH(C1297,user_table!$B$2:$B3686,0)),"")
</f>
        <v>Wahyu Wijaya</v>
      </c>
      <c r="E1297" s="6" t="str">
        <f t="array" ref="E1297">IFERROR(INDEX(user_table!$E$2:$E3686,MATCH(C1297,user_table!$B$2:$B3686,0)),"")
</f>
        <v>4, 6</v>
      </c>
      <c r="F1297" s="6" t="str">
        <f t="shared" si="2"/>
        <v>31633168</v>
      </c>
      <c r="G1297" s="16">
        <v>3.0</v>
      </c>
      <c r="H1297" s="17">
        <v>45251.0</v>
      </c>
      <c r="I1297" s="18" t="s">
        <v>1284</v>
      </c>
    </row>
    <row r="1298">
      <c r="A1298" s="5" t="str">
        <f t="array" ref="A1298">INDEX(event_table!$A$2:$A$69, RANDBETWEEN(1, COUNTA(event_table!$A$2:$A$69)))</f>
        <v>1650</v>
      </c>
      <c r="B1298" s="6">
        <f t="array" ref="B1298">IFERROR(INDEX(event_table!$E$1:$E3686,MATCH(A1298,event_table!$A$1:$A3686,0)),"")
</f>
        <v>6</v>
      </c>
      <c r="C1298" s="7">
        <f t="shared" si="1"/>
        <v>77</v>
      </c>
      <c r="D1298" s="6" t="str">
        <f t="array" ref="D1298">IFERROR(INDEX(user_table!$C$2:$C3686,MATCH(C1298,user_table!$B$2:$B3686,0)),"")
</f>
        <v>Desi Wijaya</v>
      </c>
      <c r="E1298" s="6" t="str">
        <f t="array" ref="E1298">IFERROR(INDEX(user_table!$E$2:$E3686,MATCH(C1298,user_table!$B$2:$B3686,0)),"")
</f>
        <v>3, 1</v>
      </c>
      <c r="F1298" s="6" t="str">
        <f t="shared" si="2"/>
        <v>16503677</v>
      </c>
      <c r="G1298" s="16">
        <v>3.0</v>
      </c>
      <c r="H1298" s="17">
        <v>45126.0</v>
      </c>
      <c r="I1298" s="18" t="s">
        <v>1285</v>
      </c>
    </row>
    <row r="1299">
      <c r="A1299" s="5" t="str">
        <f t="array" ref="A1299">INDEX(event_table!$A$2:$A$69, RANDBETWEEN(1, COUNTA(event_table!$A$2:$A$69)))</f>
        <v>118</v>
      </c>
      <c r="B1299" s="6">
        <f t="array" ref="B1299">IFERROR(INDEX(event_table!$E$1:$E3686,MATCH(A1299,event_table!$A$1:$A3686,0)),"")
</f>
        <v>1</v>
      </c>
      <c r="C1299" s="7">
        <f t="shared" si="1"/>
        <v>75</v>
      </c>
      <c r="D1299" s="6" t="str">
        <f t="array" ref="D1299">IFERROR(INDEX(user_table!$C$2:$C3686,MATCH(C1299,user_table!$B$2:$B3686,0)),"")
</f>
        <v>Citra Sari</v>
      </c>
      <c r="E1299" s="6" t="str">
        <f t="array" ref="E1299">IFERROR(INDEX(user_table!$E$2:$E3686,MATCH(C1299,user_table!$B$2:$B3686,0)),"")
</f>
        <v>2, 5</v>
      </c>
      <c r="F1299" s="6" t="str">
        <f t="shared" si="2"/>
        <v>1182175</v>
      </c>
      <c r="G1299" s="16">
        <v>2.0</v>
      </c>
      <c r="H1299" s="17">
        <v>45120.0</v>
      </c>
      <c r="I1299" s="18" t="s">
        <v>1286</v>
      </c>
    </row>
    <row r="1300">
      <c r="A1300" s="5" t="str">
        <f t="array" ref="A1300">INDEX(event_table!$A$2:$A$69, RANDBETWEEN(1, COUNTA(event_table!$A$2:$A$69)))</f>
        <v>3164</v>
      </c>
      <c r="B1300" s="6">
        <f t="array" ref="B1300">IFERROR(INDEX(event_table!$E$1:$E3686,MATCH(A1300,event_table!$A$1:$A3686,0)),"")
</f>
        <v>1</v>
      </c>
      <c r="C1300" s="7">
        <f t="shared" si="1"/>
        <v>25</v>
      </c>
      <c r="D1300" s="6" t="str">
        <f t="array" ref="D1300">IFERROR(INDEX(user_table!$C$2:$C3686,MATCH(C1300,user_table!$B$2:$B3686,0)),"")
</f>
        <v>Agus Hartono</v>
      </c>
      <c r="E1300" s="6" t="str">
        <f t="array" ref="E1300">IFERROR(INDEX(user_table!$E$2:$E3686,MATCH(C1300,user_table!$B$2:$B3686,0)),"")
</f>
        <v>6, 3</v>
      </c>
      <c r="F1300" s="6" t="str">
        <f t="shared" si="2"/>
        <v>31642125</v>
      </c>
      <c r="G1300" s="16">
        <v>2.0</v>
      </c>
      <c r="H1300" s="17">
        <v>44643.0</v>
      </c>
      <c r="I1300" s="18" t="s">
        <v>1287</v>
      </c>
    </row>
    <row r="1301">
      <c r="A1301" s="5" t="str">
        <f t="array" ref="A1301">INDEX(event_table!$A$2:$A$69, RANDBETWEEN(1, COUNTA(event_table!$A$2:$A$69)))</f>
        <v>1519</v>
      </c>
      <c r="B1301" s="6">
        <f t="array" ref="B1301">IFERROR(INDEX(event_table!$E$1:$E3686,MATCH(A1301,event_table!$A$1:$A3686,0)),"")
</f>
        <v>5</v>
      </c>
      <c r="C1301" s="7">
        <f t="shared" si="1"/>
        <v>35</v>
      </c>
      <c r="D1301" s="6" t="str">
        <f t="array" ref="D1301">IFERROR(INDEX(user_table!$C$2:$C3686,MATCH(C1301,user_table!$B$2:$B3686,0)),"")
</f>
        <v>Maya Nugroho</v>
      </c>
      <c r="E1301" s="6" t="str">
        <f t="array" ref="E1301">IFERROR(INDEX(user_table!$E$2:$E3686,MATCH(C1301,user_table!$B$2:$B3686,0)),"")
</f>
        <v>6, 2</v>
      </c>
      <c r="F1301" s="6" t="str">
        <f t="shared" si="2"/>
        <v>15192535</v>
      </c>
      <c r="G1301" s="16">
        <v>2.0</v>
      </c>
      <c r="H1301" s="17">
        <v>44613.0</v>
      </c>
      <c r="I1301" s="18" t="s">
        <v>1288</v>
      </c>
    </row>
    <row r="1302">
      <c r="A1302" s="5" t="str">
        <f t="array" ref="A1302">INDEX(event_table!$A$2:$A$69, RANDBETWEEN(1, COUNTA(event_table!$A$2:$A$69)))</f>
        <v>1637</v>
      </c>
      <c r="B1302" s="6">
        <f t="array" ref="B1302">IFERROR(INDEX(event_table!$E$1:$E3686,MATCH(A1302,event_table!$A$1:$A3686,0)),"")
</f>
        <v>6</v>
      </c>
      <c r="C1302" s="7">
        <f t="shared" si="1"/>
        <v>164</v>
      </c>
      <c r="D1302" s="6" t="str">
        <f t="array" ref="D1302">IFERROR(INDEX(user_table!$C$2:$C3686,MATCH(C1302,user_table!$B$2:$B3686,0)),"")
</f>
        <v>Bambang Purnama</v>
      </c>
      <c r="E1302" s="6" t="str">
        <f t="array" ref="E1302">IFERROR(INDEX(user_table!$E$2:$E3686,MATCH(C1302,user_table!$B$2:$B3686,0)),"")
</f>
        <v>2, 3</v>
      </c>
      <c r="F1302" s="6" t="str">
        <f t="shared" si="2"/>
        <v>163726164</v>
      </c>
      <c r="G1302" s="16">
        <v>2.0</v>
      </c>
      <c r="H1302" s="17">
        <v>44556.0</v>
      </c>
      <c r="I1302" s="18" t="s">
        <v>1289</v>
      </c>
    </row>
    <row r="1303">
      <c r="A1303" s="5" t="str">
        <f t="array" ref="A1303">INDEX(event_table!$A$2:$A$69, RANDBETWEEN(1, COUNTA(event_table!$A$2:$A$69)))</f>
        <v>3168</v>
      </c>
      <c r="B1303" s="6">
        <f t="array" ref="B1303">IFERROR(INDEX(event_table!$E$1:$E3686,MATCH(A1303,event_table!$A$1:$A3686,0)),"")
</f>
        <v>1</v>
      </c>
      <c r="C1303" s="7">
        <f t="shared" si="1"/>
        <v>154</v>
      </c>
      <c r="D1303" s="6" t="str">
        <f t="array" ref="D1303">IFERROR(INDEX(user_table!$C$2:$C3686,MATCH(C1303,user_table!$B$2:$B3686,0)),"")
</f>
        <v>Dian Nurhayati</v>
      </c>
      <c r="E1303" s="6" t="str">
        <f t="array" ref="E1303">IFERROR(INDEX(user_table!$E$2:$E3686,MATCH(C1303,user_table!$B$2:$B3686,0)),"")
</f>
        <v>5, 3</v>
      </c>
      <c r="F1303" s="6" t="str">
        <f t="shared" si="2"/>
        <v>316821154</v>
      </c>
      <c r="G1303" s="16">
        <v>2.0</v>
      </c>
      <c r="H1303" s="17">
        <v>44395.0</v>
      </c>
      <c r="I1303" s="18" t="s">
        <v>1290</v>
      </c>
    </row>
    <row r="1304">
      <c r="A1304" s="5" t="str">
        <f t="array" ref="A1304">INDEX(event_table!$A$2:$A$69, RANDBETWEEN(1, COUNTA(event_table!$A$2:$A$69)))</f>
        <v>118</v>
      </c>
      <c r="B1304" s="6">
        <f t="array" ref="B1304">IFERROR(INDEX(event_table!$E$1:$E3686,MATCH(A1304,event_table!$A$1:$A3686,0)),"")
</f>
        <v>1</v>
      </c>
      <c r="C1304" s="7">
        <f t="shared" si="1"/>
        <v>67</v>
      </c>
      <c r="D1304" s="6" t="str">
        <f t="array" ref="D1304">IFERROR(INDEX(user_table!$C$2:$C3686,MATCH(C1304,user_table!$B$2:$B3686,0)),"")
</f>
        <v>Joko Pratama</v>
      </c>
      <c r="E1304" s="6" t="str">
        <f t="array" ref="E1304">IFERROR(INDEX(user_table!$E$2:$E3686,MATCH(C1304,user_table!$B$2:$B3686,0)),"")
</f>
        <v>1, 3</v>
      </c>
      <c r="F1304" s="6" t="str">
        <f t="shared" si="2"/>
        <v>1182167</v>
      </c>
      <c r="G1304" s="16">
        <v>2.0</v>
      </c>
      <c r="H1304" s="17">
        <v>44349.0</v>
      </c>
      <c r="I1304" s="18" t="s">
        <v>1291</v>
      </c>
    </row>
    <row r="1305">
      <c r="A1305" s="5" t="str">
        <f t="array" ref="A1305">INDEX(event_table!$A$2:$A$69, RANDBETWEEN(1, COUNTA(event_table!$A$2:$A$69)))</f>
        <v>1420</v>
      </c>
      <c r="B1305" s="6">
        <f t="array" ref="B1305">IFERROR(INDEX(event_table!$E$1:$E3686,MATCH(A1305,event_table!$A$1:$A3686,0)),"")
</f>
        <v>4</v>
      </c>
      <c r="C1305" s="7">
        <f t="shared" si="1"/>
        <v>121</v>
      </c>
      <c r="D1305" s="6" t="str">
        <f t="array" ref="D1305">IFERROR(INDEX(user_table!$C$2:$C3686,MATCH(C1305,user_table!$B$2:$B3686,0)),"")
</f>
        <v>Wahyu Saputra</v>
      </c>
      <c r="E1305" s="6" t="str">
        <f t="array" ref="E1305">IFERROR(INDEX(user_table!$E$2:$E3686,MATCH(C1305,user_table!$B$2:$B3686,0)),"")
</f>
        <v>6, 3</v>
      </c>
      <c r="F1305" s="6" t="str">
        <f t="shared" si="2"/>
        <v>142024121</v>
      </c>
      <c r="G1305" s="16">
        <v>2.0</v>
      </c>
      <c r="H1305" s="17">
        <v>45249.0</v>
      </c>
      <c r="I1305" s="18" t="s">
        <v>1292</v>
      </c>
    </row>
    <row r="1306">
      <c r="A1306" s="5" t="str">
        <f t="array" ref="A1306">INDEX(event_table!$A$2:$A$69, RANDBETWEEN(1, COUNTA(event_table!$A$2:$A$69)))</f>
        <v>1647</v>
      </c>
      <c r="B1306" s="6">
        <f t="array" ref="B1306">IFERROR(INDEX(event_table!$E$1:$E3686,MATCH(A1306,event_table!$A$1:$A3686,0)),"")
</f>
        <v>6</v>
      </c>
      <c r="C1306" s="7">
        <f t="shared" si="1"/>
        <v>119</v>
      </c>
      <c r="D1306" s="6" t="str">
        <f t="array" ref="D1306">IFERROR(INDEX(user_table!$C$2:$C3686,MATCH(C1306,user_table!$B$2:$B3686,0)),"")
</f>
        <v>Budi Rahayu</v>
      </c>
      <c r="E1306" s="6" t="str">
        <f t="array" ref="E1306">IFERROR(INDEX(user_table!$E$2:$E3686,MATCH(C1306,user_table!$B$2:$B3686,0)),"")
</f>
        <v>1, 2</v>
      </c>
      <c r="F1306" s="6" t="str">
        <f t="shared" si="2"/>
        <v>164726119</v>
      </c>
      <c r="G1306" s="16">
        <v>2.0</v>
      </c>
      <c r="H1306" s="17">
        <v>45194.0</v>
      </c>
      <c r="I1306" s="18" t="s">
        <v>1293</v>
      </c>
    </row>
    <row r="1307">
      <c r="A1307" s="5" t="str">
        <f t="array" ref="A1307">INDEX(event_table!$A$2:$A$69, RANDBETWEEN(1, COUNTA(event_table!$A$2:$A$69)))</f>
        <v>1420</v>
      </c>
      <c r="B1307" s="6">
        <f t="array" ref="B1307">IFERROR(INDEX(event_table!$E$1:$E3686,MATCH(A1307,event_table!$A$1:$A3686,0)),"")
</f>
        <v>4</v>
      </c>
      <c r="C1307" s="7">
        <f t="shared" si="1"/>
        <v>98</v>
      </c>
      <c r="D1307" s="6" t="str">
        <f t="array" ref="D1307">IFERROR(INDEX(user_table!$C$2:$C3686,MATCH(C1307,user_table!$B$2:$B3686,0)),"")
</f>
        <v>Agus Hidayat</v>
      </c>
      <c r="E1307" s="6" t="str">
        <f t="array" ref="E1307">IFERROR(INDEX(user_table!$E$2:$E3686,MATCH(C1307,user_table!$B$2:$B3686,0)),"")
</f>
        <v>3, 6</v>
      </c>
      <c r="F1307" s="6" t="str">
        <f t="shared" si="2"/>
        <v>14202498</v>
      </c>
      <c r="G1307" s="16">
        <v>2.0</v>
      </c>
      <c r="H1307" s="17">
        <v>45187.0</v>
      </c>
      <c r="I1307" s="18" t="s">
        <v>1294</v>
      </c>
    </row>
    <row r="1308">
      <c r="A1308" s="5" t="str">
        <f t="array" ref="A1308">INDEX(event_table!$A$2:$A$69, RANDBETWEEN(1, COUNTA(event_table!$A$2:$A$69)))</f>
        <v>115</v>
      </c>
      <c r="B1308" s="6">
        <f t="array" ref="B1308">IFERROR(INDEX(event_table!$E$1:$E3686,MATCH(A1308,event_table!$A$1:$A3686,0)),"")
</f>
        <v>1</v>
      </c>
      <c r="C1308" s="7">
        <f t="shared" si="1"/>
        <v>1</v>
      </c>
      <c r="D1308" s="6" t="str">
        <f t="array" ref="D1308">IFERROR(INDEX(user_table!$C$2:$C3686,MATCH(C1308,user_table!$B$2:$B3686,0)),"")
</f>
        <v>Maya Putri</v>
      </c>
      <c r="E1308" s="6" t="str">
        <f t="array" ref="E1308">IFERROR(INDEX(user_table!$E$2:$E3686,MATCH(C1308,user_table!$B$2:$B3686,0)),"")
</f>
        <v>5, 6</v>
      </c>
      <c r="F1308" s="6" t="str">
        <f t="shared" si="2"/>
        <v>115211</v>
      </c>
      <c r="G1308" s="16">
        <v>2.0</v>
      </c>
      <c r="H1308" s="17">
        <v>45108.0</v>
      </c>
      <c r="I1308" s="18" t="s">
        <v>1295</v>
      </c>
    </row>
    <row r="1309">
      <c r="A1309" s="5" t="str">
        <f t="array" ref="A1309">INDEX(event_table!$A$2:$A$69, RANDBETWEEN(1, COUNTA(event_table!$A$2:$A$69)))</f>
        <v>1637</v>
      </c>
      <c r="B1309" s="6">
        <f t="array" ref="B1309">IFERROR(INDEX(event_table!$E$1:$E3686,MATCH(A1309,event_table!$A$1:$A3686,0)),"")
</f>
        <v>6</v>
      </c>
      <c r="C1309" s="7">
        <f t="shared" si="1"/>
        <v>175</v>
      </c>
      <c r="D1309" s="6" t="str">
        <f t="array" ref="D1309">IFERROR(INDEX(user_table!$C$2:$C3686,MATCH(C1309,user_table!$B$2:$B3686,0)),"")
</f>
        <v>Siti Septiani</v>
      </c>
      <c r="E1309" s="6" t="str">
        <f t="array" ref="E1309">IFERROR(INDEX(user_table!$E$2:$E3686,MATCH(C1309,user_table!$B$2:$B3686,0)),"")
</f>
        <v>2, 5</v>
      </c>
      <c r="F1309" s="6" t="str">
        <f t="shared" si="2"/>
        <v>163716175</v>
      </c>
      <c r="G1309" s="16">
        <v>1.0</v>
      </c>
      <c r="H1309" s="17">
        <v>45194.0</v>
      </c>
      <c r="I1309" s="18" t="s">
        <v>1296</v>
      </c>
    </row>
    <row r="1310">
      <c r="A1310" s="5" t="str">
        <f t="array" ref="A1310">INDEX(event_table!$A$2:$A$69, RANDBETWEEN(1, COUNTA(event_table!$A$2:$A$69)))</f>
        <v>1553</v>
      </c>
      <c r="B1310" s="6">
        <f t="array" ref="B1310">IFERROR(INDEX(event_table!$E$1:$E3686,MATCH(A1310,event_table!$A$1:$A3686,0)),"")
</f>
        <v>5</v>
      </c>
      <c r="C1310" s="7">
        <f t="shared" si="1"/>
        <v>104</v>
      </c>
      <c r="D1310" s="6" t="str">
        <f t="array" ref="D1310">IFERROR(INDEX(user_table!$C$2:$C3686,MATCH(C1310,user_table!$B$2:$B3686,0)),"")
</f>
        <v>Fajar Utami</v>
      </c>
      <c r="E1310" s="6" t="str">
        <f t="array" ref="E1310">IFERROR(INDEX(user_table!$E$2:$E3686,MATCH(C1310,user_table!$B$2:$B3686,0)),"")
</f>
        <v>2, 5</v>
      </c>
      <c r="F1310" s="6" t="str">
        <f t="shared" si="2"/>
        <v>155315104</v>
      </c>
      <c r="G1310" s="16">
        <v>1.0</v>
      </c>
      <c r="H1310" s="17">
        <v>45195.0</v>
      </c>
      <c r="I1310" s="18" t="s">
        <v>1297</v>
      </c>
    </row>
    <row r="1311">
      <c r="A1311" s="5" t="str">
        <f t="array" ref="A1311">INDEX(event_table!$A$2:$A$69, RANDBETWEEN(1, COUNTA(event_table!$A$2:$A$69)))</f>
        <v>1114</v>
      </c>
      <c r="B1311" s="6">
        <f t="array" ref="B1311">IFERROR(INDEX(event_table!$E$1:$E3686,MATCH(A1311,event_table!$A$1:$A3686,0)),"")
</f>
        <v>1</v>
      </c>
      <c r="C1311" s="7">
        <f t="shared" si="1"/>
        <v>64</v>
      </c>
      <c r="D1311" s="6" t="str">
        <f t="array" ref="D1311">IFERROR(INDEX(user_table!$C$2:$C3686,MATCH(C1311,user_table!$B$2:$B3686,0)),"")
</f>
        <v>Fajar Utami</v>
      </c>
      <c r="E1311" s="6" t="str">
        <f t="array" ref="E1311">IFERROR(INDEX(user_table!$E$2:$E3686,MATCH(C1311,user_table!$B$2:$B3686,0)),"")
</f>
        <v>5, 2</v>
      </c>
      <c r="F1311" s="6" t="str">
        <f t="shared" si="2"/>
        <v>11141164</v>
      </c>
      <c r="G1311" s="16">
        <v>1.0</v>
      </c>
      <c r="H1311" s="17">
        <v>45191.0</v>
      </c>
      <c r="I1311" s="18" t="s">
        <v>1298</v>
      </c>
    </row>
    <row r="1312">
      <c r="A1312" s="5" t="str">
        <f t="array" ref="A1312">INDEX(event_table!$A$2:$A$69, RANDBETWEEN(1, COUNTA(event_table!$A$2:$A$69)))</f>
        <v>1528</v>
      </c>
      <c r="B1312" s="6">
        <f t="array" ref="B1312">IFERROR(INDEX(event_table!$E$1:$E3686,MATCH(A1312,event_table!$A$1:$A3686,0)),"")
</f>
        <v>5</v>
      </c>
      <c r="C1312" s="7">
        <f t="shared" si="1"/>
        <v>154</v>
      </c>
      <c r="D1312" s="6" t="str">
        <f t="array" ref="D1312">IFERROR(INDEX(user_table!$C$2:$C3686,MATCH(C1312,user_table!$B$2:$B3686,0)),"")
</f>
        <v>Dian Nurhayati</v>
      </c>
      <c r="E1312" s="6" t="str">
        <f t="array" ref="E1312">IFERROR(INDEX(user_table!$E$2:$E3686,MATCH(C1312,user_table!$B$2:$B3686,0)),"")
</f>
        <v>5, 3</v>
      </c>
      <c r="F1312" s="6" t="str">
        <f t="shared" si="2"/>
        <v>152815154</v>
      </c>
      <c r="G1312" s="16">
        <v>1.0</v>
      </c>
      <c r="H1312" s="17">
        <v>45121.0</v>
      </c>
      <c r="I1312" s="18" t="s">
        <v>1299</v>
      </c>
    </row>
    <row r="1313">
      <c r="A1313" s="5" t="str">
        <f t="array" ref="A1313">INDEX(event_table!$A$2:$A$69, RANDBETWEEN(1, COUNTA(event_table!$A$2:$A$69)))</f>
        <v>1215</v>
      </c>
      <c r="B1313" s="6">
        <f t="array" ref="B1313">IFERROR(INDEX(event_table!$E$1:$E3686,MATCH(A1313,event_table!$A$1:$A3686,0)),"")
</f>
        <v>2</v>
      </c>
      <c r="C1313" s="7">
        <f t="shared" si="1"/>
        <v>128</v>
      </c>
      <c r="D1313" s="6" t="str">
        <f t="array" ref="D1313">IFERROR(INDEX(user_table!$C$2:$C3686,MATCH(C1313,user_table!$B$2:$B3686,0)),"")
</f>
        <v>Bambang Utami</v>
      </c>
      <c r="E1313" s="6" t="str">
        <f t="array" ref="E1313">IFERROR(INDEX(user_table!$E$2:$E3686,MATCH(C1313,user_table!$B$2:$B3686,0)),"")
</f>
        <v>3, 6</v>
      </c>
      <c r="F1313" s="6" t="str">
        <f t="shared" si="2"/>
        <v>121512128</v>
      </c>
      <c r="G1313" s="16">
        <v>1.0</v>
      </c>
      <c r="H1313" s="17">
        <v>45188.0</v>
      </c>
      <c r="I1313" s="18" t="s">
        <v>1300</v>
      </c>
    </row>
    <row r="1314">
      <c r="A1314" s="5" t="str">
        <f t="array" ref="A1314">INDEX(event_table!$A$2:$A$69, RANDBETWEEN(1, COUNTA(event_table!$A$2:$A$69)))</f>
        <v>3658</v>
      </c>
      <c r="B1314" s="6">
        <f t="array" ref="B1314">IFERROR(INDEX(event_table!$E$1:$E3686,MATCH(A1314,event_table!$A$1:$A3686,0)),"")
</f>
        <v>6</v>
      </c>
      <c r="C1314" s="7">
        <f t="shared" si="1"/>
        <v>74</v>
      </c>
      <c r="D1314" s="6" t="str">
        <f t="array" ref="D1314">IFERROR(INDEX(user_table!$C$2:$C3686,MATCH(C1314,user_table!$B$2:$B3686,0)),"")
</f>
        <v>Arif Purnama</v>
      </c>
      <c r="E1314" s="6" t="str">
        <f t="array" ref="E1314">IFERROR(INDEX(user_table!$E$2:$E3686,MATCH(C1314,user_table!$B$2:$B3686,0)),"")
</f>
        <v>3, 2</v>
      </c>
      <c r="F1314" s="6" t="str">
        <f t="shared" si="2"/>
        <v>36581674</v>
      </c>
      <c r="G1314" s="16">
        <v>1.0</v>
      </c>
      <c r="H1314" s="17">
        <v>45125.0</v>
      </c>
      <c r="I1314" s="18" t="s">
        <v>1301</v>
      </c>
    </row>
    <row r="1315">
      <c r="A1315" s="5" t="str">
        <f t="array" ref="A1315">INDEX(event_table!$A$2:$A$69, RANDBETWEEN(1, COUNTA(event_table!$A$2:$A$69)))</f>
        <v>1421</v>
      </c>
      <c r="B1315" s="6">
        <f t="array" ref="B1315">IFERROR(INDEX(event_table!$E$1:$E3686,MATCH(A1315,event_table!$A$1:$A3686,0)),"")
</f>
        <v>4</v>
      </c>
      <c r="C1315" s="7">
        <f t="shared" si="1"/>
        <v>112</v>
      </c>
      <c r="D1315" s="6" t="str">
        <f t="array" ref="D1315">IFERROR(INDEX(user_table!$C$2:$C3686,MATCH(C1315,user_table!$B$2:$B3686,0)),"")
</f>
        <v>Ani Hadiwijaya</v>
      </c>
      <c r="E1315" s="6" t="str">
        <f t="array" ref="E1315">IFERROR(INDEX(user_table!$E$2:$E3686,MATCH(C1315,user_table!$B$2:$B3686,0)),"")
</f>
        <v>3, 5</v>
      </c>
      <c r="F1315" s="6" t="str">
        <f t="shared" si="2"/>
        <v>142114112</v>
      </c>
      <c r="G1315" s="16">
        <v>1.0</v>
      </c>
      <c r="H1315" s="17">
        <v>45143.0</v>
      </c>
      <c r="I1315" s="18" t="s">
        <v>1302</v>
      </c>
    </row>
    <row r="1316">
      <c r="A1316" s="5" t="str">
        <f t="array" ref="A1316">INDEX(event_table!$A$2:$A$69, RANDBETWEEN(1, COUNTA(event_table!$A$2:$A$69)))</f>
        <v>1313</v>
      </c>
      <c r="B1316" s="6">
        <f t="array" ref="B1316">IFERROR(INDEX(event_table!$E$1:$E3686,MATCH(A1316,event_table!$A$1:$A3686,0)),"")
</f>
        <v>3</v>
      </c>
      <c r="C1316" s="7">
        <f t="shared" si="1"/>
        <v>176</v>
      </c>
      <c r="D1316" s="6" t="str">
        <f t="array" ref="D1316">IFERROR(INDEX(user_table!$C$2:$C3686,MATCH(C1316,user_table!$B$2:$B3686,0)),"")
</f>
        <v>Ani Hartono</v>
      </c>
      <c r="E1316" s="6" t="str">
        <f t="array" ref="E1316">IFERROR(INDEX(user_table!$E$2:$E3686,MATCH(C1316,user_table!$B$2:$B3686,0)),"")
</f>
        <v>2, 3</v>
      </c>
      <c r="F1316" s="6" t="str">
        <f t="shared" si="2"/>
        <v>131313176</v>
      </c>
      <c r="G1316" s="16">
        <v>1.0</v>
      </c>
      <c r="H1316" s="17">
        <v>45129.0</v>
      </c>
      <c r="I1316" s="18" t="s">
        <v>1303</v>
      </c>
    </row>
    <row r="1317">
      <c r="A1317" s="5" t="str">
        <f t="array" ref="A1317">INDEX(event_table!$A$2:$A$69, RANDBETWEEN(1, COUNTA(event_table!$A$2:$A$69)))</f>
        <v>1530</v>
      </c>
      <c r="B1317" s="6">
        <f t="array" ref="B1317">IFERROR(INDEX(event_table!$E$1:$E3686,MATCH(A1317,event_table!$A$1:$A3686,0)),"")
</f>
        <v>5</v>
      </c>
      <c r="C1317" s="7">
        <f t="shared" si="1"/>
        <v>97</v>
      </c>
      <c r="D1317" s="6" t="str">
        <f t="array" ref="D1317">IFERROR(INDEX(user_table!$C$2:$C3686,MATCH(C1317,user_table!$B$2:$B3686,0)),"")
</f>
        <v>Dewi Hidayat</v>
      </c>
      <c r="E1317" s="6" t="str">
        <f t="array" ref="E1317">IFERROR(INDEX(user_table!$E$2:$E3686,MATCH(C1317,user_table!$B$2:$B3686,0)),"")
</f>
        <v>2, 2</v>
      </c>
      <c r="F1317" s="6" t="str">
        <f t="shared" si="2"/>
        <v>15301597</v>
      </c>
      <c r="G1317" s="16">
        <v>1.0</v>
      </c>
      <c r="H1317" s="17">
        <v>45114.0</v>
      </c>
      <c r="I1317" s="18" t="s">
        <v>1304</v>
      </c>
    </row>
    <row r="1318">
      <c r="A1318" s="5" t="str">
        <f t="array" ref="A1318">INDEX(event_table!$A$2:$A$69, RANDBETWEEN(1, COUNTA(event_table!$A$2:$A$69)))</f>
        <v>3659</v>
      </c>
      <c r="B1318" s="6">
        <f t="array" ref="B1318">IFERROR(INDEX(event_table!$E$1:$E3686,MATCH(A1318,event_table!$A$1:$A3686,0)),"")
</f>
        <v>6</v>
      </c>
      <c r="C1318" s="7">
        <f t="shared" si="1"/>
        <v>123</v>
      </c>
      <c r="D1318" s="6" t="str">
        <f t="array" ref="D1318">IFERROR(INDEX(user_table!$C$2:$C3686,MATCH(C1318,user_table!$B$2:$B3686,0)),"")
</f>
        <v>Lina Hartono</v>
      </c>
      <c r="E1318" s="6" t="str">
        <f t="array" ref="E1318">IFERROR(INDEX(user_table!$E$2:$E3686,MATCH(C1318,user_table!$B$2:$B3686,0)),"")
</f>
        <v>6, 5</v>
      </c>
      <c r="F1318" s="6" t="str">
        <f t="shared" si="2"/>
        <v>365916123</v>
      </c>
      <c r="G1318" s="16">
        <v>1.0</v>
      </c>
      <c r="H1318" s="17">
        <v>45081.0</v>
      </c>
      <c r="I1318" s="18" t="s">
        <v>1305</v>
      </c>
    </row>
    <row r="1319">
      <c r="A1319" s="5" t="str">
        <f t="array" ref="A1319">INDEX(event_table!$A$2:$A$69, RANDBETWEEN(1, COUNTA(event_table!$A$2:$A$69)))</f>
        <v>113</v>
      </c>
      <c r="B1319" s="6">
        <f t="array" ref="B1319">IFERROR(INDEX(event_table!$E$1:$E3686,MATCH(A1319,event_table!$A$1:$A3686,0)),"")
</f>
        <v>1</v>
      </c>
      <c r="C1319" s="7">
        <f t="shared" si="1"/>
        <v>153</v>
      </c>
      <c r="D1319" s="6" t="str">
        <f t="array" ref="D1319">IFERROR(INDEX(user_table!$C$2:$C3686,MATCH(C1319,user_table!$B$2:$B3686,0)),"")
</f>
        <v>Budi Hartono</v>
      </c>
      <c r="E1319" s="6" t="str">
        <f t="array" ref="E1319">IFERROR(INDEX(user_table!$E$2:$E3686,MATCH(C1319,user_table!$B$2:$B3686,0)),"")
</f>
        <v>5, 2</v>
      </c>
      <c r="F1319" s="6" t="str">
        <f t="shared" si="2"/>
        <v>11311153</v>
      </c>
      <c r="G1319" s="16">
        <v>1.0</v>
      </c>
      <c r="H1319" s="17">
        <v>45050.0</v>
      </c>
      <c r="I1319" s="18" t="s">
        <v>1306</v>
      </c>
    </row>
    <row r="1320">
      <c r="A1320" s="5" t="str">
        <f t="array" ref="A1320">INDEX(event_table!$A$2:$A$69, RANDBETWEEN(1, COUNTA(event_table!$A$2:$A$69)))</f>
        <v>1640</v>
      </c>
      <c r="B1320" s="6">
        <f t="array" ref="B1320">IFERROR(INDEX(event_table!$E$1:$E3686,MATCH(A1320,event_table!$A$1:$A3686,0)),"")
</f>
        <v>6</v>
      </c>
      <c r="C1320" s="7">
        <f t="shared" si="1"/>
        <v>197</v>
      </c>
      <c r="D1320" s="6" t="str">
        <f t="array" ref="D1320">IFERROR(INDEX(user_table!$C$2:$C3686,MATCH(C1320,user_table!$B$2:$B3686,0)),"")
</f>
        <v>Dian Sari</v>
      </c>
      <c r="E1320" s="6" t="str">
        <f t="array" ref="E1320">IFERROR(INDEX(user_table!$E$2:$E3686,MATCH(C1320,user_table!$B$2:$B3686,0)),"")
</f>
        <v>6, 3</v>
      </c>
      <c r="F1320" s="6" t="str">
        <f t="shared" si="2"/>
        <v>164016197</v>
      </c>
      <c r="G1320" s="16">
        <v>1.0</v>
      </c>
      <c r="H1320" s="17">
        <v>45039.0</v>
      </c>
      <c r="I1320" s="18" t="s">
        <v>1307</v>
      </c>
    </row>
    <row r="1321">
      <c r="A1321" s="5" t="str">
        <f t="array" ref="A1321">INDEX(event_table!$A$2:$A$69, RANDBETWEEN(1, COUNTA(event_table!$A$2:$A$69)))</f>
        <v>1636</v>
      </c>
      <c r="B1321" s="6">
        <f t="array" ref="B1321">IFERROR(INDEX(event_table!$E$1:$E3686,MATCH(A1321,event_table!$A$1:$A3686,0)),"")
</f>
        <v>6</v>
      </c>
      <c r="C1321" s="7">
        <f t="shared" si="1"/>
        <v>44</v>
      </c>
      <c r="D1321" s="6" t="str">
        <f t="array" ref="D1321">IFERROR(INDEX(user_table!$C$2:$C3686,MATCH(C1321,user_table!$B$2:$B3686,0)),"")
</f>
        <v>Arif Sari</v>
      </c>
      <c r="E1321" s="6" t="str">
        <f t="array" ref="E1321">IFERROR(INDEX(user_table!$E$2:$E3686,MATCH(C1321,user_table!$B$2:$B3686,0)),"")
</f>
        <v>2, 4</v>
      </c>
      <c r="F1321" s="6" t="str">
        <f t="shared" si="2"/>
        <v>16365644</v>
      </c>
      <c r="G1321" s="16">
        <v>5.0</v>
      </c>
      <c r="H1321" s="17">
        <v>44750.0</v>
      </c>
      <c r="I1321" s="18" t="s">
        <v>1308</v>
      </c>
    </row>
    <row r="1322">
      <c r="A1322" s="5" t="str">
        <f t="array" ref="A1322">INDEX(event_table!$A$2:$A$69, RANDBETWEEN(1, COUNTA(event_table!$A$2:$A$69)))</f>
        <v>3163</v>
      </c>
      <c r="B1322" s="6">
        <f t="array" ref="B1322">IFERROR(INDEX(event_table!$E$1:$E3686,MATCH(A1322,event_table!$A$1:$A3686,0)),"")
</f>
        <v>1</v>
      </c>
      <c r="C1322" s="7">
        <f t="shared" si="1"/>
        <v>126</v>
      </c>
      <c r="D1322" s="6" t="str">
        <f t="array" ref="D1322">IFERROR(INDEX(user_table!$C$2:$C3686,MATCH(C1322,user_table!$B$2:$B3686,0)),"")
</f>
        <v>Agus Santoso</v>
      </c>
      <c r="E1322" s="6" t="str">
        <f t="array" ref="E1322">IFERROR(INDEX(user_table!$E$2:$E3686,MATCH(C1322,user_table!$B$2:$B3686,0)),"")
</f>
        <v>3, 6</v>
      </c>
      <c r="F1322" s="6" t="str">
        <f t="shared" si="2"/>
        <v>316351126</v>
      </c>
      <c r="G1322" s="16">
        <v>5.0</v>
      </c>
      <c r="H1322" s="17">
        <v>44745.0</v>
      </c>
      <c r="I1322" s="18" t="s">
        <v>1309</v>
      </c>
    </row>
    <row r="1323">
      <c r="A1323" s="5" t="str">
        <f t="array" ref="A1323">INDEX(event_table!$A$2:$A$69, RANDBETWEEN(1, COUNTA(event_table!$A$2:$A$69)))</f>
        <v>1643</v>
      </c>
      <c r="B1323" s="6">
        <f t="array" ref="B1323">IFERROR(INDEX(event_table!$E$1:$E3686,MATCH(A1323,event_table!$A$1:$A3686,0)),"")
</f>
        <v>6</v>
      </c>
      <c r="C1323" s="7">
        <f t="shared" si="1"/>
        <v>86</v>
      </c>
      <c r="D1323" s="6" t="str">
        <f t="array" ref="D1323">IFERROR(INDEX(user_table!$C$2:$C3686,MATCH(C1323,user_table!$B$2:$B3686,0)),"")
</f>
        <v>Lina Santoso</v>
      </c>
      <c r="E1323" s="6" t="str">
        <f t="array" ref="E1323">IFERROR(INDEX(user_table!$E$2:$E3686,MATCH(C1323,user_table!$B$2:$B3686,0)),"")
</f>
        <v>4, 3</v>
      </c>
      <c r="F1323" s="6" t="str">
        <f t="shared" si="2"/>
        <v>16435686</v>
      </c>
      <c r="G1323" s="16">
        <v>5.0</v>
      </c>
      <c r="H1323" s="17">
        <v>44730.0</v>
      </c>
      <c r="I1323" s="18" t="s">
        <v>1310</v>
      </c>
    </row>
    <row r="1324">
      <c r="A1324" s="5" t="str">
        <f t="array" ref="A1324">INDEX(event_table!$A$2:$A$69, RANDBETWEEN(1, COUNTA(event_table!$A$2:$A$69)))</f>
        <v>122</v>
      </c>
      <c r="B1324" s="6">
        <f t="array" ref="B1324">IFERROR(INDEX(event_table!$E$1:$E3686,MATCH(A1324,event_table!$A$1:$A3686,0)),"")
</f>
        <v>2</v>
      </c>
      <c r="C1324" s="7">
        <f t="shared" si="1"/>
        <v>94</v>
      </c>
      <c r="D1324" s="6" t="str">
        <f t="array" ref="D1324">IFERROR(INDEX(user_table!$C$2:$C3686,MATCH(C1324,user_table!$B$2:$B3686,0)),"")
</f>
        <v>Ani Susanto</v>
      </c>
      <c r="E1324" s="6" t="str">
        <f t="array" ref="E1324">IFERROR(INDEX(user_table!$E$2:$E3686,MATCH(C1324,user_table!$B$2:$B3686,0)),"")
</f>
        <v>2, 4</v>
      </c>
      <c r="F1324" s="6" t="str">
        <f t="shared" si="2"/>
        <v>1225294</v>
      </c>
      <c r="G1324" s="16">
        <v>5.0</v>
      </c>
      <c r="H1324" s="17">
        <v>44711.0</v>
      </c>
      <c r="I1324" s="18" t="s">
        <v>1311</v>
      </c>
    </row>
    <row r="1325">
      <c r="A1325" s="5" t="str">
        <f t="array" ref="A1325">INDEX(event_table!$A$2:$A$69, RANDBETWEEN(1, COUNTA(event_table!$A$2:$A$69)))</f>
        <v>1648</v>
      </c>
      <c r="B1325" s="6">
        <f t="array" ref="B1325">IFERROR(INDEX(event_table!$E$1:$E3686,MATCH(A1325,event_table!$A$1:$A3686,0)),"")
</f>
        <v>6</v>
      </c>
      <c r="C1325" s="7">
        <f t="shared" si="1"/>
        <v>107</v>
      </c>
      <c r="D1325" s="6" t="str">
        <f t="array" ref="D1325">IFERROR(INDEX(user_table!$C$2:$C3686,MATCH(C1325,user_table!$B$2:$B3686,0)),"")
</f>
        <v>Citra Rahayu</v>
      </c>
      <c r="E1325" s="6" t="str">
        <f t="array" ref="E1325">IFERROR(INDEX(user_table!$E$2:$E3686,MATCH(C1325,user_table!$B$2:$B3686,0)),"")
</f>
        <v>1, 5</v>
      </c>
      <c r="F1325" s="6" t="str">
        <f t="shared" si="2"/>
        <v>164856107</v>
      </c>
      <c r="G1325" s="16">
        <v>5.0</v>
      </c>
      <c r="H1325" s="17">
        <v>44709.0</v>
      </c>
      <c r="I1325" s="18" t="s">
        <v>1312</v>
      </c>
    </row>
    <row r="1326">
      <c r="A1326" s="5" t="str">
        <f t="array" ref="A1326">INDEX(event_table!$A$2:$A$69, RANDBETWEEN(1, COUNTA(event_table!$A$2:$A$69)))</f>
        <v>3455</v>
      </c>
      <c r="B1326" s="6">
        <f t="array" ref="B1326">IFERROR(INDEX(event_table!$E$1:$E3686,MATCH(A1326,event_table!$A$1:$A3686,0)),"")
</f>
        <v>4</v>
      </c>
      <c r="C1326" s="7">
        <f t="shared" si="1"/>
        <v>47</v>
      </c>
      <c r="D1326" s="6" t="str">
        <f t="array" ref="D1326">IFERROR(INDEX(user_table!$C$2:$C3686,MATCH(C1326,user_table!$B$2:$B3686,0)),"")
</f>
        <v>Fandi Kurniawan</v>
      </c>
      <c r="E1326" s="6" t="str">
        <f t="array" ref="E1326">IFERROR(INDEX(user_table!$E$2:$E3686,MATCH(C1326,user_table!$B$2:$B3686,0)),"")
</f>
        <v>5, 6</v>
      </c>
      <c r="F1326" s="6" t="str">
        <f t="shared" si="2"/>
        <v>34555447</v>
      </c>
      <c r="G1326" s="16">
        <v>5.0</v>
      </c>
      <c r="H1326" s="17">
        <v>45124.0</v>
      </c>
      <c r="I1326" s="18" t="s">
        <v>1313</v>
      </c>
    </row>
    <row r="1327">
      <c r="A1327" s="5" t="str">
        <f t="array" ref="A1327">INDEX(event_table!$A$2:$A$69, RANDBETWEEN(1, COUNTA(event_table!$A$2:$A$69)))</f>
        <v>1417</v>
      </c>
      <c r="B1327" s="6">
        <f t="array" ref="B1327">IFERROR(INDEX(event_table!$E$1:$E3686,MATCH(A1327,event_table!$A$1:$A3686,0)),"")
</f>
        <v>4</v>
      </c>
      <c r="C1327" s="7">
        <f t="shared" si="1"/>
        <v>167</v>
      </c>
      <c r="D1327" s="6" t="str">
        <f t="array" ref="D1327">IFERROR(INDEX(user_table!$C$2:$C3686,MATCH(C1327,user_table!$B$2:$B3686,0)),"")
</f>
        <v>Fandi Hermawan</v>
      </c>
      <c r="E1327" s="6" t="str">
        <f t="array" ref="E1327">IFERROR(INDEX(user_table!$E$2:$E3686,MATCH(C1327,user_table!$B$2:$B3686,0)),"")
</f>
        <v>3, 1</v>
      </c>
      <c r="F1327" s="6" t="str">
        <f t="shared" si="2"/>
        <v>141754167</v>
      </c>
      <c r="G1327" s="16">
        <v>5.0</v>
      </c>
      <c r="H1327" s="17">
        <v>45082.0</v>
      </c>
      <c r="I1327" s="18" t="s">
        <v>1314</v>
      </c>
    </row>
    <row r="1328">
      <c r="A1328" s="5" t="str">
        <f t="array" ref="A1328">INDEX(event_table!$A$2:$A$69, RANDBETWEEN(1, COUNTA(event_table!$A$2:$A$69)))</f>
        <v>1643</v>
      </c>
      <c r="B1328" s="6">
        <f t="array" ref="B1328">IFERROR(INDEX(event_table!$E$1:$E3686,MATCH(A1328,event_table!$A$1:$A3686,0)),"")
</f>
        <v>6</v>
      </c>
      <c r="C1328" s="7">
        <f t="shared" si="1"/>
        <v>127</v>
      </c>
      <c r="D1328" s="6" t="str">
        <f t="array" ref="D1328">IFERROR(INDEX(user_table!$C$2:$C3686,MATCH(C1328,user_table!$B$2:$B3686,0)),"")
</f>
        <v>Sinta Wijaya</v>
      </c>
      <c r="E1328" s="6" t="str">
        <f t="array" ref="E1328">IFERROR(INDEX(user_table!$E$2:$E3686,MATCH(C1328,user_table!$B$2:$B3686,0)),"")
</f>
        <v>6, 4</v>
      </c>
      <c r="F1328" s="6" t="str">
        <f t="shared" si="2"/>
        <v>164356127</v>
      </c>
      <c r="G1328" s="16">
        <v>5.0</v>
      </c>
      <c r="H1328" s="17">
        <v>44820.0</v>
      </c>
      <c r="I1328" s="18" t="s">
        <v>1315</v>
      </c>
    </row>
    <row r="1329">
      <c r="A1329" s="5" t="str">
        <f t="array" ref="A1329">INDEX(event_table!$A$2:$A$69, RANDBETWEEN(1, COUNTA(event_table!$A$2:$A$69)))</f>
        <v>1334</v>
      </c>
      <c r="B1329" s="6">
        <f t="array" ref="B1329">IFERROR(INDEX(event_table!$E$1:$E3686,MATCH(A1329,event_table!$A$1:$A3686,0)),"")
</f>
        <v>3</v>
      </c>
      <c r="C1329" s="7">
        <f t="shared" si="1"/>
        <v>11</v>
      </c>
      <c r="D1329" s="6" t="str">
        <f t="array" ref="D1329">IFERROR(INDEX(user_table!$C$2:$C3686,MATCH(C1329,user_table!$B$2:$B3686,0)),"")
</f>
        <v>Arif Sari</v>
      </c>
      <c r="E1329" s="6" t="str">
        <f t="array" ref="E1329">IFERROR(INDEX(user_table!$E$2:$E3686,MATCH(C1329,user_table!$B$2:$B3686,0)),"")
</f>
        <v>5, 2</v>
      </c>
      <c r="F1329" s="6" t="str">
        <f t="shared" si="2"/>
        <v>13345311</v>
      </c>
      <c r="G1329" s="16">
        <v>5.0</v>
      </c>
      <c r="H1329" s="17">
        <v>44750.0</v>
      </c>
      <c r="I1329" s="18" t="s">
        <v>1316</v>
      </c>
    </row>
    <row r="1330">
      <c r="A1330" s="5" t="str">
        <f t="array" ref="A1330">INDEX(event_table!$A$2:$A$69, RANDBETWEEN(1, COUNTA(event_table!$A$2:$A$69)))</f>
        <v>1334</v>
      </c>
      <c r="B1330" s="6">
        <f t="array" ref="B1330">IFERROR(INDEX(event_table!$E$1:$E3686,MATCH(A1330,event_table!$A$1:$A3686,0)),"")
</f>
        <v>3</v>
      </c>
      <c r="C1330" s="7">
        <f t="shared" si="1"/>
        <v>163</v>
      </c>
      <c r="D1330" s="6" t="str">
        <f t="array" ref="D1330">IFERROR(INDEX(user_table!$C$2:$C3686,MATCH(C1330,user_table!$B$2:$B3686,0)),"")
</f>
        <v>Budi Susanto</v>
      </c>
      <c r="E1330" s="6" t="str">
        <f t="array" ref="E1330">IFERROR(INDEX(user_table!$E$2:$E3686,MATCH(C1330,user_table!$B$2:$B3686,0)),"")
</f>
        <v>6, 3</v>
      </c>
      <c r="F1330" s="6" t="str">
        <f t="shared" si="2"/>
        <v>133453163</v>
      </c>
      <c r="G1330" s="16">
        <v>5.0</v>
      </c>
      <c r="H1330" s="17">
        <v>44704.0</v>
      </c>
      <c r="I1330" s="18" t="s">
        <v>1317</v>
      </c>
    </row>
    <row r="1331">
      <c r="A1331" s="5" t="str">
        <f t="array" ref="A1331">INDEX(event_table!$A$2:$A$69, RANDBETWEEN(1, COUNTA(event_table!$A$2:$A$69)))</f>
        <v>1114</v>
      </c>
      <c r="B1331" s="6">
        <f t="array" ref="B1331">IFERROR(INDEX(event_table!$E$1:$E3686,MATCH(A1331,event_table!$A$1:$A3686,0)),"")
</f>
        <v>1</v>
      </c>
      <c r="C1331" s="7">
        <f t="shared" si="1"/>
        <v>32</v>
      </c>
      <c r="D1331" s="6" t="str">
        <f t="array" ref="D1331">IFERROR(INDEX(user_table!$C$2:$C3686,MATCH(C1331,user_table!$B$2:$B3686,0)),"")
</f>
        <v>Ani Setiawan</v>
      </c>
      <c r="E1331" s="6" t="str">
        <f t="array" ref="E1331">IFERROR(INDEX(user_table!$E$2:$E3686,MATCH(C1331,user_table!$B$2:$B3686,0)),"")
</f>
        <v>6, 3</v>
      </c>
      <c r="F1331" s="6" t="str">
        <f t="shared" si="2"/>
        <v>11144132</v>
      </c>
      <c r="G1331" s="16">
        <v>4.0</v>
      </c>
      <c r="H1331" s="17">
        <v>44990.0</v>
      </c>
      <c r="I1331" s="18" t="s">
        <v>1318</v>
      </c>
    </row>
    <row r="1332">
      <c r="A1332" s="5" t="str">
        <f t="array" ref="A1332">INDEX(event_table!$A$2:$A$69, RANDBETWEEN(1, COUNTA(event_table!$A$2:$A$69)))</f>
        <v>1639</v>
      </c>
      <c r="B1332" s="6">
        <f t="array" ref="B1332">IFERROR(INDEX(event_table!$E$1:$E3686,MATCH(A1332,event_table!$A$1:$A3686,0)),"")
</f>
        <v>6</v>
      </c>
      <c r="C1332" s="7">
        <f t="shared" si="1"/>
        <v>103</v>
      </c>
      <c r="D1332" s="6" t="str">
        <f t="array" ref="D1332">IFERROR(INDEX(user_table!$C$2:$C3686,MATCH(C1332,user_table!$B$2:$B3686,0)),"")
</f>
        <v>Hadi Sari</v>
      </c>
      <c r="E1332" s="6" t="str">
        <f t="array" ref="E1332">IFERROR(INDEX(user_table!$E$2:$E3686,MATCH(C1332,user_table!$B$2:$B3686,0)),"")
</f>
        <v>3, 1</v>
      </c>
      <c r="F1332" s="6" t="str">
        <f t="shared" si="2"/>
        <v>163946103</v>
      </c>
      <c r="G1332" s="16">
        <v>4.0</v>
      </c>
      <c r="H1332" s="17">
        <v>44693.0</v>
      </c>
      <c r="I1332" s="18" t="s">
        <v>1319</v>
      </c>
    </row>
    <row r="1333">
      <c r="A1333" s="5" t="str">
        <f t="array" ref="A1333">INDEX(event_table!$A$2:$A$69, RANDBETWEEN(1, COUNTA(event_table!$A$2:$A$69)))</f>
        <v>1335</v>
      </c>
      <c r="B1333" s="6">
        <f t="array" ref="B1333">IFERROR(INDEX(event_table!$E$1:$E3686,MATCH(A1333,event_table!$A$1:$A3686,0)),"")
</f>
        <v>3</v>
      </c>
      <c r="C1333" s="7">
        <f t="shared" si="1"/>
        <v>84</v>
      </c>
      <c r="D1333" s="6" t="str">
        <f t="array" ref="D1333">IFERROR(INDEX(user_table!$C$2:$C3686,MATCH(C1333,user_table!$B$2:$B3686,0)),"")
</f>
        <v>Budi Hermawan</v>
      </c>
      <c r="E1333" s="6" t="str">
        <f t="array" ref="E1333">IFERROR(INDEX(user_table!$E$2:$E3686,MATCH(C1333,user_table!$B$2:$B3686,0)),"")
</f>
        <v>5, 5</v>
      </c>
      <c r="F1333" s="6" t="str">
        <f t="shared" si="2"/>
        <v>13354384</v>
      </c>
      <c r="G1333" s="16">
        <v>4.0</v>
      </c>
      <c r="H1333" s="17">
        <v>44968.0</v>
      </c>
      <c r="I1333" s="18" t="s">
        <v>1320</v>
      </c>
    </row>
    <row r="1334">
      <c r="A1334" s="5" t="str">
        <f t="array" ref="A1334">INDEX(event_table!$A$2:$A$69, RANDBETWEEN(1, COUNTA(event_table!$A$2:$A$69)))</f>
        <v>113</v>
      </c>
      <c r="B1334" s="6">
        <f t="array" ref="B1334">IFERROR(INDEX(event_table!$E$1:$E3686,MATCH(A1334,event_table!$A$1:$A3686,0)),"")
</f>
        <v>1</v>
      </c>
      <c r="C1334" s="7">
        <f t="shared" si="1"/>
        <v>30</v>
      </c>
      <c r="D1334" s="6" t="str">
        <f t="array" ref="D1334">IFERROR(INDEX(user_table!$C$2:$C3686,MATCH(C1334,user_table!$B$2:$B3686,0)),"")
</f>
        <v>Fajar Kurniawan</v>
      </c>
      <c r="E1334" s="6" t="str">
        <f t="array" ref="E1334">IFERROR(INDEX(user_table!$E$2:$E3686,MATCH(C1334,user_table!$B$2:$B3686,0)),"")
</f>
        <v>5, 3</v>
      </c>
      <c r="F1334" s="6" t="str">
        <f t="shared" si="2"/>
        <v>1134130</v>
      </c>
      <c r="G1334" s="16">
        <v>4.0</v>
      </c>
      <c r="H1334" s="17">
        <v>44843.0</v>
      </c>
      <c r="I1334" s="18" t="s">
        <v>1321</v>
      </c>
    </row>
    <row r="1335">
      <c r="A1335" s="5" t="str">
        <f t="array" ref="A1335">INDEX(event_table!$A$2:$A$69, RANDBETWEEN(1, COUNTA(event_table!$A$2:$A$69)))</f>
        <v>1645</v>
      </c>
      <c r="B1335" s="6">
        <f t="array" ref="B1335">IFERROR(INDEX(event_table!$E$1:$E3686,MATCH(A1335,event_table!$A$1:$A3686,0)),"")
</f>
        <v>6</v>
      </c>
      <c r="C1335" s="7">
        <f t="shared" si="1"/>
        <v>114</v>
      </c>
      <c r="D1335" s="6" t="str">
        <f t="array" ref="D1335">IFERROR(INDEX(user_table!$C$2:$C3686,MATCH(C1335,user_table!$B$2:$B3686,0)),"")
</f>
        <v>Ani Sari</v>
      </c>
      <c r="E1335" s="6" t="str">
        <f t="array" ref="E1335">IFERROR(INDEX(user_table!$E$2:$E3686,MATCH(C1335,user_table!$B$2:$B3686,0)),"")
</f>
        <v>4, 3</v>
      </c>
      <c r="F1335" s="6" t="str">
        <f t="shared" si="2"/>
        <v>164546114</v>
      </c>
      <c r="G1335" s="16">
        <v>4.0</v>
      </c>
      <c r="H1335" s="17">
        <v>44816.0</v>
      </c>
      <c r="I1335" s="18" t="s">
        <v>1322</v>
      </c>
    </row>
    <row r="1336">
      <c r="A1336" s="5" t="str">
        <f t="array" ref="A1336">INDEX(event_table!$A$2:$A$69, RANDBETWEEN(1, COUNTA(event_table!$A$2:$A$69)))</f>
        <v>1646</v>
      </c>
      <c r="B1336" s="6">
        <f t="array" ref="B1336">IFERROR(INDEX(event_table!$E$1:$E3686,MATCH(A1336,event_table!$A$1:$A3686,0)),"")
</f>
        <v>6</v>
      </c>
      <c r="C1336" s="7">
        <f t="shared" si="1"/>
        <v>133</v>
      </c>
      <c r="D1336" s="6" t="str">
        <f t="array" ref="D1336">IFERROR(INDEX(user_table!$C$2:$C3686,MATCH(C1336,user_table!$B$2:$B3686,0)),"")
</f>
        <v>Dewi Sari</v>
      </c>
      <c r="E1336" s="6" t="str">
        <f t="array" ref="E1336">IFERROR(INDEX(user_table!$E$2:$E3686,MATCH(C1336,user_table!$B$2:$B3686,0)),"")
</f>
        <v>6, 5</v>
      </c>
      <c r="F1336" s="6" t="str">
        <f t="shared" si="2"/>
        <v>164646133</v>
      </c>
      <c r="G1336" s="16">
        <v>4.0</v>
      </c>
      <c r="H1336" s="17">
        <v>44780.0</v>
      </c>
      <c r="I1336" s="18" t="s">
        <v>1323</v>
      </c>
    </row>
    <row r="1337">
      <c r="A1337" s="5" t="str">
        <f t="array" ref="A1337">INDEX(event_table!$A$2:$A$69, RANDBETWEEN(1, COUNTA(event_table!$A$2:$A$69)))</f>
        <v>1646</v>
      </c>
      <c r="B1337" s="6">
        <f t="array" ref="B1337">IFERROR(INDEX(event_table!$E$1:$E3686,MATCH(A1337,event_table!$A$1:$A3686,0)),"")
</f>
        <v>6</v>
      </c>
      <c r="C1337" s="7">
        <f t="shared" si="1"/>
        <v>190</v>
      </c>
      <c r="D1337" s="6" t="str">
        <f t="array" ref="D1337">IFERROR(INDEX(user_table!$C$2:$C3686,MATCH(C1337,user_table!$B$2:$B3686,0)),"")
</f>
        <v>Fajar Santoso</v>
      </c>
      <c r="E1337" s="6" t="str">
        <f t="array" ref="E1337">IFERROR(INDEX(user_table!$E$2:$E3686,MATCH(C1337,user_table!$B$2:$B3686,0)),"")
</f>
        <v>1, 3</v>
      </c>
      <c r="F1337" s="6" t="str">
        <f t="shared" si="2"/>
        <v>164646190</v>
      </c>
      <c r="G1337" s="16">
        <v>4.0</v>
      </c>
      <c r="H1337" s="17">
        <v>44698.0</v>
      </c>
      <c r="I1337" s="18" t="s">
        <v>1324</v>
      </c>
    </row>
    <row r="1338">
      <c r="A1338" s="5" t="str">
        <f t="array" ref="A1338">INDEX(event_table!$A$2:$A$69, RANDBETWEEN(1, COUNTA(event_table!$A$2:$A$69)))</f>
        <v>3168</v>
      </c>
      <c r="B1338" s="6">
        <f t="array" ref="B1338">IFERROR(INDEX(event_table!$E$1:$E3686,MATCH(A1338,event_table!$A$1:$A3686,0)),"")
</f>
        <v>1</v>
      </c>
      <c r="C1338" s="7">
        <f t="shared" si="1"/>
        <v>84</v>
      </c>
      <c r="D1338" s="6" t="str">
        <f t="array" ref="D1338">IFERROR(INDEX(user_table!$C$2:$C3686,MATCH(C1338,user_table!$B$2:$B3686,0)),"")
</f>
        <v>Budi Hermawan</v>
      </c>
      <c r="E1338" s="6" t="str">
        <f t="array" ref="E1338">IFERROR(INDEX(user_table!$E$2:$E3686,MATCH(C1338,user_table!$B$2:$B3686,0)),"")
</f>
        <v>5, 5</v>
      </c>
      <c r="F1338" s="6" t="str">
        <f t="shared" si="2"/>
        <v>31684184</v>
      </c>
      <c r="G1338" s="16">
        <v>4.0</v>
      </c>
      <c r="H1338" s="17">
        <v>45250.0</v>
      </c>
      <c r="I1338" s="18" t="s">
        <v>482</v>
      </c>
    </row>
    <row r="1339">
      <c r="A1339" s="5" t="str">
        <f t="array" ref="A1339">INDEX(event_table!$A$2:$A$69, RANDBETWEEN(1, COUNTA(event_table!$A$2:$A$69)))</f>
        <v>117</v>
      </c>
      <c r="B1339" s="6">
        <f t="array" ref="B1339">IFERROR(INDEX(event_table!$E$1:$E3686,MATCH(A1339,event_table!$A$1:$A3686,0)),"")
</f>
        <v>1</v>
      </c>
      <c r="C1339" s="7">
        <f t="shared" si="1"/>
        <v>119</v>
      </c>
      <c r="D1339" s="6" t="str">
        <f t="array" ref="D1339">IFERROR(INDEX(user_table!$C$2:$C3686,MATCH(C1339,user_table!$B$2:$B3686,0)),"")
</f>
        <v>Budi Rahayu</v>
      </c>
      <c r="E1339" s="6" t="str">
        <f t="array" ref="E1339">IFERROR(INDEX(user_table!$E$2:$E3686,MATCH(C1339,user_table!$B$2:$B3686,0)),"")
</f>
        <v>1, 2</v>
      </c>
      <c r="F1339" s="6" t="str">
        <f t="shared" si="2"/>
        <v>11741119</v>
      </c>
      <c r="G1339" s="16">
        <v>4.0</v>
      </c>
      <c r="H1339" s="17">
        <v>44857.0</v>
      </c>
      <c r="I1339" s="18" t="s">
        <v>1325</v>
      </c>
    </row>
    <row r="1340">
      <c r="A1340" s="5" t="str">
        <f t="array" ref="A1340">INDEX(event_table!$A$2:$A$69, RANDBETWEEN(1, COUNTA(event_table!$A$2:$A$69)))</f>
        <v>1335</v>
      </c>
      <c r="B1340" s="6">
        <f t="array" ref="B1340">IFERROR(INDEX(event_table!$E$1:$E3686,MATCH(A1340,event_table!$A$1:$A3686,0)),"")
</f>
        <v>3</v>
      </c>
      <c r="C1340" s="7">
        <f t="shared" si="1"/>
        <v>141</v>
      </c>
      <c r="D1340" s="6" t="str">
        <f t="array" ref="D1340">IFERROR(INDEX(user_table!$C$2:$C3686,MATCH(C1340,user_table!$B$2:$B3686,0)),"")
</f>
        <v>Bambang Santoso</v>
      </c>
      <c r="E1340" s="6" t="str">
        <f t="array" ref="E1340">IFERROR(INDEX(user_table!$E$2:$E3686,MATCH(C1340,user_table!$B$2:$B3686,0)),"")
</f>
        <v>5, 3</v>
      </c>
      <c r="F1340" s="6" t="str">
        <f t="shared" si="2"/>
        <v>133543141</v>
      </c>
      <c r="G1340" s="16">
        <v>4.0</v>
      </c>
      <c r="H1340" s="17">
        <v>44758.0</v>
      </c>
      <c r="I1340" s="18" t="s">
        <v>1326</v>
      </c>
    </row>
    <row r="1341">
      <c r="A1341" s="5" t="str">
        <f t="array" ref="A1341">INDEX(event_table!$A$2:$A$69, RANDBETWEEN(1, COUNTA(event_table!$A$2:$A$69)))</f>
        <v>1530</v>
      </c>
      <c r="B1341" s="6">
        <f t="array" ref="B1341">IFERROR(INDEX(event_table!$E$1:$E3686,MATCH(A1341,event_table!$A$1:$A3686,0)),"")
</f>
        <v>5</v>
      </c>
      <c r="C1341" s="7">
        <f t="shared" si="1"/>
        <v>145</v>
      </c>
      <c r="D1341" s="6" t="str">
        <f t="array" ref="D1341">IFERROR(INDEX(user_table!$C$2:$C3686,MATCH(C1341,user_table!$B$2:$B3686,0)),"")
</f>
        <v>Arif Nugroho</v>
      </c>
      <c r="E1341" s="6" t="str">
        <f t="array" ref="E1341">IFERROR(INDEX(user_table!$E$2:$E3686,MATCH(C1341,user_table!$B$2:$B3686,0)),"")
</f>
        <v>1, 4</v>
      </c>
      <c r="F1341" s="6" t="str">
        <f t="shared" si="2"/>
        <v>153045145</v>
      </c>
      <c r="G1341" s="16">
        <v>4.0</v>
      </c>
      <c r="H1341" s="17">
        <v>44738.0</v>
      </c>
      <c r="I1341" s="18" t="s">
        <v>1327</v>
      </c>
    </row>
    <row r="1342">
      <c r="A1342" s="5" t="str">
        <f t="array" ref="A1342">INDEX(event_table!$A$2:$A$69, RANDBETWEEN(1, COUNTA(event_table!$A$2:$A$69)))</f>
        <v>1313</v>
      </c>
      <c r="B1342" s="6">
        <f t="array" ref="B1342">IFERROR(INDEX(event_table!$E$1:$E3686,MATCH(A1342,event_table!$A$1:$A3686,0)),"")
</f>
        <v>3</v>
      </c>
      <c r="C1342" s="7">
        <f t="shared" si="1"/>
        <v>171</v>
      </c>
      <c r="D1342" s="6" t="str">
        <f t="array" ref="D1342">IFERROR(INDEX(user_table!$C$2:$C3686,MATCH(C1342,user_table!$B$2:$B3686,0)),"")
</f>
        <v>Andi Santoso</v>
      </c>
      <c r="E1342" s="6" t="str">
        <f t="array" ref="E1342">IFERROR(INDEX(user_table!$E$2:$E3686,MATCH(C1342,user_table!$B$2:$B3686,0)),"")
</f>
        <v>4, 3</v>
      </c>
      <c r="F1342" s="6" t="str">
        <f t="shared" si="2"/>
        <v>131333171</v>
      </c>
      <c r="G1342" s="16">
        <v>3.0</v>
      </c>
      <c r="H1342" s="17">
        <v>45167.0</v>
      </c>
      <c r="I1342" s="18" t="s">
        <v>1328</v>
      </c>
    </row>
    <row r="1343">
      <c r="A1343" s="5" t="str">
        <f t="array" ref="A1343">INDEX(event_table!$A$2:$A$69, RANDBETWEEN(1, COUNTA(event_table!$A$2:$A$69)))</f>
        <v>3170</v>
      </c>
      <c r="B1343" s="6">
        <f t="array" ref="B1343">IFERROR(INDEX(event_table!$E$1:$E3686,MATCH(A1343,event_table!$A$1:$A3686,0)),"")
</f>
        <v>1</v>
      </c>
      <c r="C1343" s="7">
        <f t="shared" si="1"/>
        <v>11</v>
      </c>
      <c r="D1343" s="6" t="str">
        <f t="array" ref="D1343">IFERROR(INDEX(user_table!$C$2:$C3686,MATCH(C1343,user_table!$B$2:$B3686,0)),"")
</f>
        <v>Arif Sari</v>
      </c>
      <c r="E1343" s="6" t="str">
        <f t="array" ref="E1343">IFERROR(INDEX(user_table!$E$2:$E3686,MATCH(C1343,user_table!$B$2:$B3686,0)),"")
</f>
        <v>5, 2</v>
      </c>
      <c r="F1343" s="6" t="str">
        <f t="shared" si="2"/>
        <v>31702111</v>
      </c>
      <c r="G1343" s="16">
        <v>2.0</v>
      </c>
      <c r="H1343" s="17">
        <v>44723.0</v>
      </c>
      <c r="I1343" s="18" t="s">
        <v>1329</v>
      </c>
    </row>
    <row r="1344">
      <c r="A1344" s="5" t="str">
        <f t="array" ref="A1344">INDEX(event_table!$A$2:$A$69, RANDBETWEEN(1, COUNTA(event_table!$A$2:$A$69)))</f>
        <v>3163</v>
      </c>
      <c r="B1344" s="6">
        <f t="array" ref="B1344">IFERROR(INDEX(event_table!$E$1:$E3686,MATCH(A1344,event_table!$A$1:$A3686,0)),"")
</f>
        <v>1</v>
      </c>
      <c r="C1344" s="7">
        <f t="shared" si="1"/>
        <v>17</v>
      </c>
      <c r="D1344" s="6" t="str">
        <f t="array" ref="D1344">IFERROR(INDEX(user_table!$C$2:$C3686,MATCH(C1344,user_table!$B$2:$B3686,0)),"")
</f>
        <v>Fajar Wijaya</v>
      </c>
      <c r="E1344" s="6" t="str">
        <f t="array" ref="E1344">IFERROR(INDEX(user_table!$E$2:$E3686,MATCH(C1344,user_table!$B$2:$B3686,0)),"")
</f>
        <v>1, 1</v>
      </c>
      <c r="F1344" s="6" t="str">
        <f t="shared" si="2"/>
        <v>31632117</v>
      </c>
      <c r="G1344" s="16">
        <v>2.0</v>
      </c>
      <c r="H1344" s="17">
        <v>44725.0</v>
      </c>
      <c r="I1344" s="18" t="s">
        <v>1330</v>
      </c>
    </row>
    <row r="1345">
      <c r="A1345" s="5" t="str">
        <f t="array" ref="A1345">INDEX(event_table!$A$2:$A$69, RANDBETWEEN(1, COUNTA(event_table!$A$2:$A$69)))</f>
        <v>1528</v>
      </c>
      <c r="B1345" s="6">
        <f t="array" ref="B1345">IFERROR(INDEX(event_table!$E$1:$E3686,MATCH(A1345,event_table!$A$1:$A3686,0)),"")
</f>
        <v>5</v>
      </c>
      <c r="C1345" s="7">
        <f t="shared" si="1"/>
        <v>47</v>
      </c>
      <c r="D1345" s="6" t="str">
        <f t="array" ref="D1345">IFERROR(INDEX(user_table!$C$2:$C3686,MATCH(C1345,user_table!$B$2:$B3686,0)),"")
</f>
        <v>Fandi Kurniawan</v>
      </c>
      <c r="E1345" s="6" t="str">
        <f t="array" ref="E1345">IFERROR(INDEX(user_table!$E$2:$E3686,MATCH(C1345,user_table!$B$2:$B3686,0)),"")
</f>
        <v>5, 6</v>
      </c>
      <c r="F1345" s="6" t="str">
        <f t="shared" si="2"/>
        <v>15282547</v>
      </c>
      <c r="G1345" s="16">
        <v>2.0</v>
      </c>
      <c r="H1345" s="17">
        <v>45163.0</v>
      </c>
      <c r="I1345" s="18" t="s">
        <v>1331</v>
      </c>
    </row>
    <row r="1346">
      <c r="A1346" s="5" t="str">
        <f t="array" ref="A1346">INDEX(event_table!$A$2:$A$69, RANDBETWEEN(1, COUNTA(event_table!$A$2:$A$69)))</f>
        <v>1649</v>
      </c>
      <c r="B1346" s="6">
        <f t="array" ref="B1346">IFERROR(INDEX(event_table!$E$1:$E3686,MATCH(A1346,event_table!$A$1:$A3686,0)),"")
</f>
        <v>6</v>
      </c>
      <c r="C1346" s="7">
        <f t="shared" si="1"/>
        <v>181</v>
      </c>
      <c r="D1346" s="6" t="str">
        <f t="array" ref="D1346">IFERROR(INDEX(user_table!$C$2:$C3686,MATCH(C1346,user_table!$B$2:$B3686,0)),"")
</f>
        <v>Andi Hadiwijaya</v>
      </c>
      <c r="E1346" s="6" t="str">
        <f t="array" ref="E1346">IFERROR(INDEX(user_table!$E$2:$E3686,MATCH(C1346,user_table!$B$2:$B3686,0)),"")
</f>
        <v>3, 2</v>
      </c>
      <c r="F1346" s="6" t="str">
        <f t="shared" si="2"/>
        <v>164926181</v>
      </c>
      <c r="G1346" s="16">
        <v>2.0</v>
      </c>
      <c r="H1346" s="17">
        <v>45105.0</v>
      </c>
      <c r="I1346" s="18" t="s">
        <v>1332</v>
      </c>
    </row>
    <row r="1347">
      <c r="A1347" s="5" t="str">
        <f t="array" ref="A1347">INDEX(event_table!$A$2:$A$69, RANDBETWEEN(1, COUNTA(event_table!$A$2:$A$69)))</f>
        <v>3659</v>
      </c>
      <c r="B1347" s="6">
        <f t="array" ref="B1347">IFERROR(INDEX(event_table!$E$1:$E3686,MATCH(A1347,event_table!$A$1:$A3686,0)),"")
</f>
        <v>6</v>
      </c>
      <c r="C1347" s="7">
        <f t="shared" si="1"/>
        <v>20</v>
      </c>
      <c r="D1347" s="6" t="str">
        <f t="array" ref="D1347">IFERROR(INDEX(user_table!$C$2:$C3686,MATCH(C1347,user_table!$B$2:$B3686,0)),"")
</f>
        <v>Arif Septiani</v>
      </c>
      <c r="E1347" s="6" t="str">
        <f t="array" ref="E1347">IFERROR(INDEX(user_table!$E$2:$E3686,MATCH(C1347,user_table!$B$2:$B3686,0)),"")
</f>
        <v>6, 3</v>
      </c>
      <c r="F1347" s="6" t="str">
        <f t="shared" si="2"/>
        <v>36592620</v>
      </c>
      <c r="G1347" s="16">
        <v>2.0</v>
      </c>
      <c r="H1347" s="17">
        <v>44943.0</v>
      </c>
      <c r="I1347" s="18" t="s">
        <v>1333</v>
      </c>
    </row>
    <row r="1348">
      <c r="A1348" s="5" t="str">
        <f t="array" ref="A1348">INDEX(event_table!$A$2:$A$69, RANDBETWEEN(1, COUNTA(event_table!$A$2:$A$69)))</f>
        <v>1648</v>
      </c>
      <c r="B1348" s="6">
        <f t="array" ref="B1348">IFERROR(INDEX(event_table!$E$1:$E3686,MATCH(A1348,event_table!$A$1:$A3686,0)),"")
</f>
        <v>6</v>
      </c>
      <c r="C1348" s="7">
        <f t="shared" si="1"/>
        <v>16</v>
      </c>
      <c r="D1348" s="6" t="str">
        <f t="array" ref="D1348">IFERROR(INDEX(user_table!$C$2:$C3686,MATCH(C1348,user_table!$B$2:$B3686,0)),"")
</f>
        <v>Siti Utami</v>
      </c>
      <c r="E1348" s="6" t="str">
        <f t="array" ref="E1348">IFERROR(INDEX(user_table!$E$2:$E3686,MATCH(C1348,user_table!$B$2:$B3686,0)),"")
</f>
        <v>1, 2</v>
      </c>
      <c r="F1348" s="6" t="str">
        <f t="shared" si="2"/>
        <v>16482616</v>
      </c>
      <c r="G1348" s="16">
        <v>2.0</v>
      </c>
      <c r="H1348" s="17">
        <v>44606.0</v>
      </c>
      <c r="I1348" s="18" t="s">
        <v>1334</v>
      </c>
    </row>
    <row r="1349">
      <c r="A1349" s="5" t="str">
        <f t="array" ref="A1349">INDEX(event_table!$A$2:$A$69, RANDBETWEEN(1, COUNTA(event_table!$A$2:$A$69)))</f>
        <v>3170</v>
      </c>
      <c r="B1349" s="6">
        <f t="array" ref="B1349">IFERROR(INDEX(event_table!$E$1:$E3686,MATCH(A1349,event_table!$A$1:$A3686,0)),"")
</f>
        <v>1</v>
      </c>
      <c r="C1349" s="7">
        <f t="shared" si="1"/>
        <v>145</v>
      </c>
      <c r="D1349" s="6" t="str">
        <f t="array" ref="D1349">IFERROR(INDEX(user_table!$C$2:$C3686,MATCH(C1349,user_table!$B$2:$B3686,0)),"")
</f>
        <v>Arif Nugroho</v>
      </c>
      <c r="E1349" s="6" t="str">
        <f t="array" ref="E1349">IFERROR(INDEX(user_table!$E$2:$E3686,MATCH(C1349,user_table!$B$2:$B3686,0)),"")
</f>
        <v>1, 4</v>
      </c>
      <c r="F1349" s="6" t="str">
        <f t="shared" si="2"/>
        <v>317021145</v>
      </c>
      <c r="G1349" s="16">
        <v>2.0</v>
      </c>
      <c r="H1349" s="17">
        <v>45244.0</v>
      </c>
      <c r="I1349" s="18" t="s">
        <v>1335</v>
      </c>
    </row>
    <row r="1350">
      <c r="A1350" s="5" t="str">
        <f t="array" ref="A1350">INDEX(event_table!$A$2:$A$69, RANDBETWEEN(1, COUNTA(event_table!$A$2:$A$69)))</f>
        <v>1313</v>
      </c>
      <c r="B1350" s="6">
        <f t="array" ref="B1350">IFERROR(INDEX(event_table!$E$1:$E3686,MATCH(A1350,event_table!$A$1:$A3686,0)),"")
</f>
        <v>3</v>
      </c>
      <c r="C1350" s="7">
        <f t="shared" si="1"/>
        <v>172</v>
      </c>
      <c r="D1350" s="6" t="str">
        <f t="array" ref="D1350">IFERROR(INDEX(user_table!$C$2:$C3686,MATCH(C1350,user_table!$B$2:$B3686,0)),"")
</f>
        <v>Dian Kurniawan</v>
      </c>
      <c r="E1350" s="6" t="str">
        <f t="array" ref="E1350">IFERROR(INDEX(user_table!$E$2:$E3686,MATCH(C1350,user_table!$B$2:$B3686,0)),"")
</f>
        <v>1, 2</v>
      </c>
      <c r="F1350" s="6" t="str">
        <f t="shared" si="2"/>
        <v>131323172</v>
      </c>
      <c r="G1350" s="16">
        <v>2.0</v>
      </c>
      <c r="H1350" s="17">
        <v>45223.0</v>
      </c>
      <c r="I1350" s="18" t="s">
        <v>1336</v>
      </c>
    </row>
    <row r="1351">
      <c r="A1351" s="5" t="str">
        <f t="array" ref="A1351">INDEX(event_table!$A$2:$A$69, RANDBETWEEN(1, COUNTA(event_table!$A$2:$A$69)))</f>
        <v>3454</v>
      </c>
      <c r="B1351" s="6">
        <f t="array" ref="B1351">IFERROR(INDEX(event_table!$E$1:$E3686,MATCH(A1351,event_table!$A$1:$A3686,0)),"")
</f>
        <v>4</v>
      </c>
      <c r="C1351" s="7">
        <f t="shared" si="1"/>
        <v>91</v>
      </c>
      <c r="D1351" s="6" t="str">
        <f t="array" ref="D1351">IFERROR(INDEX(user_table!$C$2:$C3686,MATCH(C1351,user_table!$B$2:$B3686,0)),"")
</f>
        <v>Bambang Wijaya</v>
      </c>
      <c r="E1351" s="6" t="str">
        <f t="array" ref="E1351">IFERROR(INDEX(user_table!$E$2:$E3686,MATCH(C1351,user_table!$B$2:$B3686,0)),"")
</f>
        <v>1, 2</v>
      </c>
      <c r="F1351" s="6" t="str">
        <f t="shared" si="2"/>
        <v>34542491</v>
      </c>
      <c r="G1351" s="16">
        <v>2.0</v>
      </c>
      <c r="H1351" s="17">
        <v>45202.0</v>
      </c>
      <c r="I1351" s="18" t="s">
        <v>1337</v>
      </c>
    </row>
    <row r="1352">
      <c r="A1352" s="5" t="str">
        <f t="array" ref="A1352">INDEX(event_table!$A$2:$A$69, RANDBETWEEN(1, COUNTA(event_table!$A$2:$A$69)))</f>
        <v>3162</v>
      </c>
      <c r="B1352" s="6">
        <f t="array" ref="B1352">IFERROR(INDEX(event_table!$E$1:$E3686,MATCH(A1352,event_table!$A$1:$A3686,0)),"")
</f>
        <v>1</v>
      </c>
      <c r="C1352" s="7">
        <f t="shared" si="1"/>
        <v>121</v>
      </c>
      <c r="D1352" s="6" t="str">
        <f t="array" ref="D1352">IFERROR(INDEX(user_table!$C$2:$C3686,MATCH(C1352,user_table!$B$2:$B3686,0)),"")
</f>
        <v>Wahyu Saputra</v>
      </c>
      <c r="E1352" s="6" t="str">
        <f t="array" ref="E1352">IFERROR(INDEX(user_table!$E$2:$E3686,MATCH(C1352,user_table!$B$2:$B3686,0)),"")
</f>
        <v>6, 3</v>
      </c>
      <c r="F1352" s="6" t="str">
        <f t="shared" si="2"/>
        <v>316221121</v>
      </c>
      <c r="G1352" s="16">
        <v>2.0</v>
      </c>
      <c r="H1352" s="17">
        <v>45190.0</v>
      </c>
      <c r="I1352" s="18" t="s">
        <v>1338</v>
      </c>
    </row>
    <row r="1353">
      <c r="A1353" s="5" t="str">
        <f t="array" ref="A1353">INDEX(event_table!$A$2:$A$69, RANDBETWEEN(1, COUNTA(event_table!$A$2:$A$69)))</f>
        <v>1333</v>
      </c>
      <c r="B1353" s="6">
        <f t="array" ref="B1353">IFERROR(INDEX(event_table!$E$1:$E3686,MATCH(A1353,event_table!$A$1:$A3686,0)),"")
</f>
        <v>3</v>
      </c>
      <c r="C1353" s="7">
        <f t="shared" si="1"/>
        <v>44</v>
      </c>
      <c r="D1353" s="6" t="str">
        <f t="array" ref="D1353">IFERROR(INDEX(user_table!$C$2:$C3686,MATCH(C1353,user_table!$B$2:$B3686,0)),"")
</f>
        <v>Arif Sari</v>
      </c>
      <c r="E1353" s="6" t="str">
        <f t="array" ref="E1353">IFERROR(INDEX(user_table!$E$2:$E3686,MATCH(C1353,user_table!$B$2:$B3686,0)),"")
</f>
        <v>2, 4</v>
      </c>
      <c r="F1353" s="6" t="str">
        <f t="shared" si="2"/>
        <v>13332344</v>
      </c>
      <c r="G1353" s="16">
        <v>2.0</v>
      </c>
      <c r="H1353" s="17">
        <v>45167.0</v>
      </c>
      <c r="I1353" s="18" t="s">
        <v>1339</v>
      </c>
    </row>
    <row r="1354">
      <c r="A1354" s="5" t="str">
        <f t="array" ref="A1354">INDEX(event_table!$A$2:$A$69, RANDBETWEEN(1, COUNTA(event_table!$A$2:$A$69)))</f>
        <v>1642</v>
      </c>
      <c r="B1354" s="6">
        <f t="array" ref="B1354">IFERROR(INDEX(event_table!$E$1:$E3686,MATCH(A1354,event_table!$A$1:$A3686,0)),"")
</f>
        <v>6</v>
      </c>
      <c r="C1354" s="7">
        <f t="shared" si="1"/>
        <v>53</v>
      </c>
      <c r="D1354" s="6" t="str">
        <f t="array" ref="D1354">IFERROR(INDEX(user_table!$C$2:$C3686,MATCH(C1354,user_table!$B$2:$B3686,0)),"")
</f>
        <v>Wahyu Santoso</v>
      </c>
      <c r="E1354" s="6" t="str">
        <f t="array" ref="E1354">IFERROR(INDEX(user_table!$E$2:$E3686,MATCH(C1354,user_table!$B$2:$B3686,0)),"")
</f>
        <v>4, 5</v>
      </c>
      <c r="F1354" s="6" t="str">
        <f t="shared" si="2"/>
        <v>16422653</v>
      </c>
      <c r="G1354" s="16">
        <v>2.0</v>
      </c>
      <c r="H1354" s="17">
        <v>45120.0</v>
      </c>
      <c r="I1354" s="18" t="s">
        <v>1340</v>
      </c>
    </row>
    <row r="1355">
      <c r="A1355" s="5" t="str">
        <f t="array" ref="A1355">INDEX(event_table!$A$2:$A$69, RANDBETWEEN(1, COUNTA(event_table!$A$2:$A$69)))</f>
        <v>3167</v>
      </c>
      <c r="B1355" s="6">
        <f t="array" ref="B1355">IFERROR(INDEX(event_table!$E$1:$E3686,MATCH(A1355,event_table!$A$1:$A3686,0)),"")
</f>
        <v>1</v>
      </c>
      <c r="C1355" s="7">
        <f t="shared" si="1"/>
        <v>142</v>
      </c>
      <c r="D1355" s="6" t="str">
        <f t="array" ref="D1355">IFERROR(INDEX(user_table!$C$2:$C3686,MATCH(C1355,user_table!$B$2:$B3686,0)),"")
</f>
        <v>Siti Rahayu</v>
      </c>
      <c r="E1355" s="6" t="str">
        <f t="array" ref="E1355">IFERROR(INDEX(user_table!$E$2:$E3686,MATCH(C1355,user_table!$B$2:$B3686,0)),"")
</f>
        <v>6, 3</v>
      </c>
      <c r="F1355" s="6" t="str">
        <f t="shared" si="2"/>
        <v>316721142</v>
      </c>
      <c r="G1355" s="16">
        <v>2.0</v>
      </c>
      <c r="H1355" s="17">
        <v>45112.0</v>
      </c>
      <c r="I1355" s="18" t="s">
        <v>1341</v>
      </c>
    </row>
    <row r="1356">
      <c r="A1356" s="5" t="str">
        <f t="array" ref="A1356">INDEX(event_table!$A$2:$A$69, RANDBETWEEN(1, COUNTA(event_table!$A$2:$A$69)))</f>
        <v>3164</v>
      </c>
      <c r="B1356" s="6">
        <f t="array" ref="B1356">IFERROR(INDEX(event_table!$E$1:$E3686,MATCH(A1356,event_table!$A$1:$A3686,0)),"")
</f>
        <v>1</v>
      </c>
      <c r="C1356" s="7">
        <f t="shared" si="1"/>
        <v>59</v>
      </c>
      <c r="D1356" s="6" t="str">
        <f t="array" ref="D1356">IFERROR(INDEX(user_table!$C$2:$C3686,MATCH(C1356,user_table!$B$2:$B3686,0)),"")
</f>
        <v>Siti Rahayu</v>
      </c>
      <c r="E1356" s="6" t="str">
        <f t="array" ref="E1356">IFERROR(INDEX(user_table!$E$2:$E3686,MATCH(C1356,user_table!$B$2:$B3686,0)),"")
</f>
        <v>3, 5</v>
      </c>
      <c r="F1356" s="6" t="str">
        <f t="shared" si="2"/>
        <v>31641159</v>
      </c>
      <c r="G1356" s="16">
        <v>1.0</v>
      </c>
      <c r="H1356" s="17">
        <v>45239.0</v>
      </c>
      <c r="I1356" s="18" t="s">
        <v>1342</v>
      </c>
    </row>
    <row r="1357">
      <c r="A1357" s="5" t="str">
        <f t="array" ref="A1357">INDEX(event_table!$A$2:$A$69, RANDBETWEEN(1, COUNTA(event_table!$A$2:$A$69)))</f>
        <v>1646</v>
      </c>
      <c r="B1357" s="6">
        <f t="array" ref="B1357">IFERROR(INDEX(event_table!$E$1:$E3686,MATCH(A1357,event_table!$A$1:$A3686,0)),"")
</f>
        <v>6</v>
      </c>
      <c r="C1357" s="7">
        <f t="shared" si="1"/>
        <v>143</v>
      </c>
      <c r="D1357" s="6" t="str">
        <f t="array" ref="D1357">IFERROR(INDEX(user_table!$C$2:$C3686,MATCH(C1357,user_table!$B$2:$B3686,0)),"")
</f>
        <v>Agus Putri</v>
      </c>
      <c r="E1357" s="6" t="str">
        <f t="array" ref="E1357">IFERROR(INDEX(user_table!$E$2:$E3686,MATCH(C1357,user_table!$B$2:$B3686,0)),"")
</f>
        <v>3, 3</v>
      </c>
      <c r="F1357" s="6" t="str">
        <f t="shared" si="2"/>
        <v>164616143</v>
      </c>
      <c r="G1357" s="16">
        <v>1.0</v>
      </c>
      <c r="H1357" s="17">
        <v>45238.0</v>
      </c>
      <c r="I1357" s="18" t="s">
        <v>1343</v>
      </c>
    </row>
    <row r="1358">
      <c r="A1358" s="5" t="str">
        <f t="array" ref="A1358">INDEX(event_table!$A$2:$A$69, RANDBETWEEN(1, COUNTA(event_table!$A$2:$A$69)))</f>
        <v>1526</v>
      </c>
      <c r="B1358" s="6">
        <f t="array" ref="B1358">IFERROR(INDEX(event_table!$E$1:$E3686,MATCH(A1358,event_table!$A$1:$A3686,0)),"")
</f>
        <v>5</v>
      </c>
      <c r="C1358" s="7">
        <f t="shared" si="1"/>
        <v>137</v>
      </c>
      <c r="D1358" s="6" t="str">
        <f t="array" ref="D1358">IFERROR(INDEX(user_table!$C$2:$C3686,MATCH(C1358,user_table!$B$2:$B3686,0)),"")
</f>
        <v>Dina Pratama</v>
      </c>
      <c r="E1358" s="6" t="str">
        <f t="array" ref="E1358">IFERROR(INDEX(user_table!$E$2:$E3686,MATCH(C1358,user_table!$B$2:$B3686,0)),"")
</f>
        <v>4, 4</v>
      </c>
      <c r="F1358" s="6" t="str">
        <f t="shared" si="2"/>
        <v>152615137</v>
      </c>
      <c r="G1358" s="16">
        <v>1.0</v>
      </c>
      <c r="H1358" s="17">
        <v>45177.0</v>
      </c>
      <c r="I1358" s="18" t="s">
        <v>1344</v>
      </c>
    </row>
    <row r="1359">
      <c r="A1359" s="5" t="str">
        <f t="array" ref="A1359">INDEX(event_table!$A$2:$A$69, RANDBETWEEN(1, COUNTA(event_table!$A$2:$A$69)))</f>
        <v>117</v>
      </c>
      <c r="B1359" s="6">
        <f t="array" ref="B1359">IFERROR(INDEX(event_table!$E$1:$E3686,MATCH(A1359,event_table!$A$1:$A3686,0)),"")
</f>
        <v>1</v>
      </c>
      <c r="C1359" s="7">
        <f t="shared" si="1"/>
        <v>137</v>
      </c>
      <c r="D1359" s="6" t="str">
        <f t="array" ref="D1359">IFERROR(INDEX(user_table!$C$2:$C3686,MATCH(C1359,user_table!$B$2:$B3686,0)),"")
</f>
        <v>Dina Pratama</v>
      </c>
      <c r="E1359" s="6" t="str">
        <f t="array" ref="E1359">IFERROR(INDEX(user_table!$E$2:$E3686,MATCH(C1359,user_table!$B$2:$B3686,0)),"")
</f>
        <v>4, 4</v>
      </c>
      <c r="F1359" s="6" t="str">
        <f t="shared" si="2"/>
        <v>11711137</v>
      </c>
      <c r="G1359" s="16">
        <v>1.0</v>
      </c>
      <c r="H1359" s="17">
        <v>45157.0</v>
      </c>
      <c r="I1359" s="18" t="s">
        <v>1345</v>
      </c>
    </row>
    <row r="1360">
      <c r="A1360" s="5" t="str">
        <f t="array" ref="A1360">INDEX(event_table!$A$2:$A$69, RANDBETWEEN(1, COUNTA(event_table!$A$2:$A$69)))</f>
        <v>115</v>
      </c>
      <c r="B1360" s="6">
        <f t="array" ref="B1360">IFERROR(INDEX(event_table!$E$1:$E3686,MATCH(A1360,event_table!$A$1:$A3686,0)),"")
</f>
        <v>1</v>
      </c>
      <c r="C1360" s="7">
        <f t="shared" si="1"/>
        <v>136</v>
      </c>
      <c r="D1360" s="6" t="str">
        <f t="array" ref="D1360">IFERROR(INDEX(user_table!$C$2:$C3686,MATCH(C1360,user_table!$B$2:$B3686,0)),"")
</f>
        <v>Fandi Purnama</v>
      </c>
      <c r="E1360" s="6" t="str">
        <f t="array" ref="E1360">IFERROR(INDEX(user_table!$E$2:$E3686,MATCH(C1360,user_table!$B$2:$B3686,0)),"")
</f>
        <v>5, 6</v>
      </c>
      <c r="F1360" s="6" t="str">
        <f t="shared" si="2"/>
        <v>11511136</v>
      </c>
      <c r="G1360" s="16">
        <v>1.0</v>
      </c>
      <c r="H1360" s="17">
        <v>45114.0</v>
      </c>
      <c r="I1360" s="18" t="s">
        <v>1346</v>
      </c>
    </row>
    <row r="1361">
      <c r="A1361" s="5" t="str">
        <f t="array" ref="A1361">INDEX(event_table!$A$2:$A$69, RANDBETWEEN(1, COUNTA(event_table!$A$2:$A$69)))</f>
        <v>3658</v>
      </c>
      <c r="B1361" s="6">
        <f t="array" ref="B1361">IFERROR(INDEX(event_table!$E$1:$E3686,MATCH(A1361,event_table!$A$1:$A3686,0)),"")
</f>
        <v>6</v>
      </c>
      <c r="C1361" s="7">
        <f t="shared" si="1"/>
        <v>92</v>
      </c>
      <c r="D1361" s="6" t="str">
        <f t="array" ref="D1361">IFERROR(INDEX(user_table!$C$2:$C3686,MATCH(C1361,user_table!$B$2:$B3686,0)),"")
</f>
        <v>Andi Susanto</v>
      </c>
      <c r="E1361" s="6" t="str">
        <f t="array" ref="E1361">IFERROR(INDEX(user_table!$E$2:$E3686,MATCH(C1361,user_table!$B$2:$B3686,0)),"")
</f>
        <v>4, 4</v>
      </c>
      <c r="F1361" s="6" t="str">
        <f t="shared" si="2"/>
        <v>36581692</v>
      </c>
      <c r="G1361" s="16">
        <v>1.0</v>
      </c>
      <c r="H1361" s="17">
        <v>45144.0</v>
      </c>
      <c r="I1361" s="18" t="s">
        <v>1347</v>
      </c>
    </row>
    <row r="1362">
      <c r="A1362" s="5" t="str">
        <f t="array" ref="A1362">INDEX(event_table!$A$2:$A$69, RANDBETWEEN(1, COUNTA(event_table!$A$2:$A$69)))</f>
        <v>1647</v>
      </c>
      <c r="B1362" s="6">
        <f t="array" ref="B1362">IFERROR(INDEX(event_table!$E$1:$E3686,MATCH(A1362,event_table!$A$1:$A3686,0)),"")
</f>
        <v>6</v>
      </c>
      <c r="C1362" s="7">
        <f t="shared" si="1"/>
        <v>165</v>
      </c>
      <c r="D1362" s="6" t="str">
        <f t="array" ref="D1362">IFERROR(INDEX(user_table!$C$2:$C3686,MATCH(C1362,user_table!$B$2:$B3686,0)),"")
</f>
        <v>Agus Pratama</v>
      </c>
      <c r="E1362" s="6" t="str">
        <f t="array" ref="E1362">IFERROR(INDEX(user_table!$E$2:$E3686,MATCH(C1362,user_table!$B$2:$B3686,0)),"")
</f>
        <v>6, 2</v>
      </c>
      <c r="F1362" s="6" t="str">
        <f t="shared" si="2"/>
        <v>164716165</v>
      </c>
      <c r="G1362" s="16">
        <v>1.0</v>
      </c>
      <c r="H1362" s="17">
        <v>45188.0</v>
      </c>
      <c r="I1362" s="18" t="s">
        <v>1348</v>
      </c>
    </row>
    <row r="1363">
      <c r="A1363" s="5" t="str">
        <f t="array" ref="A1363">INDEX(event_table!$A$2:$A$69, RANDBETWEEN(1, COUNTA(event_table!$A$2:$A$69)))</f>
        <v>1530</v>
      </c>
      <c r="B1363" s="6">
        <f t="array" ref="B1363">IFERROR(INDEX(event_table!$E$1:$E3686,MATCH(A1363,event_table!$A$1:$A3686,0)),"")
</f>
        <v>5</v>
      </c>
      <c r="C1363" s="7">
        <f t="shared" si="1"/>
        <v>40</v>
      </c>
      <c r="D1363" s="6" t="str">
        <f t="array" ref="D1363">IFERROR(INDEX(user_table!$C$2:$C3686,MATCH(C1363,user_table!$B$2:$B3686,0)),"")
</f>
        <v>Joko Sari</v>
      </c>
      <c r="E1363" s="6" t="str">
        <f t="array" ref="E1363">IFERROR(INDEX(user_table!$E$2:$E3686,MATCH(C1363,user_table!$B$2:$B3686,0)),"")
</f>
        <v>5, 6</v>
      </c>
      <c r="F1363" s="6" t="str">
        <f t="shared" si="2"/>
        <v>15301540</v>
      </c>
      <c r="G1363" s="16">
        <v>1.0</v>
      </c>
      <c r="H1363" s="17">
        <v>45180.0</v>
      </c>
      <c r="I1363" s="18" t="s">
        <v>1349</v>
      </c>
    </row>
    <row r="1364">
      <c r="A1364" s="5" t="str">
        <f t="array" ref="A1364">INDEX(event_table!$A$2:$A$69, RANDBETWEEN(1, COUNTA(event_table!$A$2:$A$69)))</f>
        <v>1313</v>
      </c>
      <c r="B1364" s="6">
        <f t="array" ref="B1364">IFERROR(INDEX(event_table!$E$1:$E3686,MATCH(A1364,event_table!$A$1:$A3686,0)),"")
</f>
        <v>3</v>
      </c>
      <c r="C1364" s="7">
        <f t="shared" si="1"/>
        <v>76</v>
      </c>
      <c r="D1364" s="6" t="str">
        <f t="array" ref="D1364">IFERROR(INDEX(user_table!$C$2:$C3686,MATCH(C1364,user_table!$B$2:$B3686,0)),"")
</f>
        <v>Sinta Hidayat</v>
      </c>
      <c r="E1364" s="6" t="str">
        <f t="array" ref="E1364">IFERROR(INDEX(user_table!$E$2:$E3686,MATCH(C1364,user_table!$B$2:$B3686,0)),"")
</f>
        <v>3, 2</v>
      </c>
      <c r="F1364" s="6" t="str">
        <f t="shared" si="2"/>
        <v>13131376</v>
      </c>
      <c r="G1364" s="16">
        <v>1.0</v>
      </c>
      <c r="H1364" s="17">
        <v>45171.0</v>
      </c>
      <c r="I1364" s="18" t="s">
        <v>1350</v>
      </c>
    </row>
    <row r="1365">
      <c r="A1365" s="5" t="str">
        <f t="array" ref="A1365">INDEX(event_table!$A$2:$A$69, RANDBETWEEN(1, COUNTA(event_table!$A$2:$A$69)))</f>
        <v>1421</v>
      </c>
      <c r="B1365" s="6">
        <f t="array" ref="B1365">IFERROR(INDEX(event_table!$E$1:$E3686,MATCH(A1365,event_table!$A$1:$A3686,0)),"")
</f>
        <v>4</v>
      </c>
      <c r="C1365" s="7">
        <f t="shared" si="1"/>
        <v>61</v>
      </c>
      <c r="D1365" s="6" t="str">
        <f t="array" ref="D1365">IFERROR(INDEX(user_table!$C$2:$C3686,MATCH(C1365,user_table!$B$2:$B3686,0)),"")
</f>
        <v>Agus Setiawan</v>
      </c>
      <c r="E1365" s="6" t="str">
        <f t="array" ref="E1365">IFERROR(INDEX(user_table!$E$2:$E3686,MATCH(C1365,user_table!$B$2:$B3686,0)),"")
</f>
        <v>4, 5</v>
      </c>
      <c r="F1365" s="6" t="str">
        <f t="shared" si="2"/>
        <v>14211461</v>
      </c>
      <c r="G1365" s="16">
        <v>1.0</v>
      </c>
      <c r="H1365" s="17">
        <v>45168.0</v>
      </c>
      <c r="I1365" s="18" t="s">
        <v>1351</v>
      </c>
    </row>
    <row r="1366">
      <c r="A1366" s="5" t="str">
        <f t="array" ref="A1366">INDEX(event_table!$A$2:$A$69, RANDBETWEEN(1, COUNTA(event_table!$A$2:$A$69)))</f>
        <v>1651</v>
      </c>
      <c r="B1366" s="6">
        <f t="array" ref="B1366">IFERROR(INDEX(event_table!$E$1:$E3686,MATCH(A1366,event_table!$A$1:$A3686,0)),"")
</f>
        <v>6</v>
      </c>
      <c r="C1366" s="7">
        <f t="shared" si="1"/>
        <v>38</v>
      </c>
      <c r="D1366" s="6" t="str">
        <f t="array" ref="D1366">IFERROR(INDEX(user_table!$C$2:$C3686,MATCH(C1366,user_table!$B$2:$B3686,0)),"")
</f>
        <v>Maya Utami</v>
      </c>
      <c r="E1366" s="6" t="str">
        <f t="array" ref="E1366">IFERROR(INDEX(user_table!$E$2:$E3686,MATCH(C1366,user_table!$B$2:$B3686,0)),"")
</f>
        <v>2, 1</v>
      </c>
      <c r="F1366" s="6" t="str">
        <f t="shared" si="2"/>
        <v>16511638</v>
      </c>
      <c r="G1366" s="16">
        <v>1.0</v>
      </c>
      <c r="H1366" s="17">
        <v>45162.0</v>
      </c>
      <c r="I1366" s="18" t="s">
        <v>1352</v>
      </c>
    </row>
    <row r="1367">
      <c r="A1367" s="5" t="str">
        <f t="array" ref="A1367">INDEX(event_table!$A$2:$A$69, RANDBETWEEN(1, COUNTA(event_table!$A$2:$A$69)))</f>
        <v>1333</v>
      </c>
      <c r="B1367" s="6">
        <f t="array" ref="B1367">IFERROR(INDEX(event_table!$E$1:$E3686,MATCH(A1367,event_table!$A$1:$A3686,0)),"")
</f>
        <v>3</v>
      </c>
      <c r="C1367" s="7">
        <f t="shared" si="1"/>
        <v>58</v>
      </c>
      <c r="D1367" s="6" t="str">
        <f t="array" ref="D1367">IFERROR(INDEX(user_table!$C$2:$C3686,MATCH(C1367,user_table!$B$2:$B3686,0)),"")
</f>
        <v>Joko Septiani</v>
      </c>
      <c r="E1367" s="6" t="str">
        <f t="array" ref="E1367">IFERROR(INDEX(user_table!$E$2:$E3686,MATCH(C1367,user_table!$B$2:$B3686,0)),"")
</f>
        <v>2, 5</v>
      </c>
      <c r="F1367" s="6" t="str">
        <f t="shared" si="2"/>
        <v>13331358</v>
      </c>
      <c r="G1367" s="16">
        <v>1.0</v>
      </c>
      <c r="H1367" s="17">
        <v>45104.0</v>
      </c>
      <c r="I1367" s="18" t="s">
        <v>1353</v>
      </c>
    </row>
    <row r="1368">
      <c r="A1368" s="5" t="str">
        <f t="array" ref="A1368">INDEX(event_table!$A$2:$A$69, RANDBETWEEN(1, COUNTA(event_table!$A$2:$A$69)))</f>
        <v>1637</v>
      </c>
      <c r="B1368" s="6">
        <f t="array" ref="B1368">IFERROR(INDEX(event_table!$E$1:$E3686,MATCH(A1368,event_table!$A$1:$A3686,0)),"")
</f>
        <v>6</v>
      </c>
      <c r="C1368" s="7">
        <f t="shared" si="1"/>
        <v>137</v>
      </c>
      <c r="D1368" s="6" t="str">
        <f t="array" ref="D1368">IFERROR(INDEX(user_table!$C$2:$C3686,MATCH(C1368,user_table!$B$2:$B3686,0)),"")
</f>
        <v>Dina Pratama</v>
      </c>
      <c r="E1368" s="6" t="str">
        <f t="array" ref="E1368">IFERROR(INDEX(user_table!$E$2:$E3686,MATCH(C1368,user_table!$B$2:$B3686,0)),"")
</f>
        <v>4, 4</v>
      </c>
      <c r="F1368" s="6" t="str">
        <f t="shared" si="2"/>
        <v>163716137</v>
      </c>
      <c r="G1368" s="16">
        <v>1.0</v>
      </c>
      <c r="H1368" s="17">
        <v>45101.0</v>
      </c>
      <c r="I1368" s="18" t="s">
        <v>1354</v>
      </c>
    </row>
    <row r="1369">
      <c r="A1369" s="5" t="str">
        <f t="array" ref="A1369">INDEX(event_table!$A$2:$A$69, RANDBETWEEN(1, COUNTA(event_table!$A$2:$A$69)))</f>
        <v>3659</v>
      </c>
      <c r="B1369" s="6">
        <f t="array" ref="B1369">IFERROR(INDEX(event_table!$E$1:$E3686,MATCH(A1369,event_table!$A$1:$A3686,0)),"")
</f>
        <v>6</v>
      </c>
      <c r="C1369" s="7">
        <f t="shared" si="1"/>
        <v>24</v>
      </c>
      <c r="D1369" s="6" t="str">
        <f t="array" ref="D1369">IFERROR(INDEX(user_table!$C$2:$C3686,MATCH(C1369,user_table!$B$2:$B3686,0)),"")
</f>
        <v>Andi Septiani</v>
      </c>
      <c r="E1369" s="6" t="str">
        <f t="array" ref="E1369">IFERROR(INDEX(user_table!$E$2:$E3686,MATCH(C1369,user_table!$B$2:$B3686,0)),"")
</f>
        <v>2, 2</v>
      </c>
      <c r="F1369" s="6" t="str">
        <f t="shared" si="2"/>
        <v>36591624</v>
      </c>
      <c r="G1369" s="16">
        <v>1.0</v>
      </c>
      <c r="H1369" s="17">
        <v>45028.0</v>
      </c>
      <c r="I1369" s="18" t="s">
        <v>1355</v>
      </c>
    </row>
    <row r="1370">
      <c r="A1370" s="5" t="str">
        <f t="array" ref="A1370">INDEX(event_table!$A$2:$A$69, RANDBETWEEN(1, COUNTA(event_table!$A$2:$A$69)))</f>
        <v>1645</v>
      </c>
      <c r="B1370" s="6">
        <f t="array" ref="B1370">IFERROR(INDEX(event_table!$E$1:$E3686,MATCH(A1370,event_table!$A$1:$A3686,0)),"")
</f>
        <v>6</v>
      </c>
      <c r="C1370" s="7">
        <f t="shared" si="1"/>
        <v>26</v>
      </c>
      <c r="D1370" s="6" t="str">
        <f t="array" ref="D1370">IFERROR(INDEX(user_table!$C$2:$C3686,MATCH(C1370,user_table!$B$2:$B3686,0)),"")
</f>
        <v>Citra Sari</v>
      </c>
      <c r="E1370" s="6" t="str">
        <f t="array" ref="E1370">IFERROR(INDEX(user_table!$E$2:$E3686,MATCH(C1370,user_table!$B$2:$B3686,0)),"")
</f>
        <v>5, 1</v>
      </c>
      <c r="F1370" s="6" t="str">
        <f t="shared" si="2"/>
        <v>16455626</v>
      </c>
      <c r="G1370" s="16">
        <v>5.0</v>
      </c>
      <c r="H1370" s="17">
        <v>44747.0</v>
      </c>
      <c r="I1370" s="18" t="s">
        <v>1356</v>
      </c>
    </row>
    <row r="1371">
      <c r="A1371" s="5" t="str">
        <f t="array" ref="A1371">INDEX(event_table!$A$2:$A$69, RANDBETWEEN(1, COUNTA(event_table!$A$2:$A$69)))</f>
        <v>1313</v>
      </c>
      <c r="B1371" s="6">
        <f t="array" ref="B1371">IFERROR(INDEX(event_table!$E$1:$E3686,MATCH(A1371,event_table!$A$1:$A3686,0)),"")
</f>
        <v>3</v>
      </c>
      <c r="C1371" s="7">
        <f t="shared" si="1"/>
        <v>152</v>
      </c>
      <c r="D1371" s="6" t="str">
        <f t="array" ref="D1371">IFERROR(INDEX(user_table!$C$2:$C3686,MATCH(C1371,user_table!$B$2:$B3686,0)),"")
</f>
        <v>Budi Kurniawan</v>
      </c>
      <c r="E1371" s="6" t="str">
        <f t="array" ref="E1371">IFERROR(INDEX(user_table!$E$2:$E3686,MATCH(C1371,user_table!$B$2:$B3686,0)),"")
</f>
        <v>5, 5</v>
      </c>
      <c r="F1371" s="6" t="str">
        <f t="shared" si="2"/>
        <v>131353152</v>
      </c>
      <c r="G1371" s="16">
        <v>5.0</v>
      </c>
      <c r="H1371" s="17">
        <v>44739.0</v>
      </c>
      <c r="I1371" s="18" t="s">
        <v>1357</v>
      </c>
    </row>
    <row r="1372">
      <c r="A1372" s="5" t="str">
        <f t="array" ref="A1372">INDEX(event_table!$A$2:$A$69, RANDBETWEEN(1, COUNTA(event_table!$A$2:$A$69)))</f>
        <v>1637</v>
      </c>
      <c r="B1372" s="6">
        <f t="array" ref="B1372">IFERROR(INDEX(event_table!$E$1:$E3686,MATCH(A1372,event_table!$A$1:$A3686,0)),"")
</f>
        <v>6</v>
      </c>
      <c r="C1372" s="7">
        <f t="shared" si="1"/>
        <v>171</v>
      </c>
      <c r="D1372" s="6" t="str">
        <f t="array" ref="D1372">IFERROR(INDEX(user_table!$C$2:$C3686,MATCH(C1372,user_table!$B$2:$B3686,0)),"")
</f>
        <v>Andi Santoso</v>
      </c>
      <c r="E1372" s="6" t="str">
        <f t="array" ref="E1372">IFERROR(INDEX(user_table!$E$2:$E3686,MATCH(C1372,user_table!$B$2:$B3686,0)),"")
</f>
        <v>4, 3</v>
      </c>
      <c r="F1372" s="6" t="str">
        <f t="shared" si="2"/>
        <v>163756171</v>
      </c>
      <c r="G1372" s="16">
        <v>5.0</v>
      </c>
      <c r="H1372" s="17">
        <v>44724.0</v>
      </c>
      <c r="I1372" s="18" t="s">
        <v>1358</v>
      </c>
    </row>
    <row r="1373">
      <c r="A1373" s="5" t="str">
        <f t="array" ref="A1373">INDEX(event_table!$A$2:$A$69, RANDBETWEEN(1, COUNTA(event_table!$A$2:$A$69)))</f>
        <v>1418</v>
      </c>
      <c r="B1373" s="6">
        <f t="array" ref="B1373">IFERROR(INDEX(event_table!$E$1:$E3686,MATCH(A1373,event_table!$A$1:$A3686,0)),"")
</f>
        <v>4</v>
      </c>
      <c r="C1373" s="7">
        <f t="shared" si="1"/>
        <v>180</v>
      </c>
      <c r="D1373" s="6" t="str">
        <f t="array" ref="D1373">IFERROR(INDEX(user_table!$C$2:$C3686,MATCH(C1373,user_table!$B$2:$B3686,0)),"")
</f>
        <v>Andi Susanto</v>
      </c>
      <c r="E1373" s="6" t="str">
        <f t="array" ref="E1373">IFERROR(INDEX(user_table!$E$2:$E3686,MATCH(C1373,user_table!$B$2:$B3686,0)),"")
</f>
        <v>6, 5</v>
      </c>
      <c r="F1373" s="6" t="str">
        <f t="shared" si="2"/>
        <v>141854180</v>
      </c>
      <c r="G1373" s="16">
        <v>5.0</v>
      </c>
      <c r="H1373" s="17">
        <v>44706.0</v>
      </c>
      <c r="I1373" s="18" t="s">
        <v>1359</v>
      </c>
    </row>
    <row r="1374">
      <c r="A1374" s="5" t="str">
        <f t="array" ref="A1374">INDEX(event_table!$A$2:$A$69, RANDBETWEEN(1, COUNTA(event_table!$A$2:$A$69)))</f>
        <v>1526</v>
      </c>
      <c r="B1374" s="6">
        <f t="array" ref="B1374">IFERROR(INDEX(event_table!$E$1:$E3686,MATCH(A1374,event_table!$A$1:$A3686,0)),"")
</f>
        <v>5</v>
      </c>
      <c r="C1374" s="7">
        <f t="shared" si="1"/>
        <v>51</v>
      </c>
      <c r="D1374" s="6" t="str">
        <f t="array" ref="D1374">IFERROR(INDEX(user_table!$C$2:$C3686,MATCH(C1374,user_table!$B$2:$B3686,0)),"")
</f>
        <v>Fandi Pratama</v>
      </c>
      <c r="E1374" s="6" t="str">
        <f t="array" ref="E1374">IFERROR(INDEX(user_table!$E$2:$E3686,MATCH(C1374,user_table!$B$2:$B3686,0)),"")
</f>
        <v>2, 1</v>
      </c>
      <c r="F1374" s="6" t="str">
        <f t="shared" si="2"/>
        <v>15265551</v>
      </c>
      <c r="G1374" s="16">
        <v>5.0</v>
      </c>
      <c r="H1374" s="17">
        <v>44704.0</v>
      </c>
      <c r="I1374" s="18" t="s">
        <v>1360</v>
      </c>
    </row>
    <row r="1375">
      <c r="A1375" s="5" t="str">
        <f t="array" ref="A1375">INDEX(event_table!$A$2:$A$69, RANDBETWEEN(1, COUNTA(event_table!$A$2:$A$69)))</f>
        <v>1422</v>
      </c>
      <c r="B1375" s="6">
        <f t="array" ref="B1375">IFERROR(INDEX(event_table!$E$1:$E3686,MATCH(A1375,event_table!$A$1:$A3686,0)),"")
</f>
        <v>4</v>
      </c>
      <c r="C1375" s="7">
        <f t="shared" si="1"/>
        <v>77</v>
      </c>
      <c r="D1375" s="6" t="str">
        <f t="array" ref="D1375">IFERROR(INDEX(user_table!$C$2:$C3686,MATCH(C1375,user_table!$B$2:$B3686,0)),"")
</f>
        <v>Desi Wijaya</v>
      </c>
      <c r="E1375" s="6" t="str">
        <f t="array" ref="E1375">IFERROR(INDEX(user_table!$E$2:$E3686,MATCH(C1375,user_table!$B$2:$B3686,0)),"")
</f>
        <v>3, 1</v>
      </c>
      <c r="F1375" s="6" t="str">
        <f t="shared" si="2"/>
        <v>14225477</v>
      </c>
      <c r="G1375" s="16">
        <v>5.0</v>
      </c>
      <c r="H1375" s="17">
        <v>44697.0</v>
      </c>
      <c r="I1375" s="18" t="s">
        <v>1361</v>
      </c>
    </row>
    <row r="1376">
      <c r="A1376" s="5" t="str">
        <f t="array" ref="A1376">INDEX(event_table!$A$2:$A$69, RANDBETWEEN(1, COUNTA(event_table!$A$2:$A$69)))</f>
        <v>114</v>
      </c>
      <c r="B1376" s="6">
        <f t="array" ref="B1376">IFERROR(INDEX(event_table!$E$1:$E3686,MATCH(A1376,event_table!$A$1:$A3686,0)),"")
</f>
        <v>1</v>
      </c>
      <c r="C1376" s="7">
        <f t="shared" si="1"/>
        <v>52</v>
      </c>
      <c r="D1376" s="6" t="str">
        <f t="array" ref="D1376">IFERROR(INDEX(user_table!$C$2:$C3686,MATCH(C1376,user_table!$B$2:$B3686,0)),"")
</f>
        <v>Ani Nurhayati</v>
      </c>
      <c r="E1376" s="6" t="str">
        <f t="array" ref="E1376">IFERROR(INDEX(user_table!$E$2:$E3686,MATCH(C1376,user_table!$B$2:$B3686,0)),"")
</f>
        <v>2, 2</v>
      </c>
      <c r="F1376" s="6" t="str">
        <f t="shared" si="2"/>
        <v>1145152</v>
      </c>
      <c r="G1376" s="16">
        <v>5.0</v>
      </c>
      <c r="H1376" s="17">
        <v>45181.0</v>
      </c>
      <c r="I1376" s="18" t="s">
        <v>1362</v>
      </c>
    </row>
    <row r="1377">
      <c r="A1377" s="5" t="str">
        <f t="array" ref="A1377">INDEX(event_table!$A$2:$A$69, RANDBETWEEN(1, COUNTA(event_table!$A$2:$A$69)))</f>
        <v>114</v>
      </c>
      <c r="B1377" s="6">
        <f t="array" ref="B1377">IFERROR(INDEX(event_table!$E$1:$E3686,MATCH(A1377,event_table!$A$1:$A3686,0)),"")
</f>
        <v>1</v>
      </c>
      <c r="C1377" s="7">
        <f t="shared" si="1"/>
        <v>147</v>
      </c>
      <c r="D1377" s="6" t="str">
        <f t="array" ref="D1377">IFERROR(INDEX(user_table!$C$2:$C3686,MATCH(C1377,user_table!$B$2:$B3686,0)),"")
</f>
        <v>Fajar Saputra</v>
      </c>
      <c r="E1377" s="6" t="str">
        <f t="array" ref="E1377">IFERROR(INDEX(user_table!$E$2:$E3686,MATCH(C1377,user_table!$B$2:$B3686,0)),"")
</f>
        <v>6, 2</v>
      </c>
      <c r="F1377" s="6" t="str">
        <f t="shared" si="2"/>
        <v>11451147</v>
      </c>
      <c r="G1377" s="16">
        <v>5.0</v>
      </c>
      <c r="H1377" s="17">
        <v>45092.0</v>
      </c>
      <c r="I1377" s="18" t="s">
        <v>1040</v>
      </c>
    </row>
    <row r="1378">
      <c r="A1378" s="5" t="str">
        <f t="array" ref="A1378">INDEX(event_table!$A$2:$A$69, RANDBETWEEN(1, COUNTA(event_table!$A$2:$A$69)))</f>
        <v>118</v>
      </c>
      <c r="B1378" s="6">
        <f t="array" ref="B1378">IFERROR(INDEX(event_table!$E$1:$E3686,MATCH(A1378,event_table!$A$1:$A3686,0)),"")
</f>
        <v>1</v>
      </c>
      <c r="C1378" s="7">
        <f t="shared" si="1"/>
        <v>189</v>
      </c>
      <c r="D1378" s="6" t="str">
        <f t="array" ref="D1378">IFERROR(INDEX(user_table!$C$2:$C3686,MATCH(C1378,user_table!$B$2:$B3686,0)),"")
</f>
        <v>Arif Putri</v>
      </c>
      <c r="E1378" s="6" t="str">
        <f t="array" ref="E1378">IFERROR(INDEX(user_table!$E$2:$E3686,MATCH(C1378,user_table!$B$2:$B3686,0)),"")
</f>
        <v>4, 2</v>
      </c>
      <c r="F1378" s="6" t="str">
        <f t="shared" si="2"/>
        <v>11851189</v>
      </c>
      <c r="G1378" s="16">
        <v>5.0</v>
      </c>
      <c r="H1378" s="17">
        <v>45055.0</v>
      </c>
      <c r="I1378" s="18" t="s">
        <v>1363</v>
      </c>
    </row>
    <row r="1379">
      <c r="A1379" s="5" t="str">
        <f t="array" ref="A1379">INDEX(event_table!$A$2:$A$69, RANDBETWEEN(1, COUNTA(event_table!$A$2:$A$69)))</f>
        <v>3168</v>
      </c>
      <c r="B1379" s="6">
        <f t="array" ref="B1379">IFERROR(INDEX(event_table!$E$1:$E3686,MATCH(A1379,event_table!$A$1:$A3686,0)),"")
</f>
        <v>1</v>
      </c>
      <c r="C1379" s="7">
        <f t="shared" si="1"/>
        <v>47</v>
      </c>
      <c r="D1379" s="6" t="str">
        <f t="array" ref="D1379">IFERROR(INDEX(user_table!$C$2:$C3686,MATCH(C1379,user_table!$B$2:$B3686,0)),"")
</f>
        <v>Fandi Kurniawan</v>
      </c>
      <c r="E1379" s="6" t="str">
        <f t="array" ref="E1379">IFERROR(INDEX(user_table!$E$2:$E3686,MATCH(C1379,user_table!$B$2:$B3686,0)),"")
</f>
        <v>5, 6</v>
      </c>
      <c r="F1379" s="6" t="str">
        <f t="shared" si="2"/>
        <v>31685147</v>
      </c>
      <c r="G1379" s="16">
        <v>5.0</v>
      </c>
      <c r="H1379" s="17">
        <v>44789.0</v>
      </c>
      <c r="I1379" s="18" t="s">
        <v>1364</v>
      </c>
    </row>
    <row r="1380">
      <c r="A1380" s="5" t="str">
        <f t="array" ref="A1380">INDEX(event_table!$A$2:$A$69, RANDBETWEEN(1, COUNTA(event_table!$A$2:$A$69)))</f>
        <v>3166</v>
      </c>
      <c r="B1380" s="6">
        <f t="array" ref="B1380">IFERROR(INDEX(event_table!$E$1:$E3686,MATCH(A1380,event_table!$A$1:$A3686,0)),"")
</f>
        <v>1</v>
      </c>
      <c r="C1380" s="7">
        <f t="shared" si="1"/>
        <v>62</v>
      </c>
      <c r="D1380" s="6" t="str">
        <f t="array" ref="D1380">IFERROR(INDEX(user_table!$C$2:$C3686,MATCH(C1380,user_table!$B$2:$B3686,0)),"")
</f>
        <v>Joko Sari</v>
      </c>
      <c r="E1380" s="6" t="str">
        <f t="array" ref="E1380">IFERROR(INDEX(user_table!$E$2:$E3686,MATCH(C1380,user_table!$B$2:$B3686,0)),"")
</f>
        <v>6, 1</v>
      </c>
      <c r="F1380" s="6" t="str">
        <f t="shared" si="2"/>
        <v>31665162</v>
      </c>
      <c r="G1380" s="16">
        <v>5.0</v>
      </c>
      <c r="H1380" s="17">
        <v>44761.0</v>
      </c>
      <c r="I1380" s="18" t="s">
        <v>1365</v>
      </c>
    </row>
    <row r="1381">
      <c r="A1381" s="5" t="str">
        <f t="array" ref="A1381">INDEX(event_table!$A$2:$A$69, RANDBETWEEN(1, COUNTA(event_table!$A$2:$A$69)))</f>
        <v>3166</v>
      </c>
      <c r="B1381" s="6">
        <f t="array" ref="B1381">IFERROR(INDEX(event_table!$E$1:$E3686,MATCH(A1381,event_table!$A$1:$A3686,0)),"")
</f>
        <v>1</v>
      </c>
      <c r="C1381" s="7">
        <f t="shared" si="1"/>
        <v>192</v>
      </c>
      <c r="D1381" s="6" t="str">
        <f t="array" ref="D1381">IFERROR(INDEX(user_table!$C$2:$C3686,MATCH(C1381,user_table!$B$2:$B3686,0)),"")
</f>
        <v>Joko Hadiwijaya</v>
      </c>
      <c r="E1381" s="6" t="str">
        <f t="array" ref="E1381">IFERROR(INDEX(user_table!$E$2:$E3686,MATCH(C1381,user_table!$B$2:$B3686,0)),"")
</f>
        <v>1, 3</v>
      </c>
      <c r="F1381" s="6" t="str">
        <f t="shared" si="2"/>
        <v>316651192</v>
      </c>
      <c r="G1381" s="16">
        <v>5.0</v>
      </c>
      <c r="H1381" s="17">
        <v>44752.0</v>
      </c>
      <c r="I1381" s="18" t="s">
        <v>1366</v>
      </c>
    </row>
    <row r="1382">
      <c r="A1382" s="5" t="str">
        <f t="array" ref="A1382">INDEX(event_table!$A$2:$A$69, RANDBETWEEN(1, COUNTA(event_table!$A$2:$A$69)))</f>
        <v>1642</v>
      </c>
      <c r="B1382" s="6">
        <f t="array" ref="B1382">IFERROR(INDEX(event_table!$E$1:$E3686,MATCH(A1382,event_table!$A$1:$A3686,0)),"")
</f>
        <v>6</v>
      </c>
      <c r="C1382" s="7">
        <f t="shared" si="1"/>
        <v>187</v>
      </c>
      <c r="D1382" s="6" t="str">
        <f t="array" ref="D1382">IFERROR(INDEX(user_table!$C$2:$C3686,MATCH(C1382,user_table!$B$2:$B3686,0)),"")
</f>
        <v>Bambang Saputra</v>
      </c>
      <c r="E1382" s="6" t="str">
        <f t="array" ref="E1382">IFERROR(INDEX(user_table!$E$2:$E3686,MATCH(C1382,user_table!$B$2:$B3686,0)),"")
</f>
        <v>3, 1</v>
      </c>
      <c r="F1382" s="6" t="str">
        <f t="shared" si="2"/>
        <v>164256187</v>
      </c>
      <c r="G1382" s="16">
        <v>5.0</v>
      </c>
      <c r="H1382" s="17">
        <v>44693.0</v>
      </c>
      <c r="I1382" s="18" t="s">
        <v>1367</v>
      </c>
    </row>
    <row r="1383">
      <c r="A1383" s="5" t="str">
        <f t="array" ref="A1383">INDEX(event_table!$A$2:$A$69, RANDBETWEEN(1, COUNTA(event_table!$A$2:$A$69)))</f>
        <v>1114</v>
      </c>
      <c r="B1383" s="6">
        <f t="array" ref="B1383">IFERROR(INDEX(event_table!$E$1:$E3686,MATCH(A1383,event_table!$A$1:$A3686,0)),"")
</f>
        <v>1</v>
      </c>
      <c r="C1383" s="7">
        <f t="shared" si="1"/>
        <v>160</v>
      </c>
      <c r="D1383" s="6" t="str">
        <f t="array" ref="D1383">IFERROR(INDEX(user_table!$C$2:$C3686,MATCH(C1383,user_table!$B$2:$B3686,0)),"")
</f>
        <v>Hadi Hadiwijaya</v>
      </c>
      <c r="E1383" s="6" t="str">
        <f t="array" ref="E1383">IFERROR(INDEX(user_table!$E$2:$E3686,MATCH(C1383,user_table!$B$2:$B3686,0)),"")
</f>
        <v>2, 4</v>
      </c>
      <c r="F1383" s="6" t="str">
        <f t="shared" si="2"/>
        <v>111441160</v>
      </c>
      <c r="G1383" s="16">
        <v>4.0</v>
      </c>
      <c r="H1383" s="17">
        <v>44929.0</v>
      </c>
      <c r="I1383" s="18" t="s">
        <v>1368</v>
      </c>
    </row>
    <row r="1384">
      <c r="A1384" s="5" t="str">
        <f t="array" ref="A1384">INDEX(event_table!$A$2:$A$69, RANDBETWEEN(1, COUNTA(event_table!$A$2:$A$69)))</f>
        <v>1427</v>
      </c>
      <c r="B1384" s="6">
        <f t="array" ref="B1384">IFERROR(INDEX(event_table!$E$1:$E3686,MATCH(A1384,event_table!$A$1:$A3686,0)),"")
</f>
        <v>4</v>
      </c>
      <c r="C1384" s="7">
        <f t="shared" si="1"/>
        <v>4</v>
      </c>
      <c r="D1384" s="6" t="str">
        <f t="array" ref="D1384">IFERROR(INDEX(user_table!$C$2:$C3686,MATCH(C1384,user_table!$B$2:$B3686,0)),"")
</f>
        <v>Dina Utami</v>
      </c>
      <c r="E1384" s="6" t="str">
        <f t="array" ref="E1384">IFERROR(INDEX(user_table!$E$2:$E3686,MATCH(C1384,user_table!$B$2:$B3686,0)),"")
</f>
        <v>6, 2</v>
      </c>
      <c r="F1384" s="6" t="str">
        <f t="shared" si="2"/>
        <v>1427444</v>
      </c>
      <c r="G1384" s="16">
        <v>4.0</v>
      </c>
      <c r="H1384" s="17">
        <v>44894.0</v>
      </c>
      <c r="I1384" s="18" t="s">
        <v>1369</v>
      </c>
    </row>
    <row r="1385">
      <c r="A1385" s="5" t="str">
        <f t="array" ref="A1385">INDEX(event_table!$A$2:$A$69, RANDBETWEEN(1, COUNTA(event_table!$A$2:$A$69)))</f>
        <v>1638</v>
      </c>
      <c r="B1385" s="6">
        <f t="array" ref="B1385">IFERROR(INDEX(event_table!$E$1:$E3686,MATCH(A1385,event_table!$A$1:$A3686,0)),"")
</f>
        <v>6</v>
      </c>
      <c r="C1385" s="7">
        <f t="shared" si="1"/>
        <v>22</v>
      </c>
      <c r="D1385" s="6" t="str">
        <f t="array" ref="D1385">IFERROR(INDEX(user_table!$C$2:$C3686,MATCH(C1385,user_table!$B$2:$B3686,0)),"")
</f>
        <v>Fajar Wijaya</v>
      </c>
      <c r="E1385" s="6" t="str">
        <f t="array" ref="E1385">IFERROR(INDEX(user_table!$E$2:$E3686,MATCH(C1385,user_table!$B$2:$B3686,0)),"")
</f>
        <v>2, 6</v>
      </c>
      <c r="F1385" s="6" t="str">
        <f t="shared" si="2"/>
        <v>16384622</v>
      </c>
      <c r="G1385" s="16">
        <v>4.0</v>
      </c>
      <c r="H1385" s="17">
        <v>44738.0</v>
      </c>
      <c r="I1385" s="18" t="s">
        <v>1370</v>
      </c>
    </row>
    <row r="1386">
      <c r="A1386" s="5" t="str">
        <f t="array" ref="A1386">INDEX(event_table!$A$2:$A$69, RANDBETWEEN(1, COUNTA(event_table!$A$2:$A$69)))</f>
        <v>1652</v>
      </c>
      <c r="B1386" s="6">
        <f t="array" ref="B1386">IFERROR(INDEX(event_table!$E$1:$E3686,MATCH(A1386,event_table!$A$1:$A3686,0)),"")
</f>
        <v>6</v>
      </c>
      <c r="C1386" s="7">
        <f t="shared" si="1"/>
        <v>137</v>
      </c>
      <c r="D1386" s="6" t="str">
        <f t="array" ref="D1386">IFERROR(INDEX(user_table!$C$2:$C3686,MATCH(C1386,user_table!$B$2:$B3686,0)),"")
</f>
        <v>Dina Pratama</v>
      </c>
      <c r="E1386" s="6" t="str">
        <f t="array" ref="E1386">IFERROR(INDEX(user_table!$E$2:$E3686,MATCH(C1386,user_table!$B$2:$B3686,0)),"")
</f>
        <v>4, 4</v>
      </c>
      <c r="F1386" s="6" t="str">
        <f t="shared" si="2"/>
        <v>165246137</v>
      </c>
      <c r="G1386" s="16">
        <v>4.0</v>
      </c>
      <c r="H1386" s="17">
        <v>44725.0</v>
      </c>
      <c r="I1386" s="18" t="s">
        <v>1371</v>
      </c>
    </row>
    <row r="1387">
      <c r="A1387" s="5" t="str">
        <f t="array" ref="A1387">INDEX(event_table!$A$2:$A$69, RANDBETWEEN(1, COUNTA(event_table!$A$2:$A$69)))</f>
        <v>1531</v>
      </c>
      <c r="B1387" s="6">
        <f t="array" ref="B1387">IFERROR(INDEX(event_table!$E$1:$E3686,MATCH(A1387,event_table!$A$1:$A3686,0)),"")
</f>
        <v>5</v>
      </c>
      <c r="C1387" s="7">
        <f t="shared" si="1"/>
        <v>45</v>
      </c>
      <c r="D1387" s="6" t="str">
        <f t="array" ref="D1387">IFERROR(INDEX(user_table!$C$2:$C3686,MATCH(C1387,user_table!$B$2:$B3686,0)),"")
</f>
        <v>Siti Kurniawan</v>
      </c>
      <c r="E1387" s="6" t="str">
        <f t="array" ref="E1387">IFERROR(INDEX(user_table!$E$2:$E3686,MATCH(C1387,user_table!$B$2:$B3686,0)),"")
</f>
        <v>1, 1</v>
      </c>
      <c r="F1387" s="6" t="str">
        <f t="shared" si="2"/>
        <v>15314545</v>
      </c>
      <c r="G1387" s="16">
        <v>4.0</v>
      </c>
      <c r="H1387" s="17">
        <v>45088.0</v>
      </c>
      <c r="I1387" s="18" t="s">
        <v>1372</v>
      </c>
    </row>
    <row r="1388">
      <c r="A1388" s="5" t="str">
        <f t="array" ref="A1388">INDEX(event_table!$A$2:$A$69, RANDBETWEEN(1, COUNTA(event_table!$A$2:$A$69)))</f>
        <v>1335</v>
      </c>
      <c r="B1388" s="6">
        <f t="array" ref="B1388">IFERROR(INDEX(event_table!$E$1:$E3686,MATCH(A1388,event_table!$A$1:$A3686,0)),"")
</f>
        <v>3</v>
      </c>
      <c r="C1388" s="7">
        <f t="shared" si="1"/>
        <v>187</v>
      </c>
      <c r="D1388" s="6" t="str">
        <f t="array" ref="D1388">IFERROR(INDEX(user_table!$C$2:$C3686,MATCH(C1388,user_table!$B$2:$B3686,0)),"")
</f>
        <v>Bambang Saputra</v>
      </c>
      <c r="E1388" s="6" t="str">
        <f t="array" ref="E1388">IFERROR(INDEX(user_table!$E$2:$E3686,MATCH(C1388,user_table!$B$2:$B3686,0)),"")
</f>
        <v>3, 1</v>
      </c>
      <c r="F1388" s="6" t="str">
        <f t="shared" si="2"/>
        <v>133543187</v>
      </c>
      <c r="G1388" s="16">
        <v>4.0</v>
      </c>
      <c r="H1388" s="17">
        <v>44687.0</v>
      </c>
      <c r="I1388" s="18" t="s">
        <v>1373</v>
      </c>
    </row>
    <row r="1389">
      <c r="A1389" s="5" t="str">
        <f t="array" ref="A1389">INDEX(event_table!$A$2:$A$69, RANDBETWEEN(1, COUNTA(event_table!$A$2:$A$69)))</f>
        <v>1637</v>
      </c>
      <c r="B1389" s="6">
        <f t="array" ref="B1389">IFERROR(INDEX(event_table!$E$1:$E3686,MATCH(A1389,event_table!$A$1:$A3686,0)),"")
</f>
        <v>6</v>
      </c>
      <c r="C1389" s="7">
        <f t="shared" si="1"/>
        <v>148</v>
      </c>
      <c r="D1389" s="6" t="str">
        <f t="array" ref="D1389">IFERROR(INDEX(user_table!$C$2:$C3686,MATCH(C1389,user_table!$B$2:$B3686,0)),"")
</f>
        <v>Fajar Setiawan</v>
      </c>
      <c r="E1389" s="6" t="str">
        <f t="array" ref="E1389">IFERROR(INDEX(user_table!$E$2:$E3686,MATCH(C1389,user_table!$B$2:$B3686,0)),"")
</f>
        <v>6, 4</v>
      </c>
      <c r="F1389" s="6" t="str">
        <f t="shared" si="2"/>
        <v>163746148</v>
      </c>
      <c r="G1389" s="16">
        <v>4.0</v>
      </c>
      <c r="H1389" s="17">
        <v>44686.0</v>
      </c>
      <c r="I1389" s="18" t="s">
        <v>1374</v>
      </c>
    </row>
    <row r="1390">
      <c r="A1390" s="5" t="str">
        <f t="array" ref="A1390">INDEX(event_table!$A$2:$A$69, RANDBETWEEN(1, COUNTA(event_table!$A$2:$A$69)))</f>
        <v>3454</v>
      </c>
      <c r="B1390" s="6">
        <f t="array" ref="B1390">IFERROR(INDEX(event_table!$E$1:$E3686,MATCH(A1390,event_table!$A$1:$A3686,0)),"")
</f>
        <v>4</v>
      </c>
      <c r="C1390" s="7">
        <f t="shared" si="1"/>
        <v>116</v>
      </c>
      <c r="D1390" s="6" t="str">
        <f t="array" ref="D1390">IFERROR(INDEX(user_table!$C$2:$C3686,MATCH(C1390,user_table!$B$2:$B3686,0)),"")
</f>
        <v>Fandi Hartono</v>
      </c>
      <c r="E1390" s="6" t="str">
        <f t="array" ref="E1390">IFERROR(INDEX(user_table!$E$2:$E3686,MATCH(C1390,user_table!$B$2:$B3686,0)),"")
</f>
        <v>2, 1</v>
      </c>
      <c r="F1390" s="6" t="str">
        <f t="shared" si="2"/>
        <v>345434116</v>
      </c>
      <c r="G1390" s="16">
        <v>3.0</v>
      </c>
      <c r="H1390" s="17">
        <v>45095.0</v>
      </c>
      <c r="I1390" s="18" t="s">
        <v>1375</v>
      </c>
    </row>
    <row r="1391">
      <c r="A1391" s="5" t="str">
        <f t="array" ref="A1391">INDEX(event_table!$A$2:$A$69, RANDBETWEEN(1, COUNTA(event_table!$A$2:$A$69)))</f>
        <v>1423</v>
      </c>
      <c r="B1391" s="6">
        <f t="array" ref="B1391">IFERROR(INDEX(event_table!$E$1:$E3686,MATCH(A1391,event_table!$A$1:$A3686,0)),"")
</f>
        <v>4</v>
      </c>
      <c r="C1391" s="7">
        <f t="shared" si="1"/>
        <v>143</v>
      </c>
      <c r="D1391" s="6" t="str">
        <f t="array" ref="D1391">IFERROR(INDEX(user_table!$C$2:$C3686,MATCH(C1391,user_table!$B$2:$B3686,0)),"")
</f>
        <v>Agus Putri</v>
      </c>
      <c r="E1391" s="6" t="str">
        <f t="array" ref="E1391">IFERROR(INDEX(user_table!$E$2:$E3686,MATCH(C1391,user_table!$B$2:$B3686,0)),"")
</f>
        <v>3, 3</v>
      </c>
      <c r="F1391" s="6" t="str">
        <f t="shared" si="2"/>
        <v>142334143</v>
      </c>
      <c r="G1391" s="16">
        <v>3.0</v>
      </c>
      <c r="H1391" s="17">
        <v>44951.0</v>
      </c>
      <c r="I1391" s="18" t="s">
        <v>1376</v>
      </c>
    </row>
    <row r="1392">
      <c r="A1392" s="5" t="str">
        <f t="array" ref="A1392">INDEX(event_table!$A$2:$A$69, RANDBETWEEN(1, COUNTA(event_table!$A$2:$A$69)))</f>
        <v>1417</v>
      </c>
      <c r="B1392" s="6">
        <f t="array" ref="B1392">IFERROR(INDEX(event_table!$E$1:$E3686,MATCH(A1392,event_table!$A$1:$A3686,0)),"")
</f>
        <v>4</v>
      </c>
      <c r="C1392" s="7">
        <f t="shared" si="1"/>
        <v>43</v>
      </c>
      <c r="D1392" s="6" t="str">
        <f t="array" ref="D1392">IFERROR(INDEX(user_table!$C$2:$C3686,MATCH(C1392,user_table!$B$2:$B3686,0)),"")
</f>
        <v>Lina Putri</v>
      </c>
      <c r="E1392" s="6" t="str">
        <f t="array" ref="E1392">IFERROR(INDEX(user_table!$E$2:$E3686,MATCH(C1392,user_table!$B$2:$B3686,0)),"")
</f>
        <v>1, 6</v>
      </c>
      <c r="F1392" s="6" t="str">
        <f t="shared" si="2"/>
        <v>14173443</v>
      </c>
      <c r="G1392" s="16">
        <v>3.0</v>
      </c>
      <c r="H1392" s="17">
        <v>44748.0</v>
      </c>
      <c r="I1392" s="18" t="s">
        <v>1377</v>
      </c>
    </row>
    <row r="1393">
      <c r="A1393" s="5" t="str">
        <f t="array" ref="A1393">INDEX(event_table!$A$2:$A$69, RANDBETWEEN(1, COUNTA(event_table!$A$2:$A$69)))</f>
        <v>3658</v>
      </c>
      <c r="B1393" s="6">
        <f t="array" ref="B1393">IFERROR(INDEX(event_table!$E$1:$E3686,MATCH(A1393,event_table!$A$1:$A3686,0)),"")
</f>
        <v>6</v>
      </c>
      <c r="C1393" s="7">
        <f t="shared" si="1"/>
        <v>46</v>
      </c>
      <c r="D1393" s="6" t="str">
        <f t="array" ref="D1393">IFERROR(INDEX(user_table!$C$2:$C3686,MATCH(C1393,user_table!$B$2:$B3686,0)),"")
</f>
        <v>Dian Wijaya</v>
      </c>
      <c r="E1393" s="6" t="str">
        <f t="array" ref="E1393">IFERROR(INDEX(user_table!$E$2:$E3686,MATCH(C1393,user_table!$B$2:$B3686,0)),"")
</f>
        <v>2, 2</v>
      </c>
      <c r="F1393" s="6" t="str">
        <f t="shared" si="2"/>
        <v>36583646</v>
      </c>
      <c r="G1393" s="16">
        <v>3.0</v>
      </c>
      <c r="H1393" s="17">
        <v>44865.0</v>
      </c>
      <c r="I1393" s="18" t="s">
        <v>1061</v>
      </c>
    </row>
    <row r="1394">
      <c r="A1394" s="5" t="str">
        <f t="array" ref="A1394">INDEX(event_table!$A$2:$A$69, RANDBETWEEN(1, COUNTA(event_table!$A$2:$A$69)))</f>
        <v>1530</v>
      </c>
      <c r="B1394" s="6">
        <f t="array" ref="B1394">IFERROR(INDEX(event_table!$E$1:$E3686,MATCH(A1394,event_table!$A$1:$A3686,0)),"")
</f>
        <v>5</v>
      </c>
      <c r="C1394" s="7">
        <f t="shared" si="1"/>
        <v>174</v>
      </c>
      <c r="D1394" s="6" t="str">
        <f t="array" ref="D1394">IFERROR(INDEX(user_table!$C$2:$C3686,MATCH(C1394,user_table!$B$2:$B3686,0)),"")
</f>
        <v>Maya Hermawan</v>
      </c>
      <c r="E1394" s="6" t="str">
        <f t="array" ref="E1394">IFERROR(INDEX(user_table!$E$2:$E3686,MATCH(C1394,user_table!$B$2:$B3686,0)),"")
</f>
        <v>5, 1</v>
      </c>
      <c r="F1394" s="6" t="str">
        <f t="shared" si="2"/>
        <v>153035174</v>
      </c>
      <c r="G1394" s="16">
        <v>3.0</v>
      </c>
      <c r="H1394" s="17">
        <v>45258.0</v>
      </c>
      <c r="I1394" s="18" t="s">
        <v>1378</v>
      </c>
    </row>
    <row r="1395">
      <c r="A1395" s="5" t="str">
        <f t="array" ref="A1395">INDEX(event_table!$A$2:$A$69, RANDBETWEEN(1, COUNTA(event_table!$A$2:$A$69)))</f>
        <v>1652</v>
      </c>
      <c r="B1395" s="6">
        <f t="array" ref="B1395">IFERROR(INDEX(event_table!$E$1:$E3686,MATCH(A1395,event_table!$A$1:$A3686,0)),"")
</f>
        <v>6</v>
      </c>
      <c r="C1395" s="7">
        <f t="shared" si="1"/>
        <v>85</v>
      </c>
      <c r="D1395" s="6" t="str">
        <f t="array" ref="D1395">IFERROR(INDEX(user_table!$C$2:$C3686,MATCH(C1395,user_table!$B$2:$B3686,0)),"")
</f>
        <v>Maya Susanto</v>
      </c>
      <c r="E1395" s="6" t="str">
        <f t="array" ref="E1395">IFERROR(INDEX(user_table!$E$2:$E3686,MATCH(C1395,user_table!$B$2:$B3686,0)),"")
</f>
        <v>6, 5</v>
      </c>
      <c r="F1395" s="6" t="str">
        <f t="shared" si="2"/>
        <v>16523685</v>
      </c>
      <c r="G1395" s="16">
        <v>3.0</v>
      </c>
      <c r="H1395" s="17">
        <v>45251.0</v>
      </c>
      <c r="I1395" s="18" t="s">
        <v>1379</v>
      </c>
    </row>
    <row r="1396">
      <c r="A1396" s="5" t="str">
        <f t="array" ref="A1396">INDEX(event_table!$A$2:$A$69, RANDBETWEEN(1, COUNTA(event_table!$A$2:$A$69)))</f>
        <v>1646</v>
      </c>
      <c r="B1396" s="6">
        <f t="array" ref="B1396">IFERROR(INDEX(event_table!$E$1:$E3686,MATCH(A1396,event_table!$A$1:$A3686,0)),"")
</f>
        <v>6</v>
      </c>
      <c r="C1396" s="7">
        <f t="shared" si="1"/>
        <v>92</v>
      </c>
      <c r="D1396" s="6" t="str">
        <f t="array" ref="D1396">IFERROR(INDEX(user_table!$C$2:$C3686,MATCH(C1396,user_table!$B$2:$B3686,0)),"")
</f>
        <v>Andi Susanto</v>
      </c>
      <c r="E1396" s="6" t="str">
        <f t="array" ref="E1396">IFERROR(INDEX(user_table!$E$2:$E3686,MATCH(C1396,user_table!$B$2:$B3686,0)),"")
</f>
        <v>4, 4</v>
      </c>
      <c r="F1396" s="6" t="str">
        <f t="shared" si="2"/>
        <v>16463692</v>
      </c>
      <c r="G1396" s="16">
        <v>3.0</v>
      </c>
      <c r="H1396" s="17">
        <v>45250.0</v>
      </c>
      <c r="I1396" s="18" t="s">
        <v>1380</v>
      </c>
    </row>
    <row r="1397">
      <c r="A1397" s="5" t="str">
        <f t="array" ref="A1397">INDEX(event_table!$A$2:$A$69, RANDBETWEEN(1, COUNTA(event_table!$A$2:$A$69)))</f>
        <v>3658</v>
      </c>
      <c r="B1397" s="6">
        <f t="array" ref="B1397">IFERROR(INDEX(event_table!$E$1:$E3686,MATCH(A1397,event_table!$A$1:$A3686,0)),"")
</f>
        <v>6</v>
      </c>
      <c r="C1397" s="7">
        <f t="shared" si="1"/>
        <v>130</v>
      </c>
      <c r="D1397" s="6" t="str">
        <f t="array" ref="D1397">IFERROR(INDEX(user_table!$C$2:$C3686,MATCH(C1397,user_table!$B$2:$B3686,0)),"")
</f>
        <v>Andi Putri</v>
      </c>
      <c r="E1397" s="6" t="str">
        <f t="array" ref="E1397">IFERROR(INDEX(user_table!$E$2:$E3686,MATCH(C1397,user_table!$B$2:$B3686,0)),"")
</f>
        <v>2, 3</v>
      </c>
      <c r="F1397" s="6" t="str">
        <f t="shared" si="2"/>
        <v>365836130</v>
      </c>
      <c r="G1397" s="16">
        <v>3.0</v>
      </c>
      <c r="H1397" s="17">
        <v>45227.0</v>
      </c>
      <c r="I1397" s="18" t="s">
        <v>1381</v>
      </c>
    </row>
    <row r="1398">
      <c r="A1398" s="5" t="str">
        <f t="array" ref="A1398">INDEX(event_table!$A$2:$A$69, RANDBETWEEN(1, COUNTA(event_table!$A$2:$A$69)))</f>
        <v>1416</v>
      </c>
      <c r="B1398" s="6">
        <f t="array" ref="B1398">IFERROR(INDEX(event_table!$E$1:$E3686,MATCH(A1398,event_table!$A$1:$A3686,0)),"")
</f>
        <v>4</v>
      </c>
      <c r="C1398" s="7">
        <f t="shared" si="1"/>
        <v>111</v>
      </c>
      <c r="D1398" s="6" t="str">
        <f t="array" ref="D1398">IFERROR(INDEX(user_table!$C$2:$C3686,MATCH(C1398,user_table!$B$2:$B3686,0)),"")
</f>
        <v>Hadi Kurniawan</v>
      </c>
      <c r="E1398" s="6" t="str">
        <f t="array" ref="E1398">IFERROR(INDEX(user_table!$E$2:$E3686,MATCH(C1398,user_table!$B$2:$B3686,0)),"")
</f>
        <v>3, 4</v>
      </c>
      <c r="F1398" s="6" t="str">
        <f t="shared" si="2"/>
        <v>141624111</v>
      </c>
      <c r="G1398" s="16">
        <v>2.0</v>
      </c>
      <c r="H1398" s="17">
        <v>45092.0</v>
      </c>
      <c r="I1398" s="18" t="s">
        <v>1382</v>
      </c>
    </row>
    <row r="1399">
      <c r="A1399" s="5" t="str">
        <f t="array" ref="A1399">INDEX(event_table!$A$2:$A$69, RANDBETWEEN(1, COUNTA(event_table!$A$2:$A$69)))</f>
        <v>3170</v>
      </c>
      <c r="B1399" s="6">
        <f t="array" ref="B1399">IFERROR(INDEX(event_table!$E$1:$E3686,MATCH(A1399,event_table!$A$1:$A3686,0)),"")
</f>
        <v>1</v>
      </c>
      <c r="C1399" s="7">
        <f t="shared" si="1"/>
        <v>80</v>
      </c>
      <c r="D1399" s="6" t="str">
        <f t="array" ref="D1399">IFERROR(INDEX(user_table!$C$2:$C3686,MATCH(C1399,user_table!$B$2:$B3686,0)),"")
</f>
        <v>Sinta Susanto</v>
      </c>
      <c r="E1399" s="6" t="str">
        <f t="array" ref="E1399">IFERROR(INDEX(user_table!$E$2:$E3686,MATCH(C1399,user_table!$B$2:$B3686,0)),"")
</f>
        <v>5, 2</v>
      </c>
      <c r="F1399" s="6" t="str">
        <f t="shared" si="2"/>
        <v>31702180</v>
      </c>
      <c r="G1399" s="16">
        <v>2.0</v>
      </c>
      <c r="H1399" s="17">
        <v>45045.0</v>
      </c>
      <c r="I1399" s="18" t="s">
        <v>963</v>
      </c>
    </row>
    <row r="1400">
      <c r="A1400" s="5" t="str">
        <f t="array" ref="A1400">INDEX(event_table!$A$2:$A$69, RANDBETWEEN(1, COUNTA(event_table!$A$2:$A$69)))</f>
        <v>1110</v>
      </c>
      <c r="B1400" s="6">
        <f t="array" ref="B1400">IFERROR(INDEX(event_table!$E$1:$E3686,MATCH(A1400,event_table!$A$1:$A3686,0)),"")
</f>
        <v>1</v>
      </c>
      <c r="C1400" s="7">
        <f t="shared" si="1"/>
        <v>4</v>
      </c>
      <c r="D1400" s="6" t="str">
        <f t="array" ref="D1400">IFERROR(INDEX(user_table!$C$2:$C3686,MATCH(C1400,user_table!$B$2:$B3686,0)),"")
</f>
        <v>Dina Utami</v>
      </c>
      <c r="E1400" s="6" t="str">
        <f t="array" ref="E1400">IFERROR(INDEX(user_table!$E$2:$E3686,MATCH(C1400,user_table!$B$2:$B3686,0)),"")
</f>
        <v>6, 2</v>
      </c>
      <c r="F1400" s="6" t="str">
        <f t="shared" si="2"/>
        <v>1110214</v>
      </c>
      <c r="G1400" s="16">
        <v>2.0</v>
      </c>
      <c r="H1400" s="17">
        <v>44593.0</v>
      </c>
      <c r="I1400" s="18" t="s">
        <v>1383</v>
      </c>
    </row>
    <row r="1401">
      <c r="A1401" s="5" t="str">
        <f t="array" ref="A1401">INDEX(event_table!$A$2:$A$69, RANDBETWEEN(1, COUNTA(event_table!$A$2:$A$69)))</f>
        <v>118</v>
      </c>
      <c r="B1401" s="6">
        <f t="array" ref="B1401">IFERROR(INDEX(event_table!$E$1:$E3686,MATCH(A1401,event_table!$A$1:$A3686,0)),"")
</f>
        <v>1</v>
      </c>
      <c r="C1401" s="7">
        <f t="shared" si="1"/>
        <v>69</v>
      </c>
      <c r="D1401" s="6" t="str">
        <f t="array" ref="D1401">IFERROR(INDEX(user_table!$C$2:$C3686,MATCH(C1401,user_table!$B$2:$B3686,0)),"")
</f>
        <v>Citra Rahayu</v>
      </c>
      <c r="E1401" s="6" t="str">
        <f t="array" ref="E1401">IFERROR(INDEX(user_table!$E$2:$E3686,MATCH(C1401,user_table!$B$2:$B3686,0)),"")
</f>
        <v>5, 5</v>
      </c>
      <c r="F1401" s="6" t="str">
        <f t="shared" si="2"/>
        <v>1182169</v>
      </c>
      <c r="G1401" s="16">
        <v>2.0</v>
      </c>
      <c r="H1401" s="17">
        <v>45139.0</v>
      </c>
      <c r="I1401" s="18" t="s">
        <v>1384</v>
      </c>
    </row>
    <row r="1402">
      <c r="A1402" s="5" t="str">
        <f t="array" ref="A1402">INDEX(event_table!$A$2:$A$69, RANDBETWEEN(1, COUNTA(event_table!$A$2:$A$69)))</f>
        <v>1422</v>
      </c>
      <c r="B1402" s="6">
        <f t="array" ref="B1402">IFERROR(INDEX(event_table!$E$1:$E3686,MATCH(A1402,event_table!$A$1:$A3686,0)),"")
</f>
        <v>4</v>
      </c>
      <c r="C1402" s="7">
        <f t="shared" si="1"/>
        <v>79</v>
      </c>
      <c r="D1402" s="6" t="str">
        <f t="array" ref="D1402">IFERROR(INDEX(user_table!$C$2:$C3686,MATCH(C1402,user_table!$B$2:$B3686,0)),"")
</f>
        <v>Arif Nugroho</v>
      </c>
      <c r="E1402" s="6" t="str">
        <f t="array" ref="E1402">IFERROR(INDEX(user_table!$E$2:$E3686,MATCH(C1402,user_table!$B$2:$B3686,0)),"")
</f>
        <v>2, 3</v>
      </c>
      <c r="F1402" s="6" t="str">
        <f t="shared" si="2"/>
        <v>14222479</v>
      </c>
      <c r="G1402" s="16">
        <v>2.0</v>
      </c>
      <c r="H1402" s="17">
        <v>45110.0</v>
      </c>
      <c r="I1402" s="18" t="s">
        <v>1385</v>
      </c>
    </row>
    <row r="1403">
      <c r="A1403" s="5" t="str">
        <f t="array" ref="A1403">INDEX(event_table!$A$2:$A$69, RANDBETWEEN(1, COUNTA(event_table!$A$2:$A$69)))</f>
        <v>1111</v>
      </c>
      <c r="B1403" s="6">
        <f t="array" ref="B1403">IFERROR(INDEX(event_table!$E$1:$E3686,MATCH(A1403,event_table!$A$1:$A3686,0)),"")
</f>
        <v>1</v>
      </c>
      <c r="C1403" s="7">
        <f t="shared" si="1"/>
        <v>198</v>
      </c>
      <c r="D1403" s="6" t="str">
        <f t="array" ref="D1403">IFERROR(INDEX(user_table!$C$2:$C3686,MATCH(C1403,user_table!$B$2:$B3686,0)),"")
</f>
        <v>Siti Nugroho</v>
      </c>
      <c r="E1403" s="6" t="str">
        <f t="array" ref="E1403">IFERROR(INDEX(user_table!$E$2:$E3686,MATCH(C1403,user_table!$B$2:$B3686,0)),"")
</f>
        <v>5, 2</v>
      </c>
      <c r="F1403" s="6" t="str">
        <f t="shared" si="2"/>
        <v>111121198</v>
      </c>
      <c r="G1403" s="16">
        <v>2.0</v>
      </c>
      <c r="H1403" s="17">
        <v>45083.0</v>
      </c>
      <c r="I1403" s="18" t="s">
        <v>1386</v>
      </c>
    </row>
    <row r="1404">
      <c r="A1404" s="5" t="str">
        <f t="array" ref="A1404">INDEX(event_table!$A$2:$A$69, RANDBETWEEN(1, COUNTA(event_table!$A$2:$A$69)))</f>
        <v>1648</v>
      </c>
      <c r="B1404" s="6">
        <f t="array" ref="B1404">IFERROR(INDEX(event_table!$E$1:$E3686,MATCH(A1404,event_table!$A$1:$A3686,0)),"")
</f>
        <v>6</v>
      </c>
      <c r="C1404" s="7">
        <f t="shared" si="1"/>
        <v>108</v>
      </c>
      <c r="D1404" s="6" t="str">
        <f t="array" ref="D1404">IFERROR(INDEX(user_table!$C$2:$C3686,MATCH(C1404,user_table!$B$2:$B3686,0)),"")
</f>
        <v>Dewi Hadiwijaya</v>
      </c>
      <c r="E1404" s="6" t="str">
        <f t="array" ref="E1404">IFERROR(INDEX(user_table!$E$2:$E3686,MATCH(C1404,user_table!$B$2:$B3686,0)),"")
</f>
        <v>6, 6</v>
      </c>
      <c r="F1404" s="6" t="str">
        <f t="shared" si="2"/>
        <v>164826108</v>
      </c>
      <c r="G1404" s="16">
        <v>2.0</v>
      </c>
      <c r="H1404" s="17">
        <v>45079.0</v>
      </c>
      <c r="I1404" s="18" t="s">
        <v>1387</v>
      </c>
    </row>
    <row r="1405">
      <c r="A1405" s="5" t="str">
        <f t="array" ref="A1405">INDEX(event_table!$A$2:$A$69, RANDBETWEEN(1, COUNTA(event_table!$A$2:$A$69)))</f>
        <v>1648</v>
      </c>
      <c r="B1405" s="6">
        <f t="array" ref="B1405">IFERROR(INDEX(event_table!$E$1:$E3686,MATCH(A1405,event_table!$A$1:$A3686,0)),"")
</f>
        <v>6</v>
      </c>
      <c r="C1405" s="7">
        <f t="shared" si="1"/>
        <v>87</v>
      </c>
      <c r="D1405" s="6" t="str">
        <f t="array" ref="D1405">IFERROR(INDEX(user_table!$C$2:$C3686,MATCH(C1405,user_table!$B$2:$B3686,0)),"")
</f>
        <v>Budi Setiawan</v>
      </c>
      <c r="E1405" s="6" t="str">
        <f t="array" ref="E1405">IFERROR(INDEX(user_table!$E$2:$E3686,MATCH(C1405,user_table!$B$2:$B3686,0)),"")
</f>
        <v>3, 5</v>
      </c>
      <c r="F1405" s="6" t="str">
        <f t="shared" si="2"/>
        <v>16482687</v>
      </c>
      <c r="G1405" s="16">
        <v>2.0</v>
      </c>
      <c r="H1405" s="17">
        <v>45074.0</v>
      </c>
      <c r="I1405" s="18" t="s">
        <v>1388</v>
      </c>
    </row>
    <row r="1406">
      <c r="A1406" s="5" t="str">
        <f t="array" ref="A1406">INDEX(event_table!$A$2:$A$69, RANDBETWEEN(1, COUNTA(event_table!$A$2:$A$69)))</f>
        <v>116</v>
      </c>
      <c r="B1406" s="6">
        <f t="array" ref="B1406">IFERROR(INDEX(event_table!$E$1:$E3686,MATCH(A1406,event_table!$A$1:$A3686,0)),"")
</f>
        <v>1</v>
      </c>
      <c r="C1406" s="7">
        <f t="shared" si="1"/>
        <v>118</v>
      </c>
      <c r="D1406" s="6" t="str">
        <f t="array" ref="D1406">IFERROR(INDEX(user_table!$C$2:$C3686,MATCH(C1406,user_table!$B$2:$B3686,0)),"")
</f>
        <v>Ani Santoso</v>
      </c>
      <c r="E1406" s="6" t="str">
        <f t="array" ref="E1406">IFERROR(INDEX(user_table!$E$2:$E3686,MATCH(C1406,user_table!$B$2:$B3686,0)),"")
</f>
        <v>6, 1</v>
      </c>
      <c r="F1406" s="6" t="str">
        <f t="shared" si="2"/>
        <v>11611118</v>
      </c>
      <c r="G1406" s="16">
        <v>1.0</v>
      </c>
      <c r="H1406" s="17">
        <v>45267.0</v>
      </c>
      <c r="I1406" s="18" t="s">
        <v>1389</v>
      </c>
    </row>
    <row r="1407">
      <c r="A1407" s="5" t="str">
        <f t="array" ref="A1407">INDEX(event_table!$A$2:$A$69, RANDBETWEEN(1, COUNTA(event_table!$A$2:$A$69)))</f>
        <v>1335</v>
      </c>
      <c r="B1407" s="6">
        <f t="array" ref="B1407">IFERROR(INDEX(event_table!$E$1:$E3686,MATCH(A1407,event_table!$A$1:$A3686,0)),"")
</f>
        <v>3</v>
      </c>
      <c r="C1407" s="7">
        <f t="shared" si="1"/>
        <v>190</v>
      </c>
      <c r="D1407" s="6" t="str">
        <f t="array" ref="D1407">IFERROR(INDEX(user_table!$C$2:$C3686,MATCH(C1407,user_table!$B$2:$B3686,0)),"")
</f>
        <v>Fajar Santoso</v>
      </c>
      <c r="E1407" s="6" t="str">
        <f t="array" ref="E1407">IFERROR(INDEX(user_table!$E$2:$E3686,MATCH(C1407,user_table!$B$2:$B3686,0)),"")
</f>
        <v>1, 3</v>
      </c>
      <c r="F1407" s="6" t="str">
        <f t="shared" si="2"/>
        <v>133513190</v>
      </c>
      <c r="G1407" s="16">
        <v>1.0</v>
      </c>
      <c r="H1407" s="17">
        <v>45143.0</v>
      </c>
      <c r="I1407" s="18" t="s">
        <v>1390</v>
      </c>
    </row>
    <row r="1408">
      <c r="A1408" s="5" t="str">
        <f t="array" ref="A1408">INDEX(event_table!$A$2:$A$69, RANDBETWEEN(1, COUNTA(event_table!$A$2:$A$69)))</f>
        <v>1422</v>
      </c>
      <c r="B1408" s="6">
        <f t="array" ref="B1408">IFERROR(INDEX(event_table!$E$1:$E3686,MATCH(A1408,event_table!$A$1:$A3686,0)),"")
</f>
        <v>4</v>
      </c>
      <c r="C1408" s="7">
        <f t="shared" si="1"/>
        <v>97</v>
      </c>
      <c r="D1408" s="6" t="str">
        <f t="array" ref="D1408">IFERROR(INDEX(user_table!$C$2:$C3686,MATCH(C1408,user_table!$B$2:$B3686,0)),"")
</f>
        <v>Dewi Hidayat</v>
      </c>
      <c r="E1408" s="6" t="str">
        <f t="array" ref="E1408">IFERROR(INDEX(user_table!$E$2:$E3686,MATCH(C1408,user_table!$B$2:$B3686,0)),"")
</f>
        <v>2, 2</v>
      </c>
      <c r="F1408" s="6" t="str">
        <f t="shared" si="2"/>
        <v>14221497</v>
      </c>
      <c r="G1408" s="16">
        <v>1.0</v>
      </c>
      <c r="H1408" s="17">
        <v>45104.0</v>
      </c>
      <c r="I1408" s="18" t="s">
        <v>1391</v>
      </c>
    </row>
    <row r="1409">
      <c r="A1409" s="5" t="str">
        <f t="array" ref="A1409">INDEX(event_table!$A$2:$A$69, RANDBETWEEN(1, COUNTA(event_table!$A$2:$A$69)))</f>
        <v>1643</v>
      </c>
      <c r="B1409" s="6">
        <f t="array" ref="B1409">IFERROR(INDEX(event_table!$E$1:$E3686,MATCH(A1409,event_table!$A$1:$A3686,0)),"")
</f>
        <v>6</v>
      </c>
      <c r="C1409" s="7">
        <f t="shared" si="1"/>
        <v>126</v>
      </c>
      <c r="D1409" s="6" t="str">
        <f t="array" ref="D1409">IFERROR(INDEX(user_table!$C$2:$C3686,MATCH(C1409,user_table!$B$2:$B3686,0)),"")
</f>
        <v>Agus Santoso</v>
      </c>
      <c r="E1409" s="6" t="str">
        <f t="array" ref="E1409">IFERROR(INDEX(user_table!$E$2:$E3686,MATCH(C1409,user_table!$B$2:$B3686,0)),"")
</f>
        <v>3, 6</v>
      </c>
      <c r="F1409" s="6" t="str">
        <f t="shared" si="2"/>
        <v>164316126</v>
      </c>
      <c r="G1409" s="16">
        <v>1.0</v>
      </c>
      <c r="H1409" s="17">
        <v>45074.0</v>
      </c>
      <c r="I1409" s="18" t="s">
        <v>1392</v>
      </c>
    </row>
    <row r="1410">
      <c r="A1410" s="5" t="str">
        <f t="array" ref="A1410">INDEX(event_table!$A$2:$A$69, RANDBETWEEN(1, COUNTA(event_table!$A$2:$A$69)))</f>
        <v>1423</v>
      </c>
      <c r="B1410" s="6">
        <f t="array" ref="B1410">IFERROR(INDEX(event_table!$E$1:$E3686,MATCH(A1410,event_table!$A$1:$A3686,0)),"")
</f>
        <v>4</v>
      </c>
      <c r="C1410" s="7">
        <f t="shared" si="1"/>
        <v>140</v>
      </c>
      <c r="D1410" s="6" t="str">
        <f t="array" ref="D1410">IFERROR(INDEX(user_table!$C$2:$C3686,MATCH(C1410,user_table!$B$2:$B3686,0)),"")
</f>
        <v>Maya Wijaya</v>
      </c>
      <c r="E1410" s="6" t="str">
        <f t="array" ref="E1410">IFERROR(INDEX(user_table!$E$2:$E3686,MATCH(C1410,user_table!$B$2:$B3686,0)),"")
</f>
        <v>3, 2</v>
      </c>
      <c r="F1410" s="6" t="str">
        <f t="shared" si="2"/>
        <v>142314140</v>
      </c>
      <c r="G1410" s="16">
        <v>1.0</v>
      </c>
      <c r="H1410" s="17">
        <v>45047.0</v>
      </c>
      <c r="I1410" s="18" t="s">
        <v>1393</v>
      </c>
    </row>
    <row r="1411">
      <c r="A1411" s="5" t="str">
        <f t="array" ref="A1411">INDEX(event_table!$A$2:$A$69, RANDBETWEEN(1, COUNTA(event_table!$A$2:$A$69)))</f>
        <v>1111</v>
      </c>
      <c r="B1411" s="6">
        <f t="array" ref="B1411">IFERROR(INDEX(event_table!$E$1:$E3686,MATCH(A1411,event_table!$A$1:$A3686,0)),"")
</f>
        <v>1</v>
      </c>
      <c r="C1411" s="7">
        <f t="shared" si="1"/>
        <v>178</v>
      </c>
      <c r="D1411" s="6" t="str">
        <f t="array" ref="D1411">IFERROR(INDEX(user_table!$C$2:$C3686,MATCH(C1411,user_table!$B$2:$B3686,0)),"")
</f>
        <v>Dewi Hidayat</v>
      </c>
      <c r="E1411" s="6" t="str">
        <f t="array" ref="E1411">IFERROR(INDEX(user_table!$E$2:$E3686,MATCH(C1411,user_table!$B$2:$B3686,0)),"")
</f>
        <v>3, 2</v>
      </c>
      <c r="F1411" s="6" t="str">
        <f t="shared" si="2"/>
        <v>111111178</v>
      </c>
      <c r="G1411" s="16">
        <v>1.0</v>
      </c>
      <c r="H1411" s="17">
        <v>45038.0</v>
      </c>
      <c r="I1411" s="18" t="s">
        <v>1394</v>
      </c>
    </row>
    <row r="1412">
      <c r="A1412" s="5" t="str">
        <f t="array" ref="A1412">INDEX(event_table!$A$2:$A$69, RANDBETWEEN(1, COUNTA(event_table!$A$2:$A$69)))</f>
        <v>1639</v>
      </c>
      <c r="B1412" s="6">
        <f t="array" ref="B1412">IFERROR(INDEX(event_table!$E$1:$E3686,MATCH(A1412,event_table!$A$1:$A3686,0)),"")
</f>
        <v>6</v>
      </c>
      <c r="C1412" s="7">
        <f t="shared" si="1"/>
        <v>123</v>
      </c>
      <c r="D1412" s="6" t="str">
        <f t="array" ref="D1412">IFERROR(INDEX(user_table!$C$2:$C3686,MATCH(C1412,user_table!$B$2:$B3686,0)),"")
</f>
        <v>Lina Hartono</v>
      </c>
      <c r="E1412" s="6" t="str">
        <f t="array" ref="E1412">IFERROR(INDEX(user_table!$E$2:$E3686,MATCH(C1412,user_table!$B$2:$B3686,0)),"")
</f>
        <v>6, 5</v>
      </c>
      <c r="F1412" s="6" t="str">
        <f t="shared" si="2"/>
        <v>163916123</v>
      </c>
      <c r="G1412" s="16">
        <v>1.0</v>
      </c>
      <c r="H1412" s="17">
        <v>45029.0</v>
      </c>
      <c r="I1412" s="18" t="s">
        <v>1395</v>
      </c>
    </row>
    <row r="1413">
      <c r="A1413" s="5" t="str">
        <f t="array" ref="A1413">INDEX(event_table!$A$2:$A$69, RANDBETWEEN(1, COUNTA(event_table!$A$2:$A$69)))</f>
        <v>1640</v>
      </c>
      <c r="B1413" s="6">
        <f t="array" ref="B1413">IFERROR(INDEX(event_table!$E$1:$E3686,MATCH(A1413,event_table!$A$1:$A3686,0)),"")
</f>
        <v>6</v>
      </c>
      <c r="C1413" s="7">
        <f t="shared" si="1"/>
        <v>148</v>
      </c>
      <c r="D1413" s="6" t="str">
        <f t="array" ref="D1413">IFERROR(INDEX(user_table!$C$2:$C3686,MATCH(C1413,user_table!$B$2:$B3686,0)),"")
</f>
        <v>Fajar Setiawan</v>
      </c>
      <c r="E1413" s="6" t="str">
        <f t="array" ref="E1413">IFERROR(INDEX(user_table!$E$2:$E3686,MATCH(C1413,user_table!$B$2:$B3686,0)),"")
</f>
        <v>6, 4</v>
      </c>
      <c r="F1413" s="6" t="str">
        <f t="shared" si="2"/>
        <v>164056148</v>
      </c>
      <c r="G1413" s="16">
        <v>5.0</v>
      </c>
      <c r="H1413" s="17">
        <v>44748.0</v>
      </c>
      <c r="I1413" s="18" t="s">
        <v>1396</v>
      </c>
    </row>
    <row r="1414">
      <c r="A1414" s="5" t="str">
        <f t="array" ref="A1414">INDEX(event_table!$A$2:$A$69, RANDBETWEEN(1, COUNTA(event_table!$A$2:$A$69)))</f>
        <v>1110</v>
      </c>
      <c r="B1414" s="6">
        <f t="array" ref="B1414">IFERROR(INDEX(event_table!$E$1:$E3686,MATCH(A1414,event_table!$A$1:$A3686,0)),"")
</f>
        <v>1</v>
      </c>
      <c r="C1414" s="7">
        <f t="shared" si="1"/>
        <v>168</v>
      </c>
      <c r="D1414" s="6" t="str">
        <f t="array" ref="D1414">IFERROR(INDEX(user_table!$C$2:$C3686,MATCH(C1414,user_table!$B$2:$B3686,0)),"")
</f>
        <v>Lina Kurniawan</v>
      </c>
      <c r="E1414" s="6" t="str">
        <f t="array" ref="E1414">IFERROR(INDEX(user_table!$E$2:$E3686,MATCH(C1414,user_table!$B$2:$B3686,0)),"")
</f>
        <v>2, 2</v>
      </c>
      <c r="F1414" s="6" t="str">
        <f t="shared" si="2"/>
        <v>111051168</v>
      </c>
      <c r="G1414" s="16">
        <v>5.0</v>
      </c>
      <c r="H1414" s="17">
        <v>44744.0</v>
      </c>
      <c r="I1414" s="18" t="s">
        <v>1397</v>
      </c>
    </row>
    <row r="1415">
      <c r="A1415" s="5" t="str">
        <f t="array" ref="A1415">INDEX(event_table!$A$2:$A$69, RANDBETWEEN(1, COUNTA(event_table!$A$2:$A$69)))</f>
        <v>1212</v>
      </c>
      <c r="B1415" s="6">
        <f t="array" ref="B1415">IFERROR(INDEX(event_table!$E$1:$E3686,MATCH(A1415,event_table!$A$1:$A3686,0)),"")
</f>
        <v>2</v>
      </c>
      <c r="C1415" s="7">
        <f t="shared" si="1"/>
        <v>10</v>
      </c>
      <c r="D1415" s="6" t="str">
        <f t="array" ref="D1415">IFERROR(INDEX(user_table!$C$2:$C3686,MATCH(C1415,user_table!$B$2:$B3686,0)),"")
</f>
        <v>Dina Susanto</v>
      </c>
      <c r="E1415" s="6" t="str">
        <f t="array" ref="E1415">IFERROR(INDEX(user_table!$E$2:$E3686,MATCH(C1415,user_table!$B$2:$B3686,0)),"")
</f>
        <v>4, 5</v>
      </c>
      <c r="F1415" s="6" t="str">
        <f t="shared" si="2"/>
        <v>12125210</v>
      </c>
      <c r="G1415" s="16">
        <v>5.0</v>
      </c>
      <c r="H1415" s="17">
        <v>44733.0</v>
      </c>
      <c r="I1415" s="18" t="s">
        <v>1398</v>
      </c>
    </row>
    <row r="1416">
      <c r="A1416" s="5" t="str">
        <f t="array" ref="A1416">INDEX(event_table!$A$2:$A$69, RANDBETWEEN(1, COUNTA(event_table!$A$2:$A$69)))</f>
        <v>1531</v>
      </c>
      <c r="B1416" s="6">
        <f t="array" ref="B1416">IFERROR(INDEX(event_table!$E$1:$E3686,MATCH(A1416,event_table!$A$1:$A3686,0)),"")
</f>
        <v>5</v>
      </c>
      <c r="C1416" s="7">
        <f t="shared" si="1"/>
        <v>85</v>
      </c>
      <c r="D1416" s="6" t="str">
        <f t="array" ref="D1416">IFERROR(INDEX(user_table!$C$2:$C3686,MATCH(C1416,user_table!$B$2:$B3686,0)),"")
</f>
        <v>Maya Susanto</v>
      </c>
      <c r="E1416" s="6" t="str">
        <f t="array" ref="E1416">IFERROR(INDEX(user_table!$E$2:$E3686,MATCH(C1416,user_table!$B$2:$B3686,0)),"")
</f>
        <v>6, 5</v>
      </c>
      <c r="F1416" s="6" t="str">
        <f t="shared" si="2"/>
        <v>15315585</v>
      </c>
      <c r="G1416" s="16">
        <v>5.0</v>
      </c>
      <c r="H1416" s="17">
        <v>44723.0</v>
      </c>
      <c r="I1416" s="18" t="s">
        <v>1399</v>
      </c>
    </row>
    <row r="1417">
      <c r="A1417" s="5" t="str">
        <f t="array" ref="A1417">INDEX(event_table!$A$2:$A$69, RANDBETWEEN(1, COUNTA(event_table!$A$2:$A$69)))</f>
        <v>3163</v>
      </c>
      <c r="B1417" s="6">
        <f t="array" ref="B1417">IFERROR(INDEX(event_table!$E$1:$E3686,MATCH(A1417,event_table!$A$1:$A3686,0)),"")
</f>
        <v>1</v>
      </c>
      <c r="C1417" s="7">
        <f t="shared" si="1"/>
        <v>26</v>
      </c>
      <c r="D1417" s="6" t="str">
        <f t="array" ref="D1417">IFERROR(INDEX(user_table!$C$2:$C3686,MATCH(C1417,user_table!$B$2:$B3686,0)),"")
</f>
        <v>Citra Sari</v>
      </c>
      <c r="E1417" s="6" t="str">
        <f t="array" ref="E1417">IFERROR(INDEX(user_table!$E$2:$E3686,MATCH(C1417,user_table!$B$2:$B3686,0)),"")
</f>
        <v>5, 1</v>
      </c>
      <c r="F1417" s="6" t="str">
        <f t="shared" si="2"/>
        <v>31635126</v>
      </c>
      <c r="G1417" s="16">
        <v>5.0</v>
      </c>
      <c r="H1417" s="17">
        <v>44714.0</v>
      </c>
      <c r="I1417" s="18" t="s">
        <v>1400</v>
      </c>
    </row>
    <row r="1418">
      <c r="A1418" s="5" t="str">
        <f t="array" ref="A1418">INDEX(event_table!$A$2:$A$69, RANDBETWEEN(1, COUNTA(event_table!$A$2:$A$69)))</f>
        <v>1648</v>
      </c>
      <c r="B1418" s="6">
        <f t="array" ref="B1418">IFERROR(INDEX(event_table!$E$1:$E3686,MATCH(A1418,event_table!$A$1:$A3686,0)),"")
</f>
        <v>6</v>
      </c>
      <c r="C1418" s="7">
        <f t="shared" si="1"/>
        <v>29</v>
      </c>
      <c r="D1418" s="6" t="str">
        <f t="array" ref="D1418">IFERROR(INDEX(user_table!$C$2:$C3686,MATCH(C1418,user_table!$B$2:$B3686,0)),"")
</f>
        <v>Bambang Putri</v>
      </c>
      <c r="E1418" s="6" t="str">
        <f t="array" ref="E1418">IFERROR(INDEX(user_table!$E$2:$E3686,MATCH(C1418,user_table!$B$2:$B3686,0)),"")
</f>
        <v>3, 4</v>
      </c>
      <c r="F1418" s="6" t="str">
        <f t="shared" si="2"/>
        <v>16485629</v>
      </c>
      <c r="G1418" s="16">
        <v>5.0</v>
      </c>
      <c r="H1418" s="17">
        <v>44695.0</v>
      </c>
      <c r="I1418" s="18" t="s">
        <v>1401</v>
      </c>
    </row>
    <row r="1419">
      <c r="A1419" s="5" t="str">
        <f t="array" ref="A1419">INDEX(event_table!$A$2:$A$69, RANDBETWEEN(1, COUNTA(event_table!$A$2:$A$69)))</f>
        <v>3164</v>
      </c>
      <c r="B1419" s="6">
        <f t="array" ref="B1419">IFERROR(INDEX(event_table!$E$1:$E3686,MATCH(A1419,event_table!$A$1:$A3686,0)),"")
</f>
        <v>1</v>
      </c>
      <c r="C1419" s="7">
        <f t="shared" si="1"/>
        <v>88</v>
      </c>
      <c r="D1419" s="6" t="str">
        <f t="array" ref="D1419">IFERROR(INDEX(user_table!$C$2:$C3686,MATCH(C1419,user_table!$B$2:$B3686,0)),"")
</f>
        <v>Fajar Hadiwijaya</v>
      </c>
      <c r="E1419" s="6" t="str">
        <f t="array" ref="E1419">IFERROR(INDEX(user_table!$E$2:$E3686,MATCH(C1419,user_table!$B$2:$B3686,0)),"")
</f>
        <v>2, 6</v>
      </c>
      <c r="F1419" s="6" t="str">
        <f t="shared" si="2"/>
        <v>31645188</v>
      </c>
      <c r="G1419" s="16">
        <v>5.0</v>
      </c>
      <c r="H1419" s="17">
        <v>44690.0</v>
      </c>
      <c r="I1419" s="18" t="s">
        <v>1402</v>
      </c>
    </row>
    <row r="1420">
      <c r="A1420" s="5" t="str">
        <f t="array" ref="A1420">INDEX(event_table!$A$2:$A$69, RANDBETWEEN(1, COUNTA(event_table!$A$2:$A$69)))</f>
        <v>1529</v>
      </c>
      <c r="B1420" s="6">
        <f t="array" ref="B1420">IFERROR(INDEX(event_table!$E$1:$E3686,MATCH(A1420,event_table!$A$1:$A3686,0)),"")
</f>
        <v>5</v>
      </c>
      <c r="C1420" s="7">
        <f t="shared" si="1"/>
        <v>140</v>
      </c>
      <c r="D1420" s="6" t="str">
        <f t="array" ref="D1420">IFERROR(INDEX(user_table!$C$2:$C3686,MATCH(C1420,user_table!$B$2:$B3686,0)),"")
</f>
        <v>Maya Wijaya</v>
      </c>
      <c r="E1420" s="6" t="str">
        <f t="array" ref="E1420">IFERROR(INDEX(user_table!$E$2:$E3686,MATCH(C1420,user_table!$B$2:$B3686,0)),"")
</f>
        <v>3, 2</v>
      </c>
      <c r="F1420" s="6" t="str">
        <f t="shared" si="2"/>
        <v>152955140</v>
      </c>
      <c r="G1420" s="16">
        <v>5.0</v>
      </c>
      <c r="H1420" s="17">
        <v>45233.0</v>
      </c>
      <c r="I1420" s="18" t="s">
        <v>706</v>
      </c>
    </row>
    <row r="1421">
      <c r="A1421" s="5" t="str">
        <f t="array" ref="A1421">INDEX(event_table!$A$2:$A$69, RANDBETWEEN(1, COUNTA(event_table!$A$2:$A$69)))</f>
        <v>3168</v>
      </c>
      <c r="B1421" s="6">
        <f t="array" ref="B1421">IFERROR(INDEX(event_table!$E$1:$E3686,MATCH(A1421,event_table!$A$1:$A3686,0)),"")
</f>
        <v>1</v>
      </c>
      <c r="C1421" s="7">
        <f t="shared" si="1"/>
        <v>175</v>
      </c>
      <c r="D1421" s="6" t="str">
        <f t="array" ref="D1421">IFERROR(INDEX(user_table!$C$2:$C3686,MATCH(C1421,user_table!$B$2:$B3686,0)),"")
</f>
        <v>Siti Septiani</v>
      </c>
      <c r="E1421" s="6" t="str">
        <f t="array" ref="E1421">IFERROR(INDEX(user_table!$E$2:$E3686,MATCH(C1421,user_table!$B$2:$B3686,0)),"")
</f>
        <v>2, 5</v>
      </c>
      <c r="F1421" s="6" t="str">
        <f t="shared" si="2"/>
        <v>316851175</v>
      </c>
      <c r="G1421" s="16">
        <v>5.0</v>
      </c>
      <c r="H1421" s="17">
        <v>45110.0</v>
      </c>
      <c r="I1421" s="18" t="s">
        <v>1403</v>
      </c>
    </row>
    <row r="1422">
      <c r="A1422" s="5" t="str">
        <f t="array" ref="A1422">INDEX(event_table!$A$2:$A$69, RANDBETWEEN(1, COUNTA(event_table!$A$2:$A$69)))</f>
        <v>1639</v>
      </c>
      <c r="B1422" s="6">
        <f t="array" ref="B1422">IFERROR(INDEX(event_table!$E$1:$E3686,MATCH(A1422,event_table!$A$1:$A3686,0)),"")
</f>
        <v>6</v>
      </c>
      <c r="C1422" s="7">
        <f t="shared" si="1"/>
        <v>42</v>
      </c>
      <c r="D1422" s="6" t="str">
        <f t="array" ref="D1422">IFERROR(INDEX(user_table!$C$2:$C3686,MATCH(C1422,user_table!$B$2:$B3686,0)),"")
</f>
        <v>Desi Putri</v>
      </c>
      <c r="E1422" s="6" t="str">
        <f t="array" ref="E1422">IFERROR(INDEX(user_table!$E$2:$E3686,MATCH(C1422,user_table!$B$2:$B3686,0)),"")
</f>
        <v>4, 6</v>
      </c>
      <c r="F1422" s="6" t="str">
        <f t="shared" si="2"/>
        <v>16395642</v>
      </c>
      <c r="G1422" s="16">
        <v>5.0</v>
      </c>
      <c r="H1422" s="17">
        <v>44955.0</v>
      </c>
      <c r="I1422" s="18" t="s">
        <v>1404</v>
      </c>
    </row>
    <row r="1423">
      <c r="A1423" s="5" t="str">
        <f t="array" ref="A1423">INDEX(event_table!$A$2:$A$69, RANDBETWEEN(1, COUNTA(event_table!$A$2:$A$69)))</f>
        <v>1526</v>
      </c>
      <c r="B1423" s="6">
        <f t="array" ref="B1423">IFERROR(INDEX(event_table!$E$1:$E3686,MATCH(A1423,event_table!$A$1:$A3686,0)),"")
</f>
        <v>5</v>
      </c>
      <c r="C1423" s="7">
        <f t="shared" si="1"/>
        <v>34</v>
      </c>
      <c r="D1423" s="6" t="str">
        <f t="array" ref="D1423">IFERROR(INDEX(user_table!$C$2:$C3686,MATCH(C1423,user_table!$B$2:$B3686,0)),"")
</f>
        <v>Bambang Putri</v>
      </c>
      <c r="E1423" s="6" t="str">
        <f t="array" ref="E1423">IFERROR(INDEX(user_table!$E$2:$E3686,MATCH(C1423,user_table!$B$2:$B3686,0)),"")
</f>
        <v>3, 5</v>
      </c>
      <c r="F1423" s="6" t="str">
        <f t="shared" si="2"/>
        <v>15265534</v>
      </c>
      <c r="G1423" s="16">
        <v>5.0</v>
      </c>
      <c r="H1423" s="17">
        <v>44873.0</v>
      </c>
      <c r="I1423" s="18" t="s">
        <v>1405</v>
      </c>
    </row>
    <row r="1424">
      <c r="A1424" s="5" t="str">
        <f t="array" ref="A1424">INDEX(event_table!$A$2:$A$69, RANDBETWEEN(1, COUNTA(event_table!$A$2:$A$69)))</f>
        <v>1643</v>
      </c>
      <c r="B1424" s="6">
        <f t="array" ref="B1424">IFERROR(INDEX(event_table!$E$1:$E3686,MATCH(A1424,event_table!$A$1:$A3686,0)),"")
</f>
        <v>6</v>
      </c>
      <c r="C1424" s="7">
        <f t="shared" si="1"/>
        <v>144</v>
      </c>
      <c r="D1424" s="6" t="str">
        <f t="array" ref="D1424">IFERROR(INDEX(user_table!$C$2:$C3686,MATCH(C1424,user_table!$B$2:$B3686,0)),"")
</f>
        <v>Sinta Rahayu</v>
      </c>
      <c r="E1424" s="6" t="str">
        <f t="array" ref="E1424">IFERROR(INDEX(user_table!$E$2:$E3686,MATCH(C1424,user_table!$B$2:$B3686,0)),"")
</f>
        <v>6, 3</v>
      </c>
      <c r="F1424" s="6" t="str">
        <f t="shared" si="2"/>
        <v>164356144</v>
      </c>
      <c r="G1424" s="16">
        <v>5.0</v>
      </c>
      <c r="H1424" s="17">
        <v>44780.0</v>
      </c>
      <c r="I1424" s="18" t="s">
        <v>1406</v>
      </c>
    </row>
    <row r="1425">
      <c r="A1425" s="5" t="str">
        <f t="array" ref="A1425">INDEX(event_table!$A$2:$A$69, RANDBETWEEN(1, COUNTA(event_table!$A$2:$A$69)))</f>
        <v>1530</v>
      </c>
      <c r="B1425" s="6">
        <f t="array" ref="B1425">IFERROR(INDEX(event_table!$E$1:$E3686,MATCH(A1425,event_table!$A$1:$A3686,0)),"")
</f>
        <v>5</v>
      </c>
      <c r="C1425" s="7">
        <f t="shared" si="1"/>
        <v>164</v>
      </c>
      <c r="D1425" s="6" t="str">
        <f t="array" ref="D1425">IFERROR(INDEX(user_table!$C$2:$C3686,MATCH(C1425,user_table!$B$2:$B3686,0)),"")
</f>
        <v>Bambang Purnama</v>
      </c>
      <c r="E1425" s="6" t="str">
        <f t="array" ref="E1425">IFERROR(INDEX(user_table!$E$2:$E3686,MATCH(C1425,user_table!$B$2:$B3686,0)),"")
</f>
        <v>2, 3</v>
      </c>
      <c r="F1425" s="6" t="str">
        <f t="shared" si="2"/>
        <v>153055164</v>
      </c>
      <c r="G1425" s="16">
        <v>5.0</v>
      </c>
      <c r="H1425" s="17">
        <v>44766.0</v>
      </c>
      <c r="I1425" s="18" t="s">
        <v>1407</v>
      </c>
    </row>
    <row r="1426">
      <c r="A1426" s="5" t="str">
        <f t="array" ref="A1426">INDEX(event_table!$A$2:$A$69, RANDBETWEEN(1, COUNTA(event_table!$A$2:$A$69)))</f>
        <v>116</v>
      </c>
      <c r="B1426" s="6">
        <f t="array" ref="B1426">IFERROR(INDEX(event_table!$E$1:$E3686,MATCH(A1426,event_table!$A$1:$A3686,0)),"")
</f>
        <v>1</v>
      </c>
      <c r="C1426" s="7">
        <f t="shared" si="1"/>
        <v>28</v>
      </c>
      <c r="D1426" s="6" t="str">
        <f t="array" ref="D1426">IFERROR(INDEX(user_table!$C$2:$C3686,MATCH(C1426,user_table!$B$2:$B3686,0)),"")
</f>
        <v>Fandi Putri</v>
      </c>
      <c r="E1426" s="6" t="str">
        <f t="array" ref="E1426">IFERROR(INDEX(user_table!$E$2:$E3686,MATCH(C1426,user_table!$B$2:$B3686,0)),"")
</f>
        <v>5, 1</v>
      </c>
      <c r="F1426" s="6" t="str">
        <f t="shared" si="2"/>
        <v>1165128</v>
      </c>
      <c r="G1426" s="16">
        <v>5.0</v>
      </c>
      <c r="H1426" s="17">
        <v>44703.0</v>
      </c>
      <c r="I1426" s="18" t="s">
        <v>1408</v>
      </c>
    </row>
    <row r="1427">
      <c r="A1427" s="5" t="str">
        <f t="array" ref="A1427">INDEX(event_table!$A$2:$A$69, RANDBETWEEN(1, COUNTA(event_table!$A$2:$A$69)))</f>
        <v>3658</v>
      </c>
      <c r="B1427" s="6">
        <f t="array" ref="B1427">IFERROR(INDEX(event_table!$E$1:$E3686,MATCH(A1427,event_table!$A$1:$A3686,0)),"")
</f>
        <v>6</v>
      </c>
      <c r="C1427" s="7">
        <f t="shared" si="1"/>
        <v>107</v>
      </c>
      <c r="D1427" s="6" t="str">
        <f t="array" ref="D1427">IFERROR(INDEX(user_table!$C$2:$C3686,MATCH(C1427,user_table!$B$2:$B3686,0)),"")
</f>
        <v>Citra Rahayu</v>
      </c>
      <c r="E1427" s="6" t="str">
        <f t="array" ref="E1427">IFERROR(INDEX(user_table!$E$2:$E3686,MATCH(C1427,user_table!$B$2:$B3686,0)),"")
</f>
        <v>1, 5</v>
      </c>
      <c r="F1427" s="6" t="str">
        <f t="shared" si="2"/>
        <v>365856107</v>
      </c>
      <c r="G1427" s="16">
        <v>5.0</v>
      </c>
      <c r="H1427" s="17">
        <v>44690.0</v>
      </c>
      <c r="I1427" s="18" t="s">
        <v>1409</v>
      </c>
    </row>
    <row r="1428">
      <c r="A1428" s="5" t="str">
        <f t="array" ref="A1428">INDEX(event_table!$A$2:$A$69, RANDBETWEEN(1, COUNTA(event_table!$A$2:$A$69)))</f>
        <v>3165</v>
      </c>
      <c r="B1428" s="6">
        <f t="array" ref="B1428">IFERROR(INDEX(event_table!$E$1:$E3686,MATCH(A1428,event_table!$A$1:$A3686,0)),"")
</f>
        <v>1</v>
      </c>
      <c r="C1428" s="7">
        <f t="shared" si="1"/>
        <v>122</v>
      </c>
      <c r="D1428" s="6" t="str">
        <f t="array" ref="D1428">IFERROR(INDEX(user_table!$C$2:$C3686,MATCH(C1428,user_table!$B$2:$B3686,0)),"")
</f>
        <v>Maya Setiawan</v>
      </c>
      <c r="E1428" s="6" t="str">
        <f t="array" ref="E1428">IFERROR(INDEX(user_table!$E$2:$E3686,MATCH(C1428,user_table!$B$2:$B3686,0)),"")
</f>
        <v>2, 3</v>
      </c>
      <c r="F1428" s="6" t="str">
        <f t="shared" si="2"/>
        <v>316541122</v>
      </c>
      <c r="G1428" s="16">
        <v>4.0</v>
      </c>
      <c r="H1428" s="17">
        <v>45099.0</v>
      </c>
      <c r="I1428" s="18" t="s">
        <v>1410</v>
      </c>
    </row>
    <row r="1429">
      <c r="A1429" s="5" t="str">
        <f t="array" ref="A1429">INDEX(event_table!$A$2:$A$69, RANDBETWEEN(1, COUNTA(event_table!$A$2:$A$69)))</f>
        <v>3356</v>
      </c>
      <c r="B1429" s="6">
        <f t="array" ref="B1429">IFERROR(INDEX(event_table!$E$1:$E3686,MATCH(A1429,event_table!$A$1:$A3686,0)),"")
</f>
        <v>3</v>
      </c>
      <c r="C1429" s="7">
        <f t="shared" si="1"/>
        <v>151</v>
      </c>
      <c r="D1429" s="6" t="str">
        <f t="array" ref="D1429">IFERROR(INDEX(user_table!$C$2:$C3686,MATCH(C1429,user_table!$B$2:$B3686,0)),"")
</f>
        <v>Maya Hidayat</v>
      </c>
      <c r="E1429" s="6" t="str">
        <f t="array" ref="E1429">IFERROR(INDEX(user_table!$E$2:$E3686,MATCH(C1429,user_table!$B$2:$B3686,0)),"")
</f>
        <v>2, 3</v>
      </c>
      <c r="F1429" s="6" t="str">
        <f t="shared" si="2"/>
        <v>335643151</v>
      </c>
      <c r="G1429" s="16">
        <v>4.0</v>
      </c>
      <c r="H1429" s="17">
        <v>45031.0</v>
      </c>
      <c r="I1429" s="18" t="s">
        <v>1411</v>
      </c>
    </row>
    <row r="1430">
      <c r="A1430" s="5" t="str">
        <f t="array" ref="A1430">INDEX(event_table!$A$2:$A$69, RANDBETWEEN(1, COUNTA(event_table!$A$2:$A$69)))</f>
        <v>1334</v>
      </c>
      <c r="B1430" s="6">
        <f t="array" ref="B1430">IFERROR(INDEX(event_table!$E$1:$E3686,MATCH(A1430,event_table!$A$1:$A3686,0)),"")
</f>
        <v>3</v>
      </c>
      <c r="C1430" s="7">
        <f t="shared" si="1"/>
        <v>107</v>
      </c>
      <c r="D1430" s="6" t="str">
        <f t="array" ref="D1430">IFERROR(INDEX(user_table!$C$2:$C3686,MATCH(C1430,user_table!$B$2:$B3686,0)),"")
</f>
        <v>Citra Rahayu</v>
      </c>
      <c r="E1430" s="6" t="str">
        <f t="array" ref="E1430">IFERROR(INDEX(user_table!$E$2:$E3686,MATCH(C1430,user_table!$B$2:$B3686,0)),"")
</f>
        <v>1, 5</v>
      </c>
      <c r="F1430" s="6" t="str">
        <f t="shared" si="2"/>
        <v>133443107</v>
      </c>
      <c r="G1430" s="16">
        <v>4.0</v>
      </c>
      <c r="H1430" s="17">
        <v>44851.0</v>
      </c>
      <c r="I1430" s="18" t="s">
        <v>1412</v>
      </c>
    </row>
    <row r="1431">
      <c r="A1431" s="5" t="str">
        <f t="array" ref="A1431">INDEX(event_table!$A$2:$A$69, RANDBETWEEN(1, COUNTA(event_table!$A$2:$A$69)))</f>
        <v>1641</v>
      </c>
      <c r="B1431" s="6">
        <f t="array" ref="B1431">IFERROR(INDEX(event_table!$E$1:$E3686,MATCH(A1431,event_table!$A$1:$A3686,0)),"")
</f>
        <v>6</v>
      </c>
      <c r="C1431" s="7">
        <f t="shared" si="1"/>
        <v>146</v>
      </c>
      <c r="D1431" s="6" t="str">
        <f t="array" ref="D1431">IFERROR(INDEX(user_table!$C$2:$C3686,MATCH(C1431,user_table!$B$2:$B3686,0)),"")
</f>
        <v>Rudi Susanto</v>
      </c>
      <c r="E1431" s="6" t="str">
        <f t="array" ref="E1431">IFERROR(INDEX(user_table!$E$2:$E3686,MATCH(C1431,user_table!$B$2:$B3686,0)),"")
</f>
        <v>6, 1</v>
      </c>
      <c r="F1431" s="6" t="str">
        <f t="shared" si="2"/>
        <v>164146146</v>
      </c>
      <c r="G1431" s="16">
        <v>4.0</v>
      </c>
      <c r="H1431" s="17">
        <v>44719.0</v>
      </c>
      <c r="I1431" s="18" t="s">
        <v>1413</v>
      </c>
    </row>
    <row r="1432">
      <c r="A1432" s="5" t="str">
        <f t="array" ref="A1432">INDEX(event_table!$A$2:$A$69, RANDBETWEEN(1, COUNTA(event_table!$A$2:$A$69)))</f>
        <v>111</v>
      </c>
      <c r="B1432" s="6">
        <f t="array" ref="B1432">IFERROR(INDEX(event_table!$E$1:$E3686,MATCH(A1432,event_table!$A$1:$A3686,0)),"")
</f>
        <v>1</v>
      </c>
      <c r="C1432" s="7">
        <f t="shared" si="1"/>
        <v>159</v>
      </c>
      <c r="D1432" s="6" t="str">
        <f t="array" ref="D1432">IFERROR(INDEX(user_table!$C$2:$C3686,MATCH(C1432,user_table!$B$2:$B3686,0)),"")
</f>
        <v>Rudi Santoso</v>
      </c>
      <c r="E1432" s="6" t="str">
        <f t="array" ref="E1432">IFERROR(INDEX(user_table!$E$2:$E3686,MATCH(C1432,user_table!$B$2:$B3686,0)),"")
</f>
        <v>5, 1</v>
      </c>
      <c r="F1432" s="6" t="str">
        <f t="shared" si="2"/>
        <v>11141159</v>
      </c>
      <c r="G1432" s="16">
        <v>4.0</v>
      </c>
      <c r="H1432" s="17">
        <v>44704.0</v>
      </c>
      <c r="I1432" s="18" t="s">
        <v>1414</v>
      </c>
    </row>
    <row r="1433">
      <c r="A1433" s="5" t="str">
        <f t="array" ref="A1433">INDEX(event_table!$A$2:$A$69, RANDBETWEEN(1, COUNTA(event_table!$A$2:$A$69)))</f>
        <v>1529</v>
      </c>
      <c r="B1433" s="6">
        <f t="array" ref="B1433">IFERROR(INDEX(event_table!$E$1:$E3686,MATCH(A1433,event_table!$A$1:$A3686,0)),"")
</f>
        <v>5</v>
      </c>
      <c r="C1433" s="7">
        <f t="shared" si="1"/>
        <v>3</v>
      </c>
      <c r="D1433" s="6" t="str">
        <f t="array" ref="D1433">IFERROR(INDEX(user_table!$C$2:$C3686,MATCH(C1433,user_table!$B$2:$B3686,0)),"")
</f>
        <v>Fandi Wijaya</v>
      </c>
      <c r="E1433" s="6" t="str">
        <f t="array" ref="E1433">IFERROR(INDEX(user_table!$E$2:$E3686,MATCH(C1433,user_table!$B$2:$B3686,0)),"")
</f>
        <v>6, 1</v>
      </c>
      <c r="F1433" s="6" t="str">
        <f t="shared" si="2"/>
        <v>1529453</v>
      </c>
      <c r="G1433" s="16">
        <v>4.0</v>
      </c>
      <c r="H1433" s="17">
        <v>44839.0</v>
      </c>
      <c r="I1433" s="18" t="s">
        <v>1415</v>
      </c>
    </row>
    <row r="1434">
      <c r="A1434" s="5" t="str">
        <f t="array" ref="A1434">INDEX(event_table!$A$2:$A$69, RANDBETWEEN(1, COUNTA(event_table!$A$2:$A$69)))</f>
        <v>1553</v>
      </c>
      <c r="B1434" s="6">
        <f t="array" ref="B1434">IFERROR(INDEX(event_table!$E$1:$E3686,MATCH(A1434,event_table!$A$1:$A3686,0)),"")
</f>
        <v>5</v>
      </c>
      <c r="C1434" s="7">
        <f t="shared" si="1"/>
        <v>181</v>
      </c>
      <c r="D1434" s="6" t="str">
        <f t="array" ref="D1434">IFERROR(INDEX(user_table!$C$2:$C3686,MATCH(C1434,user_table!$B$2:$B3686,0)),"")
</f>
        <v>Andi Hadiwijaya</v>
      </c>
      <c r="E1434" s="6" t="str">
        <f t="array" ref="E1434">IFERROR(INDEX(user_table!$E$2:$E3686,MATCH(C1434,user_table!$B$2:$B3686,0)),"")
</f>
        <v>3, 2</v>
      </c>
      <c r="F1434" s="6" t="str">
        <f t="shared" si="2"/>
        <v>155345181</v>
      </c>
      <c r="G1434" s="16">
        <v>4.0</v>
      </c>
      <c r="H1434" s="17">
        <v>44839.0</v>
      </c>
      <c r="I1434" s="18" t="s">
        <v>1416</v>
      </c>
    </row>
    <row r="1435">
      <c r="A1435" s="5" t="str">
        <f t="array" ref="A1435">INDEX(event_table!$A$2:$A$69, RANDBETWEEN(1, COUNTA(event_table!$A$2:$A$69)))</f>
        <v>3165</v>
      </c>
      <c r="B1435" s="6">
        <f t="array" ref="B1435">IFERROR(INDEX(event_table!$E$1:$E3686,MATCH(A1435,event_table!$A$1:$A3686,0)),"")
</f>
        <v>1</v>
      </c>
      <c r="C1435" s="7">
        <f t="shared" si="1"/>
        <v>52</v>
      </c>
      <c r="D1435" s="6" t="str">
        <f t="array" ref="D1435">IFERROR(INDEX(user_table!$C$2:$C3686,MATCH(C1435,user_table!$B$2:$B3686,0)),"")
</f>
        <v>Ani Nurhayati</v>
      </c>
      <c r="E1435" s="6" t="str">
        <f t="array" ref="E1435">IFERROR(INDEX(user_table!$E$2:$E3686,MATCH(C1435,user_table!$B$2:$B3686,0)),"")
</f>
        <v>2, 2</v>
      </c>
      <c r="F1435" s="6" t="str">
        <f t="shared" si="2"/>
        <v>31654152</v>
      </c>
      <c r="G1435" s="16">
        <v>4.0</v>
      </c>
      <c r="H1435" s="17">
        <v>44704.0</v>
      </c>
      <c r="I1435" s="18" t="s">
        <v>1417</v>
      </c>
    </row>
    <row r="1436">
      <c r="A1436" s="5" t="str">
        <f t="array" ref="A1436">INDEX(event_table!$A$2:$A$69, RANDBETWEEN(1, COUNTA(event_table!$A$2:$A$69)))</f>
        <v>1212</v>
      </c>
      <c r="B1436" s="6">
        <f t="array" ref="B1436">IFERROR(INDEX(event_table!$E$1:$E3686,MATCH(A1436,event_table!$A$1:$A3686,0)),"")
</f>
        <v>2</v>
      </c>
      <c r="C1436" s="7">
        <f t="shared" si="1"/>
        <v>139</v>
      </c>
      <c r="D1436" s="6" t="str">
        <f t="array" ref="D1436">IFERROR(INDEX(user_table!$C$2:$C3686,MATCH(C1436,user_table!$B$2:$B3686,0)),"")
</f>
        <v>Sinta Kurniawan</v>
      </c>
      <c r="E1436" s="6" t="str">
        <f t="array" ref="E1436">IFERROR(INDEX(user_table!$E$2:$E3686,MATCH(C1436,user_table!$B$2:$B3686,0)),"")
</f>
        <v>4, 6</v>
      </c>
      <c r="F1436" s="6" t="str">
        <f t="shared" si="2"/>
        <v>121242139</v>
      </c>
      <c r="G1436" s="16">
        <v>4.0</v>
      </c>
      <c r="H1436" s="17">
        <v>44693.0</v>
      </c>
      <c r="I1436" s="18" t="s">
        <v>1418</v>
      </c>
    </row>
    <row r="1437">
      <c r="A1437" s="5" t="str">
        <f t="array" ref="A1437">INDEX(event_table!$A$2:$A$69, RANDBETWEEN(1, COUNTA(event_table!$A$2:$A$69)))</f>
        <v>1425</v>
      </c>
      <c r="B1437" s="6">
        <f t="array" ref="B1437">IFERROR(INDEX(event_table!$E$1:$E3686,MATCH(A1437,event_table!$A$1:$A3686,0)),"")
</f>
        <v>4</v>
      </c>
      <c r="C1437" s="7">
        <f t="shared" si="1"/>
        <v>70</v>
      </c>
      <c r="D1437" s="6" t="str">
        <f t="array" ref="D1437">IFERROR(INDEX(user_table!$C$2:$C3686,MATCH(C1437,user_table!$B$2:$B3686,0)),"")
</f>
        <v>Fandi Hadiwijaya</v>
      </c>
      <c r="E1437" s="6" t="str">
        <f t="array" ref="E1437">IFERROR(INDEX(user_table!$E$2:$E3686,MATCH(C1437,user_table!$B$2:$B3686,0)),"")
</f>
        <v>1, 4</v>
      </c>
      <c r="F1437" s="6" t="str">
        <f t="shared" si="2"/>
        <v>14253470</v>
      </c>
      <c r="G1437" s="16">
        <v>3.0</v>
      </c>
      <c r="H1437" s="17">
        <v>45257.0</v>
      </c>
      <c r="I1437" s="18" t="s">
        <v>1419</v>
      </c>
    </row>
    <row r="1438">
      <c r="A1438" s="5" t="str">
        <f t="array" ref="A1438">INDEX(event_table!$A$2:$A$69, RANDBETWEEN(1, COUNTA(event_table!$A$2:$A$69)))</f>
        <v>1637</v>
      </c>
      <c r="B1438" s="6">
        <f t="array" ref="B1438">IFERROR(INDEX(event_table!$E$1:$E3686,MATCH(A1438,event_table!$A$1:$A3686,0)),"")
</f>
        <v>6</v>
      </c>
      <c r="C1438" s="7">
        <f t="shared" si="1"/>
        <v>125</v>
      </c>
      <c r="D1438" s="6" t="str">
        <f t="array" ref="D1438">IFERROR(INDEX(user_table!$C$2:$C3686,MATCH(C1438,user_table!$B$2:$B3686,0)),"")
</f>
        <v>Fandi Hidayat</v>
      </c>
      <c r="E1438" s="6" t="str">
        <f t="array" ref="E1438">IFERROR(INDEX(user_table!$E$2:$E3686,MATCH(C1438,user_table!$B$2:$B3686,0)),"")
</f>
        <v>5, 2</v>
      </c>
      <c r="F1438" s="6" t="str">
        <f t="shared" si="2"/>
        <v>163726125</v>
      </c>
      <c r="G1438" s="16">
        <v>2.0</v>
      </c>
      <c r="H1438" s="17">
        <v>45035.0</v>
      </c>
      <c r="I1438" s="18" t="s">
        <v>1420</v>
      </c>
    </row>
    <row r="1439">
      <c r="A1439" s="5" t="str">
        <f t="array" ref="A1439">INDEX(event_table!$A$2:$A$69, RANDBETWEEN(1, COUNTA(event_table!$A$2:$A$69)))</f>
        <v>117</v>
      </c>
      <c r="B1439" s="6">
        <f t="array" ref="B1439">IFERROR(INDEX(event_table!$E$1:$E3686,MATCH(A1439,event_table!$A$1:$A3686,0)),"")
</f>
        <v>1</v>
      </c>
      <c r="C1439" s="7">
        <f t="shared" si="1"/>
        <v>35</v>
      </c>
      <c r="D1439" s="6" t="str">
        <f t="array" ref="D1439">IFERROR(INDEX(user_table!$C$2:$C3686,MATCH(C1439,user_table!$B$2:$B3686,0)),"")
</f>
        <v>Maya Nugroho</v>
      </c>
      <c r="E1439" s="6" t="str">
        <f t="array" ref="E1439">IFERROR(INDEX(user_table!$E$2:$E3686,MATCH(C1439,user_table!$B$2:$B3686,0)),"")
</f>
        <v>6, 2</v>
      </c>
      <c r="F1439" s="6" t="str">
        <f t="shared" si="2"/>
        <v>1172135</v>
      </c>
      <c r="G1439" s="16">
        <v>2.0</v>
      </c>
      <c r="H1439" s="17">
        <v>44958.0</v>
      </c>
      <c r="I1439" s="18" t="s">
        <v>1421</v>
      </c>
    </row>
    <row r="1440">
      <c r="A1440" s="5" t="str">
        <f t="array" ref="A1440">INDEX(event_table!$A$2:$A$69, RANDBETWEEN(1, COUNTA(event_table!$A$2:$A$69)))</f>
        <v>113</v>
      </c>
      <c r="B1440" s="6">
        <f t="array" ref="B1440">IFERROR(INDEX(event_table!$E$1:$E3686,MATCH(A1440,event_table!$A$1:$A3686,0)),"")
</f>
        <v>1</v>
      </c>
      <c r="C1440" s="7">
        <f t="shared" si="1"/>
        <v>51</v>
      </c>
      <c r="D1440" s="6" t="str">
        <f t="array" ref="D1440">IFERROR(INDEX(user_table!$C$2:$C3686,MATCH(C1440,user_table!$B$2:$B3686,0)),"")
</f>
        <v>Fandi Pratama</v>
      </c>
      <c r="E1440" s="6" t="str">
        <f t="array" ref="E1440">IFERROR(INDEX(user_table!$E$2:$E3686,MATCH(C1440,user_table!$B$2:$B3686,0)),"")
</f>
        <v>2, 1</v>
      </c>
      <c r="F1440" s="6" t="str">
        <f t="shared" si="2"/>
        <v>1132151</v>
      </c>
      <c r="G1440" s="16">
        <v>2.0</v>
      </c>
      <c r="H1440" s="17">
        <v>44650.0</v>
      </c>
      <c r="I1440" s="18" t="s">
        <v>1422</v>
      </c>
    </row>
    <row r="1441">
      <c r="A1441" s="5" t="str">
        <f t="array" ref="A1441">INDEX(event_table!$A$2:$A$69, RANDBETWEEN(1, COUNTA(event_table!$A$2:$A$69)))</f>
        <v>1647</v>
      </c>
      <c r="B1441" s="6">
        <f t="array" ref="B1441">IFERROR(INDEX(event_table!$E$1:$E3686,MATCH(A1441,event_table!$A$1:$A3686,0)),"")
</f>
        <v>6</v>
      </c>
      <c r="C1441" s="7">
        <f t="shared" si="1"/>
        <v>99</v>
      </c>
      <c r="D1441" s="6" t="str">
        <f t="array" ref="D1441">IFERROR(INDEX(user_table!$C$2:$C3686,MATCH(C1441,user_table!$B$2:$B3686,0)),"")
</f>
        <v>Maya Nugroho</v>
      </c>
      <c r="E1441" s="6" t="str">
        <f t="array" ref="E1441">IFERROR(INDEX(user_table!$E$2:$E3686,MATCH(C1441,user_table!$B$2:$B3686,0)),"")
</f>
        <v>6, 1</v>
      </c>
      <c r="F1441" s="6" t="str">
        <f t="shared" si="2"/>
        <v>16472699</v>
      </c>
      <c r="G1441" s="16">
        <v>2.0</v>
      </c>
      <c r="H1441" s="17">
        <v>44602.0</v>
      </c>
      <c r="I1441" s="18" t="s">
        <v>777</v>
      </c>
    </row>
    <row r="1442">
      <c r="A1442" s="5" t="str">
        <f t="array" ref="A1442">INDEX(event_table!$A$2:$A$69, RANDBETWEEN(1, COUNTA(event_table!$A$2:$A$69)))</f>
        <v>1111</v>
      </c>
      <c r="B1442" s="6">
        <f t="array" ref="B1442">IFERROR(INDEX(event_table!$E$1:$E3686,MATCH(A1442,event_table!$A$1:$A3686,0)),"")
</f>
        <v>1</v>
      </c>
      <c r="C1442" s="7">
        <f t="shared" si="1"/>
        <v>167</v>
      </c>
      <c r="D1442" s="6" t="str">
        <f t="array" ref="D1442">IFERROR(INDEX(user_table!$C$2:$C3686,MATCH(C1442,user_table!$B$2:$B3686,0)),"")
</f>
        <v>Fandi Hermawan</v>
      </c>
      <c r="E1442" s="6" t="str">
        <f t="array" ref="E1442">IFERROR(INDEX(user_table!$E$2:$E3686,MATCH(C1442,user_table!$B$2:$B3686,0)),"")
</f>
        <v>3, 1</v>
      </c>
      <c r="F1442" s="6" t="str">
        <f t="shared" si="2"/>
        <v>111121167</v>
      </c>
      <c r="G1442" s="16">
        <v>2.0</v>
      </c>
      <c r="H1442" s="17">
        <v>44581.0</v>
      </c>
      <c r="I1442" s="18" t="s">
        <v>1423</v>
      </c>
    </row>
    <row r="1443">
      <c r="A1443" s="5" t="str">
        <f t="array" ref="A1443">INDEX(event_table!$A$2:$A$69, RANDBETWEEN(1, COUNTA(event_table!$A$2:$A$69)))</f>
        <v>1642</v>
      </c>
      <c r="B1443" s="6">
        <f t="array" ref="B1443">IFERROR(INDEX(event_table!$E$1:$E3686,MATCH(A1443,event_table!$A$1:$A3686,0)),"")
</f>
        <v>6</v>
      </c>
      <c r="C1443" s="7">
        <f t="shared" si="1"/>
        <v>177</v>
      </c>
      <c r="D1443" s="6" t="str">
        <f t="array" ref="D1443">IFERROR(INDEX(user_table!$C$2:$C3686,MATCH(C1443,user_table!$B$2:$B3686,0)),"")
</f>
        <v>Andi Susanto</v>
      </c>
      <c r="E1443" s="6" t="str">
        <f t="array" ref="E1443">IFERROR(INDEX(user_table!$E$2:$E3686,MATCH(C1443,user_table!$B$2:$B3686,0)),"")
</f>
        <v>2, 6</v>
      </c>
      <c r="F1443" s="6" t="str">
        <f t="shared" si="2"/>
        <v>164226177</v>
      </c>
      <c r="G1443" s="16">
        <v>2.0</v>
      </c>
      <c r="H1443" s="17">
        <v>45177.0</v>
      </c>
      <c r="I1443" s="18" t="s">
        <v>1424</v>
      </c>
    </row>
    <row r="1444">
      <c r="A1444" s="5" t="str">
        <f t="array" ref="A1444">INDEX(event_table!$A$2:$A$69, RANDBETWEEN(1, COUNTA(event_table!$A$2:$A$69)))</f>
        <v>1313</v>
      </c>
      <c r="B1444" s="6">
        <f t="array" ref="B1444">IFERROR(INDEX(event_table!$E$1:$E3686,MATCH(A1444,event_table!$A$1:$A3686,0)),"")
</f>
        <v>3</v>
      </c>
      <c r="C1444" s="7">
        <f t="shared" si="1"/>
        <v>199</v>
      </c>
      <c r="D1444" s="6" t="str">
        <f t="array" ref="D1444">IFERROR(INDEX(user_table!$C$2:$C3686,MATCH(C1444,user_table!$B$2:$B3686,0)),"")
</f>
        <v>Rudi Putri</v>
      </c>
      <c r="E1444" s="6" t="str">
        <f t="array" ref="E1444">IFERROR(INDEX(user_table!$E$2:$E3686,MATCH(C1444,user_table!$B$2:$B3686,0)),"")
</f>
        <v>2, 1</v>
      </c>
      <c r="F1444" s="6" t="str">
        <f t="shared" si="2"/>
        <v>131313199</v>
      </c>
      <c r="G1444" s="16">
        <v>1.0</v>
      </c>
      <c r="H1444" s="17">
        <v>45218.0</v>
      </c>
      <c r="I1444" s="18" t="s">
        <v>1425</v>
      </c>
    </row>
    <row r="1445">
      <c r="A1445" s="5" t="str">
        <f t="array" ref="A1445">INDEX(event_table!$A$2:$A$69, RANDBETWEEN(1, COUNTA(event_table!$A$2:$A$69)))</f>
        <v>1641</v>
      </c>
      <c r="B1445" s="6">
        <f t="array" ref="B1445">IFERROR(INDEX(event_table!$E$1:$E3686,MATCH(A1445,event_table!$A$1:$A3686,0)),"")
</f>
        <v>6</v>
      </c>
      <c r="C1445" s="7">
        <f t="shared" si="1"/>
        <v>31</v>
      </c>
      <c r="D1445" s="6" t="str">
        <f t="array" ref="D1445">IFERROR(INDEX(user_table!$C$2:$C3686,MATCH(C1445,user_table!$B$2:$B3686,0)),"")
</f>
        <v>Dian Hidayat</v>
      </c>
      <c r="E1445" s="6" t="str">
        <f t="array" ref="E1445">IFERROR(INDEX(user_table!$E$2:$E3686,MATCH(C1445,user_table!$B$2:$B3686,0)),"")
</f>
        <v>3, 5</v>
      </c>
      <c r="F1445" s="6" t="str">
        <f t="shared" si="2"/>
        <v>16411631</v>
      </c>
      <c r="G1445" s="16">
        <v>1.0</v>
      </c>
      <c r="H1445" s="17">
        <v>45227.0</v>
      </c>
      <c r="I1445" s="18" t="s">
        <v>1426</v>
      </c>
    </row>
    <row r="1446">
      <c r="A1446" s="5" t="str">
        <f t="array" ref="A1446">INDEX(event_table!$A$2:$A$69, RANDBETWEEN(1, COUNTA(event_table!$A$2:$A$69)))</f>
        <v>3170</v>
      </c>
      <c r="B1446" s="6">
        <f t="array" ref="B1446">IFERROR(INDEX(event_table!$E$1:$E3686,MATCH(A1446,event_table!$A$1:$A3686,0)),"")
</f>
        <v>1</v>
      </c>
      <c r="C1446" s="7">
        <f t="shared" si="1"/>
        <v>68</v>
      </c>
      <c r="D1446" s="6" t="str">
        <f t="array" ref="D1446">IFERROR(INDEX(user_table!$C$2:$C3686,MATCH(C1446,user_table!$B$2:$B3686,0)),"")
</f>
        <v>Wahyu Wijaya</v>
      </c>
      <c r="E1446" s="6" t="str">
        <f t="array" ref="E1446">IFERROR(INDEX(user_table!$E$2:$E3686,MATCH(C1446,user_table!$B$2:$B3686,0)),"")
</f>
        <v>4, 6</v>
      </c>
      <c r="F1446" s="6" t="str">
        <f t="shared" si="2"/>
        <v>31701168</v>
      </c>
      <c r="G1446" s="16">
        <v>1.0</v>
      </c>
      <c r="H1446" s="17">
        <v>45221.0</v>
      </c>
      <c r="I1446" s="18" t="s">
        <v>1427</v>
      </c>
    </row>
    <row r="1447">
      <c r="A1447" s="5" t="str">
        <f t="array" ref="A1447">INDEX(event_table!$A$2:$A$69, RANDBETWEEN(1, COUNTA(event_table!$A$2:$A$69)))</f>
        <v>1636</v>
      </c>
      <c r="B1447" s="6">
        <f t="array" ref="B1447">IFERROR(INDEX(event_table!$E$1:$E3686,MATCH(A1447,event_table!$A$1:$A3686,0)),"")
</f>
        <v>6</v>
      </c>
      <c r="C1447" s="7">
        <f t="shared" si="1"/>
        <v>189</v>
      </c>
      <c r="D1447" s="6" t="str">
        <f t="array" ref="D1447">IFERROR(INDEX(user_table!$C$2:$C3686,MATCH(C1447,user_table!$B$2:$B3686,0)),"")
</f>
        <v>Arif Putri</v>
      </c>
      <c r="E1447" s="6" t="str">
        <f t="array" ref="E1447">IFERROR(INDEX(user_table!$E$2:$E3686,MATCH(C1447,user_table!$B$2:$B3686,0)),"")
</f>
        <v>4, 2</v>
      </c>
      <c r="F1447" s="6" t="str">
        <f t="shared" si="2"/>
        <v>163616189</v>
      </c>
      <c r="G1447" s="16">
        <v>1.0</v>
      </c>
      <c r="H1447" s="17">
        <v>45265.0</v>
      </c>
      <c r="I1447" s="18" t="s">
        <v>1428</v>
      </c>
    </row>
    <row r="1448">
      <c r="A1448" s="5" t="str">
        <f t="array" ref="A1448">INDEX(event_table!$A$2:$A$69, RANDBETWEEN(1, COUNTA(event_table!$A$2:$A$69)))</f>
        <v>1111</v>
      </c>
      <c r="B1448" s="6">
        <f t="array" ref="B1448">IFERROR(INDEX(event_table!$E$1:$E3686,MATCH(A1448,event_table!$A$1:$A3686,0)),"")
</f>
        <v>1</v>
      </c>
      <c r="C1448" s="7">
        <f t="shared" si="1"/>
        <v>199</v>
      </c>
      <c r="D1448" s="6" t="str">
        <f t="array" ref="D1448">IFERROR(INDEX(user_table!$C$2:$C3686,MATCH(C1448,user_table!$B$2:$B3686,0)),"")
</f>
        <v>Rudi Putri</v>
      </c>
      <c r="E1448" s="6" t="str">
        <f t="array" ref="E1448">IFERROR(INDEX(user_table!$E$2:$E3686,MATCH(C1448,user_table!$B$2:$B3686,0)),"")
</f>
        <v>2, 1</v>
      </c>
      <c r="F1448" s="6" t="str">
        <f t="shared" si="2"/>
        <v>111111199</v>
      </c>
      <c r="G1448" s="16">
        <v>1.0</v>
      </c>
      <c r="H1448" s="17">
        <v>45211.0</v>
      </c>
      <c r="I1448" s="18" t="s">
        <v>1429</v>
      </c>
    </row>
    <row r="1449">
      <c r="A1449" s="5" t="str">
        <f t="array" ref="A1449">INDEX(event_table!$A$2:$A$69, RANDBETWEEN(1, COUNTA(event_table!$A$2:$A$69)))</f>
        <v>1643</v>
      </c>
      <c r="B1449" s="6">
        <f t="array" ref="B1449">IFERROR(INDEX(event_table!$E$1:$E3686,MATCH(A1449,event_table!$A$1:$A3686,0)),"")
</f>
        <v>6</v>
      </c>
      <c r="C1449" s="7">
        <f t="shared" si="1"/>
        <v>4</v>
      </c>
      <c r="D1449" s="6" t="str">
        <f t="array" ref="D1449">IFERROR(INDEX(user_table!$C$2:$C3686,MATCH(C1449,user_table!$B$2:$B3686,0)),"")
</f>
        <v>Dina Utami</v>
      </c>
      <c r="E1449" s="6" t="str">
        <f t="array" ref="E1449">IFERROR(INDEX(user_table!$E$2:$E3686,MATCH(C1449,user_table!$B$2:$B3686,0)),"")
</f>
        <v>6, 2</v>
      </c>
      <c r="F1449" s="6" t="str">
        <f t="shared" si="2"/>
        <v>1643164</v>
      </c>
      <c r="G1449" s="16">
        <v>1.0</v>
      </c>
      <c r="H1449" s="17">
        <v>45202.0</v>
      </c>
      <c r="I1449" s="18" t="s">
        <v>1430</v>
      </c>
    </row>
    <row r="1450">
      <c r="A1450" s="5" t="str">
        <f t="array" ref="A1450">INDEX(event_table!$A$2:$A$69, RANDBETWEEN(1, COUNTA(event_table!$A$2:$A$69)))</f>
        <v>3659</v>
      </c>
      <c r="B1450" s="6">
        <f t="array" ref="B1450">IFERROR(INDEX(event_table!$E$1:$E3686,MATCH(A1450,event_table!$A$1:$A3686,0)),"")
</f>
        <v>6</v>
      </c>
      <c r="C1450" s="7">
        <f t="shared" si="1"/>
        <v>181</v>
      </c>
      <c r="D1450" s="6" t="str">
        <f t="array" ref="D1450">IFERROR(INDEX(user_table!$C$2:$C3686,MATCH(C1450,user_table!$B$2:$B3686,0)),"")
</f>
        <v>Andi Hadiwijaya</v>
      </c>
      <c r="E1450" s="6" t="str">
        <f t="array" ref="E1450">IFERROR(INDEX(user_table!$E$2:$E3686,MATCH(C1450,user_table!$B$2:$B3686,0)),"")
</f>
        <v>3, 2</v>
      </c>
      <c r="F1450" s="6" t="str">
        <f t="shared" si="2"/>
        <v>365916181</v>
      </c>
      <c r="G1450" s="16">
        <v>1.0</v>
      </c>
      <c r="H1450" s="17">
        <v>45197.0</v>
      </c>
      <c r="I1450" s="18" t="s">
        <v>1431</v>
      </c>
    </row>
    <row r="1451">
      <c r="A1451" s="5" t="str">
        <f t="array" ref="A1451">INDEX(event_table!$A$2:$A$69, RANDBETWEEN(1, COUNTA(event_table!$A$2:$A$69)))</f>
        <v>122</v>
      </c>
      <c r="B1451" s="6">
        <f t="array" ref="B1451">IFERROR(INDEX(event_table!$E$1:$E3686,MATCH(A1451,event_table!$A$1:$A3686,0)),"")
</f>
        <v>2</v>
      </c>
      <c r="C1451" s="7">
        <f t="shared" si="1"/>
        <v>87</v>
      </c>
      <c r="D1451" s="6" t="str">
        <f t="array" ref="D1451">IFERROR(INDEX(user_table!$C$2:$C3686,MATCH(C1451,user_table!$B$2:$B3686,0)),"")
</f>
        <v>Budi Setiawan</v>
      </c>
      <c r="E1451" s="6" t="str">
        <f t="array" ref="E1451">IFERROR(INDEX(user_table!$E$2:$E3686,MATCH(C1451,user_table!$B$2:$B3686,0)),"")
</f>
        <v>3, 5</v>
      </c>
      <c r="F1451" s="6" t="str">
        <f t="shared" si="2"/>
        <v>1221287</v>
      </c>
      <c r="G1451" s="16">
        <v>1.0</v>
      </c>
      <c r="H1451" s="17">
        <v>45143.0</v>
      </c>
      <c r="I1451" s="18" t="s">
        <v>1432</v>
      </c>
    </row>
    <row r="1452">
      <c r="A1452" s="5" t="str">
        <f t="array" ref="A1452">INDEX(event_table!$A$2:$A$69, RANDBETWEEN(1, COUNTA(event_table!$A$2:$A$69)))</f>
        <v>3169</v>
      </c>
      <c r="B1452" s="6">
        <f t="array" ref="B1452">IFERROR(INDEX(event_table!$E$1:$E3686,MATCH(A1452,event_table!$A$1:$A3686,0)),"")
</f>
        <v>1</v>
      </c>
      <c r="C1452" s="7">
        <f t="shared" si="1"/>
        <v>71</v>
      </c>
      <c r="D1452" s="6" t="str">
        <f t="array" ref="D1452">IFERROR(INDEX(user_table!$C$2:$C3686,MATCH(C1452,user_table!$B$2:$B3686,0)),"")
</f>
        <v>Hadi Putri</v>
      </c>
      <c r="E1452" s="6" t="str">
        <f t="array" ref="E1452">IFERROR(INDEX(user_table!$E$2:$E3686,MATCH(C1452,user_table!$B$2:$B3686,0)),"")
</f>
        <v>3, 3</v>
      </c>
      <c r="F1452" s="6" t="str">
        <f t="shared" si="2"/>
        <v>31691171</v>
      </c>
      <c r="G1452" s="16">
        <v>1.0</v>
      </c>
      <c r="H1452" s="17">
        <v>45143.0</v>
      </c>
      <c r="I1452" s="18" t="s">
        <v>1433</v>
      </c>
    </row>
    <row r="1453">
      <c r="A1453" s="5" t="str">
        <f t="array" ref="A1453">INDEX(event_table!$A$2:$A$69, RANDBETWEEN(1, COUNTA(event_table!$A$2:$A$69)))</f>
        <v>1644</v>
      </c>
      <c r="B1453" s="6">
        <f t="array" ref="B1453">IFERROR(INDEX(event_table!$E$1:$E3686,MATCH(A1453,event_table!$A$1:$A3686,0)),"")
</f>
        <v>6</v>
      </c>
      <c r="C1453" s="7">
        <f t="shared" si="1"/>
        <v>97</v>
      </c>
      <c r="D1453" s="6" t="str">
        <f t="array" ref="D1453">IFERROR(INDEX(user_table!$C$2:$C3686,MATCH(C1453,user_table!$B$2:$B3686,0)),"")
</f>
        <v>Dewi Hidayat</v>
      </c>
      <c r="E1453" s="6" t="str">
        <f t="array" ref="E1453">IFERROR(INDEX(user_table!$E$2:$E3686,MATCH(C1453,user_table!$B$2:$B3686,0)),"")
</f>
        <v>2, 2</v>
      </c>
      <c r="F1453" s="6" t="str">
        <f t="shared" si="2"/>
        <v>16441697</v>
      </c>
      <c r="G1453" s="16">
        <v>1.0</v>
      </c>
      <c r="H1453" s="17">
        <v>45143.0</v>
      </c>
      <c r="I1453" s="18" t="s">
        <v>1434</v>
      </c>
    </row>
    <row r="1454">
      <c r="A1454" s="5" t="str">
        <f t="array" ref="A1454">INDEX(event_table!$A$2:$A$69, RANDBETWEEN(1, COUNTA(event_table!$A$2:$A$69)))</f>
        <v>119</v>
      </c>
      <c r="B1454" s="6">
        <f t="array" ref="B1454">IFERROR(INDEX(event_table!$E$1:$E3686,MATCH(A1454,event_table!$A$1:$A3686,0)),"")
</f>
        <v>1</v>
      </c>
      <c r="C1454" s="7">
        <f t="shared" si="1"/>
        <v>30</v>
      </c>
      <c r="D1454" s="6" t="str">
        <f t="array" ref="D1454">IFERROR(INDEX(user_table!$C$2:$C3686,MATCH(C1454,user_table!$B$2:$B3686,0)),"")
</f>
        <v>Fajar Kurniawan</v>
      </c>
      <c r="E1454" s="6" t="str">
        <f t="array" ref="E1454">IFERROR(INDEX(user_table!$E$2:$E3686,MATCH(C1454,user_table!$B$2:$B3686,0)),"")
</f>
        <v>5, 3</v>
      </c>
      <c r="F1454" s="6" t="str">
        <f t="shared" si="2"/>
        <v>1191130</v>
      </c>
      <c r="G1454" s="16">
        <v>1.0</v>
      </c>
      <c r="H1454" s="17">
        <v>45105.0</v>
      </c>
      <c r="I1454" s="18" t="s">
        <v>1435</v>
      </c>
    </row>
    <row r="1455">
      <c r="A1455" s="5" t="str">
        <f t="array" ref="A1455">INDEX(event_table!$A$2:$A$69, RANDBETWEEN(1, COUNTA(event_table!$A$2:$A$69)))</f>
        <v>1645</v>
      </c>
      <c r="B1455" s="6">
        <f t="array" ref="B1455">IFERROR(INDEX(event_table!$E$1:$E3686,MATCH(A1455,event_table!$A$1:$A3686,0)),"")
</f>
        <v>6</v>
      </c>
      <c r="C1455" s="7">
        <f t="shared" si="1"/>
        <v>150</v>
      </c>
      <c r="D1455" s="6" t="str">
        <f t="array" ref="D1455">IFERROR(INDEX(user_table!$C$2:$C3686,MATCH(C1455,user_table!$B$2:$B3686,0)),"")
</f>
        <v>Dina Susanto</v>
      </c>
      <c r="E1455" s="6" t="str">
        <f t="array" ref="E1455">IFERROR(INDEX(user_table!$E$2:$E3686,MATCH(C1455,user_table!$B$2:$B3686,0)),"")
</f>
        <v>2, 6</v>
      </c>
      <c r="F1455" s="6" t="str">
        <f t="shared" si="2"/>
        <v>164516150</v>
      </c>
      <c r="G1455" s="16">
        <v>1.0</v>
      </c>
      <c r="H1455" s="17">
        <v>45104.0</v>
      </c>
      <c r="I1455" s="18" t="s">
        <v>1436</v>
      </c>
    </row>
    <row r="1456">
      <c r="A1456" s="5" t="str">
        <f t="array" ref="A1456">INDEX(event_table!$A$2:$A$69, RANDBETWEEN(1, COUNTA(event_table!$A$2:$A$69)))</f>
        <v>1427</v>
      </c>
      <c r="B1456" s="6">
        <f t="array" ref="B1456">IFERROR(INDEX(event_table!$E$1:$E3686,MATCH(A1456,event_table!$A$1:$A3686,0)),"")
</f>
        <v>4</v>
      </c>
      <c r="C1456" s="7">
        <f t="shared" si="1"/>
        <v>44</v>
      </c>
      <c r="D1456" s="6" t="str">
        <f t="array" ref="D1456">IFERROR(INDEX(user_table!$C$2:$C3686,MATCH(C1456,user_table!$B$2:$B3686,0)),"")
</f>
        <v>Arif Sari</v>
      </c>
      <c r="E1456" s="6" t="str">
        <f t="array" ref="E1456">IFERROR(INDEX(user_table!$E$2:$E3686,MATCH(C1456,user_table!$B$2:$B3686,0)),"")
</f>
        <v>2, 4</v>
      </c>
      <c r="F1456" s="6" t="str">
        <f t="shared" si="2"/>
        <v>14271444</v>
      </c>
      <c r="G1456" s="16">
        <v>1.0</v>
      </c>
      <c r="H1456" s="17">
        <v>45086.0</v>
      </c>
      <c r="I1456" s="18" t="s">
        <v>1437</v>
      </c>
    </row>
    <row r="1457">
      <c r="A1457" s="5" t="str">
        <f t="array" ref="A1457">INDEX(event_table!$A$2:$A$69, RANDBETWEEN(1, COUNTA(event_table!$A$2:$A$69)))</f>
        <v>1110</v>
      </c>
      <c r="B1457" s="6">
        <f t="array" ref="B1457">IFERROR(INDEX(event_table!$E$1:$E3686,MATCH(A1457,event_table!$A$1:$A3686,0)),"")
</f>
        <v>1</v>
      </c>
      <c r="C1457" s="7">
        <f t="shared" si="1"/>
        <v>26</v>
      </c>
      <c r="D1457" s="6" t="str">
        <f t="array" ref="D1457">IFERROR(INDEX(user_table!$C$2:$C3686,MATCH(C1457,user_table!$B$2:$B3686,0)),"")
</f>
        <v>Citra Sari</v>
      </c>
      <c r="E1457" s="6" t="str">
        <f t="array" ref="E1457">IFERROR(INDEX(user_table!$E$2:$E3686,MATCH(C1457,user_table!$B$2:$B3686,0)),"")
</f>
        <v>5, 1</v>
      </c>
      <c r="F1457" s="6" t="str">
        <f t="shared" si="2"/>
        <v>11101126</v>
      </c>
      <c r="G1457" s="16">
        <v>1.0</v>
      </c>
      <c r="H1457" s="17">
        <v>45043.0</v>
      </c>
      <c r="I1457" s="18" t="s">
        <v>1438</v>
      </c>
    </row>
    <row r="1458">
      <c r="A1458" s="5" t="str">
        <f t="array" ref="A1458">INDEX(event_table!$A$2:$A$69, RANDBETWEEN(1, COUNTA(event_table!$A$2:$A$69)))</f>
        <v>1553</v>
      </c>
      <c r="B1458" s="6">
        <f t="array" ref="B1458">IFERROR(INDEX(event_table!$E$1:$E3686,MATCH(A1458,event_table!$A$1:$A3686,0)),"")
</f>
        <v>5</v>
      </c>
      <c r="C1458" s="7">
        <f t="shared" si="1"/>
        <v>107</v>
      </c>
      <c r="D1458" s="6" t="str">
        <f t="array" ref="D1458">IFERROR(INDEX(user_table!$C$2:$C3686,MATCH(C1458,user_table!$B$2:$B3686,0)),"")
</f>
        <v>Citra Rahayu</v>
      </c>
      <c r="E1458" s="6" t="str">
        <f t="array" ref="E1458">IFERROR(INDEX(user_table!$E$2:$E3686,MATCH(C1458,user_table!$B$2:$B3686,0)),"")
</f>
        <v>1, 5</v>
      </c>
      <c r="F1458" s="6" t="str">
        <f t="shared" si="2"/>
        <v>155355107</v>
      </c>
      <c r="G1458" s="16">
        <v>5.0</v>
      </c>
      <c r="H1458" s="17">
        <v>44746.0</v>
      </c>
      <c r="I1458" s="18" t="s">
        <v>1439</v>
      </c>
    </row>
    <row r="1459">
      <c r="A1459" s="5" t="str">
        <f t="array" ref="A1459">INDEX(event_table!$A$2:$A$69, RANDBETWEEN(1, COUNTA(event_table!$A$2:$A$69)))</f>
        <v>1637</v>
      </c>
      <c r="B1459" s="6">
        <f t="array" ref="B1459">IFERROR(INDEX(event_table!$E$1:$E3686,MATCH(A1459,event_table!$A$1:$A3686,0)),"")
</f>
        <v>6</v>
      </c>
      <c r="C1459" s="7">
        <f t="shared" si="1"/>
        <v>69</v>
      </c>
      <c r="D1459" s="6" t="str">
        <f t="array" ref="D1459">IFERROR(INDEX(user_table!$C$2:$C3686,MATCH(C1459,user_table!$B$2:$B3686,0)),"")
</f>
        <v>Citra Rahayu</v>
      </c>
      <c r="E1459" s="6" t="str">
        <f t="array" ref="E1459">IFERROR(INDEX(user_table!$E$2:$E3686,MATCH(C1459,user_table!$B$2:$B3686,0)),"")
</f>
        <v>5, 5</v>
      </c>
      <c r="F1459" s="6" t="str">
        <f t="shared" si="2"/>
        <v>16375669</v>
      </c>
      <c r="G1459" s="16">
        <v>5.0</v>
      </c>
      <c r="H1459" s="17">
        <v>44734.0</v>
      </c>
      <c r="I1459" s="18" t="s">
        <v>1440</v>
      </c>
    </row>
    <row r="1460">
      <c r="A1460" s="5" t="str">
        <f t="array" ref="A1460">INDEX(event_table!$A$2:$A$69, RANDBETWEEN(1, COUNTA(event_table!$A$2:$A$69)))</f>
        <v>3455</v>
      </c>
      <c r="B1460" s="6">
        <f t="array" ref="B1460">IFERROR(INDEX(event_table!$E$1:$E3686,MATCH(A1460,event_table!$A$1:$A3686,0)),"")
</f>
        <v>4</v>
      </c>
      <c r="C1460" s="7">
        <f t="shared" si="1"/>
        <v>13</v>
      </c>
      <c r="D1460" s="6" t="str">
        <f t="array" ref="D1460">IFERROR(INDEX(user_table!$C$2:$C3686,MATCH(C1460,user_table!$B$2:$B3686,0)),"")
</f>
        <v>Hadi Kurniawan</v>
      </c>
      <c r="E1460" s="6" t="str">
        <f t="array" ref="E1460">IFERROR(INDEX(user_table!$E$2:$E3686,MATCH(C1460,user_table!$B$2:$B3686,0)),"")
</f>
        <v>4, 3</v>
      </c>
      <c r="F1460" s="6" t="str">
        <f t="shared" si="2"/>
        <v>34555413</v>
      </c>
      <c r="G1460" s="16">
        <v>5.0</v>
      </c>
      <c r="H1460" s="17">
        <v>44733.0</v>
      </c>
      <c r="I1460" s="18" t="s">
        <v>1441</v>
      </c>
    </row>
    <row r="1461">
      <c r="A1461" s="5" t="str">
        <f t="array" ref="A1461">INDEX(event_table!$A$2:$A$69, RANDBETWEEN(1, COUNTA(event_table!$A$2:$A$69)))</f>
        <v>3455</v>
      </c>
      <c r="B1461" s="6">
        <f t="array" ref="B1461">IFERROR(INDEX(event_table!$E$1:$E3686,MATCH(A1461,event_table!$A$1:$A3686,0)),"")
</f>
        <v>4</v>
      </c>
      <c r="C1461" s="7">
        <f t="shared" si="1"/>
        <v>118</v>
      </c>
      <c r="D1461" s="6" t="str">
        <f t="array" ref="D1461">IFERROR(INDEX(user_table!$C$2:$C3686,MATCH(C1461,user_table!$B$2:$B3686,0)),"")
</f>
        <v>Ani Santoso</v>
      </c>
      <c r="E1461" s="6" t="str">
        <f t="array" ref="E1461">IFERROR(INDEX(user_table!$E$2:$E3686,MATCH(C1461,user_table!$B$2:$B3686,0)),"")
</f>
        <v>6, 1</v>
      </c>
      <c r="F1461" s="6" t="str">
        <f t="shared" si="2"/>
        <v>345554118</v>
      </c>
      <c r="G1461" s="16">
        <v>5.0</v>
      </c>
      <c r="H1461" s="17">
        <v>44732.0</v>
      </c>
      <c r="I1461" s="18" t="s">
        <v>1442</v>
      </c>
    </row>
    <row r="1462">
      <c r="A1462" s="5" t="str">
        <f t="array" ref="A1462">INDEX(event_table!$A$2:$A$69, RANDBETWEEN(1, COUNTA(event_table!$A$2:$A$69)))</f>
        <v>1651</v>
      </c>
      <c r="B1462" s="6">
        <f t="array" ref="B1462">IFERROR(INDEX(event_table!$E$1:$E3686,MATCH(A1462,event_table!$A$1:$A3686,0)),"")
</f>
        <v>6</v>
      </c>
      <c r="C1462" s="7">
        <f t="shared" si="1"/>
        <v>167</v>
      </c>
      <c r="D1462" s="6" t="str">
        <f t="array" ref="D1462">IFERROR(INDEX(user_table!$C$2:$C3686,MATCH(C1462,user_table!$B$2:$B3686,0)),"")
</f>
        <v>Fandi Hermawan</v>
      </c>
      <c r="E1462" s="6" t="str">
        <f t="array" ref="E1462">IFERROR(INDEX(user_table!$E$2:$E3686,MATCH(C1462,user_table!$B$2:$B3686,0)),"")
</f>
        <v>3, 1</v>
      </c>
      <c r="F1462" s="6" t="str">
        <f t="shared" si="2"/>
        <v>165156167</v>
      </c>
      <c r="G1462" s="16">
        <v>5.0</v>
      </c>
      <c r="H1462" s="17">
        <v>44730.0</v>
      </c>
      <c r="I1462" s="18" t="s">
        <v>1443</v>
      </c>
    </row>
    <row r="1463">
      <c r="A1463" s="5" t="str">
        <f t="array" ref="A1463">INDEX(event_table!$A$2:$A$69, RANDBETWEEN(1, COUNTA(event_table!$A$2:$A$69)))</f>
        <v>1111</v>
      </c>
      <c r="B1463" s="6">
        <f t="array" ref="B1463">IFERROR(INDEX(event_table!$E$1:$E3686,MATCH(A1463,event_table!$A$1:$A3686,0)),"")
</f>
        <v>1</v>
      </c>
      <c r="C1463" s="7">
        <f t="shared" si="1"/>
        <v>160</v>
      </c>
      <c r="D1463" s="6" t="str">
        <f t="array" ref="D1463">IFERROR(INDEX(user_table!$C$2:$C3686,MATCH(C1463,user_table!$B$2:$B3686,0)),"")
</f>
        <v>Hadi Hadiwijaya</v>
      </c>
      <c r="E1463" s="6" t="str">
        <f t="array" ref="E1463">IFERROR(INDEX(user_table!$E$2:$E3686,MATCH(C1463,user_table!$B$2:$B3686,0)),"")
</f>
        <v>2, 4</v>
      </c>
      <c r="F1463" s="6" t="str">
        <f t="shared" si="2"/>
        <v>111151160</v>
      </c>
      <c r="G1463" s="16">
        <v>5.0</v>
      </c>
      <c r="H1463" s="17">
        <v>44718.0</v>
      </c>
      <c r="I1463" s="18" t="s">
        <v>1444</v>
      </c>
    </row>
    <row r="1464">
      <c r="A1464" s="5" t="str">
        <f t="array" ref="A1464">INDEX(event_table!$A$2:$A$69, RANDBETWEEN(1, COUNTA(event_table!$A$2:$A$69)))</f>
        <v>1422</v>
      </c>
      <c r="B1464" s="6">
        <f t="array" ref="B1464">IFERROR(INDEX(event_table!$E$1:$E3686,MATCH(A1464,event_table!$A$1:$A3686,0)),"")
</f>
        <v>4</v>
      </c>
      <c r="C1464" s="7">
        <f t="shared" si="1"/>
        <v>30</v>
      </c>
      <c r="D1464" s="6" t="str">
        <f t="array" ref="D1464">IFERROR(INDEX(user_table!$C$2:$C3686,MATCH(C1464,user_table!$B$2:$B3686,0)),"")
</f>
        <v>Fajar Kurniawan</v>
      </c>
      <c r="E1464" s="6" t="str">
        <f t="array" ref="E1464">IFERROR(INDEX(user_table!$E$2:$E3686,MATCH(C1464,user_table!$B$2:$B3686,0)),"")
</f>
        <v>5, 3</v>
      </c>
      <c r="F1464" s="6" t="str">
        <f t="shared" si="2"/>
        <v>14225430</v>
      </c>
      <c r="G1464" s="16">
        <v>5.0</v>
      </c>
      <c r="H1464" s="17">
        <v>44708.0</v>
      </c>
      <c r="I1464" s="18" t="s">
        <v>1445</v>
      </c>
    </row>
    <row r="1465">
      <c r="A1465" s="5" t="str">
        <f t="array" ref="A1465">INDEX(event_table!$A$2:$A$69, RANDBETWEEN(1, COUNTA(event_table!$A$2:$A$69)))</f>
        <v>1641</v>
      </c>
      <c r="B1465" s="6">
        <f t="array" ref="B1465">IFERROR(INDEX(event_table!$E$1:$E3686,MATCH(A1465,event_table!$A$1:$A3686,0)),"")
</f>
        <v>6</v>
      </c>
      <c r="C1465" s="7">
        <f t="shared" si="1"/>
        <v>90</v>
      </c>
      <c r="D1465" s="6" t="str">
        <f t="array" ref="D1465">IFERROR(INDEX(user_table!$C$2:$C3686,MATCH(C1465,user_table!$B$2:$B3686,0)),"")
</f>
        <v>Dina Saputra</v>
      </c>
      <c r="E1465" s="6" t="str">
        <f t="array" ref="E1465">IFERROR(INDEX(user_table!$E$2:$E3686,MATCH(C1465,user_table!$B$2:$B3686,0)),"")
</f>
        <v>1, 2</v>
      </c>
      <c r="F1465" s="6" t="str">
        <f t="shared" si="2"/>
        <v>16415690</v>
      </c>
      <c r="G1465" s="16">
        <v>5.0</v>
      </c>
      <c r="H1465" s="17">
        <v>44693.0</v>
      </c>
      <c r="I1465" s="18" t="s">
        <v>1446</v>
      </c>
    </row>
    <row r="1466">
      <c r="A1466" s="5" t="str">
        <f t="array" ref="A1466">INDEX(event_table!$A$2:$A$69, RANDBETWEEN(1, COUNTA(event_table!$A$2:$A$69)))</f>
        <v>3454</v>
      </c>
      <c r="B1466" s="6">
        <f t="array" ref="B1466">IFERROR(INDEX(event_table!$E$1:$E3686,MATCH(A1466,event_table!$A$1:$A3686,0)),"")
</f>
        <v>4</v>
      </c>
      <c r="C1466" s="7">
        <f t="shared" si="1"/>
        <v>178</v>
      </c>
      <c r="D1466" s="6" t="str">
        <f t="array" ref="D1466">IFERROR(INDEX(user_table!$C$2:$C3686,MATCH(C1466,user_table!$B$2:$B3686,0)),"")
</f>
        <v>Dewi Hidayat</v>
      </c>
      <c r="E1466" s="6" t="str">
        <f t="array" ref="E1466">IFERROR(INDEX(user_table!$E$2:$E3686,MATCH(C1466,user_table!$B$2:$B3686,0)),"")
</f>
        <v>3, 2</v>
      </c>
      <c r="F1466" s="6" t="str">
        <f t="shared" si="2"/>
        <v>345454178</v>
      </c>
      <c r="G1466" s="16">
        <v>5.0</v>
      </c>
      <c r="H1466" s="17">
        <v>44689.0</v>
      </c>
      <c r="I1466" s="18" t="s">
        <v>1447</v>
      </c>
    </row>
    <row r="1467">
      <c r="A1467" s="5" t="str">
        <f t="array" ref="A1467">INDEX(event_table!$A$2:$A$69, RANDBETWEEN(1, COUNTA(event_table!$A$2:$A$69)))</f>
        <v>1636</v>
      </c>
      <c r="B1467" s="6">
        <f t="array" ref="B1467">IFERROR(INDEX(event_table!$E$1:$E3686,MATCH(A1467,event_table!$A$1:$A3686,0)),"")
</f>
        <v>6</v>
      </c>
      <c r="C1467" s="7">
        <f t="shared" si="1"/>
        <v>180</v>
      </c>
      <c r="D1467" s="6" t="str">
        <f t="array" ref="D1467">IFERROR(INDEX(user_table!$C$2:$C3686,MATCH(C1467,user_table!$B$2:$B3686,0)),"")
</f>
        <v>Andi Susanto</v>
      </c>
      <c r="E1467" s="6" t="str">
        <f t="array" ref="E1467">IFERROR(INDEX(user_table!$E$2:$E3686,MATCH(C1467,user_table!$B$2:$B3686,0)),"")
</f>
        <v>6, 5</v>
      </c>
      <c r="F1467" s="6" t="str">
        <f t="shared" si="2"/>
        <v>163656180</v>
      </c>
      <c r="G1467" s="16">
        <v>5.0</v>
      </c>
      <c r="H1467" s="17">
        <v>44687.0</v>
      </c>
      <c r="I1467" s="18" t="s">
        <v>1448</v>
      </c>
    </row>
    <row r="1468">
      <c r="A1468" s="5" t="str">
        <f t="array" ref="A1468">INDEX(event_table!$A$2:$A$69, RANDBETWEEN(1, COUNTA(event_table!$A$2:$A$69)))</f>
        <v>3168</v>
      </c>
      <c r="B1468" s="6">
        <f t="array" ref="B1468">IFERROR(INDEX(event_table!$E$1:$E3686,MATCH(A1468,event_table!$A$1:$A3686,0)),"")
</f>
        <v>1</v>
      </c>
      <c r="C1468" s="7">
        <f t="shared" si="1"/>
        <v>183</v>
      </c>
      <c r="D1468" s="6" t="str">
        <f t="array" ref="D1468">IFERROR(INDEX(user_table!$C$2:$C3686,MATCH(C1468,user_table!$B$2:$B3686,0)),"")
</f>
        <v>Siti Nugroho</v>
      </c>
      <c r="E1468" s="6" t="str">
        <f t="array" ref="E1468">IFERROR(INDEX(user_table!$E$2:$E3686,MATCH(C1468,user_table!$B$2:$B3686,0)),"")
</f>
        <v>4, 6</v>
      </c>
      <c r="F1468" s="6" t="str">
        <f t="shared" si="2"/>
        <v>316851183</v>
      </c>
      <c r="G1468" s="16">
        <v>5.0</v>
      </c>
      <c r="H1468" s="17">
        <v>44687.0</v>
      </c>
      <c r="I1468" s="18" t="s">
        <v>1449</v>
      </c>
    </row>
    <row r="1469">
      <c r="A1469" s="5" t="str">
        <f t="array" ref="A1469">INDEX(event_table!$A$2:$A$69, RANDBETWEEN(1, COUNTA(event_table!$A$2:$A$69)))</f>
        <v>1640</v>
      </c>
      <c r="B1469" s="6">
        <f t="array" ref="B1469">IFERROR(INDEX(event_table!$E$1:$E3686,MATCH(A1469,event_table!$A$1:$A3686,0)),"")
</f>
        <v>6</v>
      </c>
      <c r="C1469" s="7">
        <f t="shared" si="1"/>
        <v>190</v>
      </c>
      <c r="D1469" s="6" t="str">
        <f t="array" ref="D1469">IFERROR(INDEX(user_table!$C$2:$C3686,MATCH(C1469,user_table!$B$2:$B3686,0)),"")
</f>
        <v>Fajar Santoso</v>
      </c>
      <c r="E1469" s="6" t="str">
        <f t="array" ref="E1469">IFERROR(INDEX(user_table!$E$2:$E3686,MATCH(C1469,user_table!$B$2:$B3686,0)),"")
</f>
        <v>1, 3</v>
      </c>
      <c r="F1469" s="6" t="str">
        <f t="shared" si="2"/>
        <v>164056190</v>
      </c>
      <c r="G1469" s="16">
        <v>5.0</v>
      </c>
      <c r="H1469" s="17">
        <v>45094.0</v>
      </c>
      <c r="I1469" s="18" t="s">
        <v>163</v>
      </c>
    </row>
    <row r="1470">
      <c r="A1470" s="5" t="str">
        <f t="array" ref="A1470">INDEX(event_table!$A$2:$A$69, RANDBETWEEN(1, COUNTA(event_table!$A$2:$A$69)))</f>
        <v>1420</v>
      </c>
      <c r="B1470" s="6">
        <f t="array" ref="B1470">IFERROR(INDEX(event_table!$E$1:$E3686,MATCH(A1470,event_table!$A$1:$A3686,0)),"")
</f>
        <v>4</v>
      </c>
      <c r="C1470" s="7">
        <f t="shared" si="1"/>
        <v>67</v>
      </c>
      <c r="D1470" s="6" t="str">
        <f t="array" ref="D1470">IFERROR(INDEX(user_table!$C$2:$C3686,MATCH(C1470,user_table!$B$2:$B3686,0)),"")
</f>
        <v>Joko Pratama</v>
      </c>
      <c r="E1470" s="6" t="str">
        <f t="array" ref="E1470">IFERROR(INDEX(user_table!$E$2:$E3686,MATCH(C1470,user_table!$B$2:$B3686,0)),"")
</f>
        <v>1, 3</v>
      </c>
      <c r="F1470" s="6" t="str">
        <f t="shared" si="2"/>
        <v>14205467</v>
      </c>
      <c r="G1470" s="16">
        <v>5.0</v>
      </c>
      <c r="H1470" s="17">
        <v>45064.0</v>
      </c>
      <c r="I1470" s="18" t="s">
        <v>1450</v>
      </c>
    </row>
    <row r="1471">
      <c r="A1471" s="5" t="str">
        <f t="array" ref="A1471">INDEX(event_table!$A$2:$A$69, RANDBETWEEN(1, COUNTA(event_table!$A$2:$A$69)))</f>
        <v>3169</v>
      </c>
      <c r="B1471" s="6">
        <f t="array" ref="B1471">IFERROR(INDEX(event_table!$E$1:$E3686,MATCH(A1471,event_table!$A$1:$A3686,0)),"")
</f>
        <v>1</v>
      </c>
      <c r="C1471" s="7">
        <f t="shared" si="1"/>
        <v>137</v>
      </c>
      <c r="D1471" s="6" t="str">
        <f t="array" ref="D1471">IFERROR(INDEX(user_table!$C$2:$C3686,MATCH(C1471,user_table!$B$2:$B3686,0)),"")
</f>
        <v>Dina Pratama</v>
      </c>
      <c r="E1471" s="6" t="str">
        <f t="array" ref="E1471">IFERROR(INDEX(user_table!$E$2:$E3686,MATCH(C1471,user_table!$B$2:$B3686,0)),"")
</f>
        <v>4, 4</v>
      </c>
      <c r="F1471" s="6" t="str">
        <f t="shared" si="2"/>
        <v>316951137</v>
      </c>
      <c r="G1471" s="16">
        <v>5.0</v>
      </c>
      <c r="H1471" s="17">
        <v>44745.0</v>
      </c>
      <c r="I1471" s="18" t="s">
        <v>1451</v>
      </c>
    </row>
    <row r="1472">
      <c r="A1472" s="5" t="str">
        <f t="array" ref="A1472">INDEX(event_table!$A$2:$A$69, RANDBETWEEN(1, COUNTA(event_table!$A$2:$A$69)))</f>
        <v>1114</v>
      </c>
      <c r="B1472" s="6">
        <f t="array" ref="B1472">IFERROR(INDEX(event_table!$E$1:$E3686,MATCH(A1472,event_table!$A$1:$A3686,0)),"")
</f>
        <v>1</v>
      </c>
      <c r="C1472" s="7">
        <f t="shared" si="1"/>
        <v>88</v>
      </c>
      <c r="D1472" s="6" t="str">
        <f t="array" ref="D1472">IFERROR(INDEX(user_table!$C$2:$C3686,MATCH(C1472,user_table!$B$2:$B3686,0)),"")
</f>
        <v>Fajar Hadiwijaya</v>
      </c>
      <c r="E1472" s="6" t="str">
        <f t="array" ref="E1472">IFERROR(INDEX(user_table!$E$2:$E3686,MATCH(C1472,user_table!$B$2:$B3686,0)),"")
</f>
        <v>2, 6</v>
      </c>
      <c r="F1472" s="6" t="str">
        <f t="shared" si="2"/>
        <v>11145188</v>
      </c>
      <c r="G1472" s="16">
        <v>5.0</v>
      </c>
      <c r="H1472" s="17">
        <v>44738.0</v>
      </c>
      <c r="I1472" s="18" t="s">
        <v>1452</v>
      </c>
    </row>
    <row r="1473">
      <c r="A1473" s="5" t="str">
        <f t="array" ref="A1473">INDEX(event_table!$A$2:$A$69, RANDBETWEEN(1, COUNTA(event_table!$A$2:$A$69)))</f>
        <v>1333</v>
      </c>
      <c r="B1473" s="6">
        <f t="array" ref="B1473">IFERROR(INDEX(event_table!$E$1:$E3686,MATCH(A1473,event_table!$A$1:$A3686,0)),"")
</f>
        <v>3</v>
      </c>
      <c r="C1473" s="7">
        <f t="shared" si="1"/>
        <v>161</v>
      </c>
      <c r="D1473" s="6" t="str">
        <f t="array" ref="D1473">IFERROR(INDEX(user_table!$C$2:$C3686,MATCH(C1473,user_table!$B$2:$B3686,0)),"")
</f>
        <v>Lina Nugroho</v>
      </c>
      <c r="E1473" s="6" t="str">
        <f t="array" ref="E1473">IFERROR(INDEX(user_table!$E$2:$E3686,MATCH(C1473,user_table!$B$2:$B3686,0)),"")
</f>
        <v>6, 5</v>
      </c>
      <c r="F1473" s="6" t="str">
        <f t="shared" si="2"/>
        <v>133353161</v>
      </c>
      <c r="G1473" s="16">
        <v>5.0</v>
      </c>
      <c r="H1473" s="17">
        <v>44738.0</v>
      </c>
      <c r="I1473" s="18" t="s">
        <v>1453</v>
      </c>
    </row>
    <row r="1474">
      <c r="A1474" s="5" t="str">
        <f t="array" ref="A1474">INDEX(event_table!$A$2:$A$69, RANDBETWEEN(1, COUNTA(event_table!$A$2:$A$69)))</f>
        <v>1644</v>
      </c>
      <c r="B1474" s="6">
        <f t="array" ref="B1474">IFERROR(INDEX(event_table!$E$1:$E3686,MATCH(A1474,event_table!$A$1:$A3686,0)),"")
</f>
        <v>6</v>
      </c>
      <c r="C1474" s="7">
        <f t="shared" si="1"/>
        <v>106</v>
      </c>
      <c r="D1474" s="6" t="str">
        <f t="array" ref="D1474">IFERROR(INDEX(user_table!$C$2:$C3686,MATCH(C1474,user_table!$B$2:$B3686,0)),"")
</f>
        <v>Budi Hidayat</v>
      </c>
      <c r="E1474" s="6" t="str">
        <f t="array" ref="E1474">IFERROR(INDEX(user_table!$E$2:$E3686,MATCH(C1474,user_table!$B$2:$B3686,0)),"")
</f>
        <v>2, 6</v>
      </c>
      <c r="F1474" s="6" t="str">
        <f t="shared" si="2"/>
        <v>164456106</v>
      </c>
      <c r="G1474" s="16">
        <v>5.0</v>
      </c>
      <c r="H1474" s="17">
        <v>44730.0</v>
      </c>
      <c r="I1474" s="18" t="s">
        <v>1454</v>
      </c>
    </row>
    <row r="1475">
      <c r="A1475" s="5" t="str">
        <f t="array" ref="A1475">INDEX(event_table!$A$2:$A$69, RANDBETWEEN(1, COUNTA(event_table!$A$2:$A$69)))</f>
        <v>1646</v>
      </c>
      <c r="B1475" s="6">
        <f t="array" ref="B1475">IFERROR(INDEX(event_table!$E$1:$E3686,MATCH(A1475,event_table!$A$1:$A3686,0)),"")
</f>
        <v>6</v>
      </c>
      <c r="C1475" s="7">
        <f t="shared" si="1"/>
        <v>84</v>
      </c>
      <c r="D1475" s="6" t="str">
        <f t="array" ref="D1475">IFERROR(INDEX(user_table!$C$2:$C3686,MATCH(C1475,user_table!$B$2:$B3686,0)),"")
</f>
        <v>Budi Hermawan</v>
      </c>
      <c r="E1475" s="6" t="str">
        <f t="array" ref="E1475">IFERROR(INDEX(user_table!$E$2:$E3686,MATCH(C1475,user_table!$B$2:$B3686,0)),"")
</f>
        <v>5, 5</v>
      </c>
      <c r="F1475" s="6" t="str">
        <f t="shared" si="2"/>
        <v>16465684</v>
      </c>
      <c r="G1475" s="16">
        <v>5.0</v>
      </c>
      <c r="H1475" s="17">
        <v>44702.0</v>
      </c>
      <c r="I1475" s="18" t="s">
        <v>1455</v>
      </c>
    </row>
    <row r="1476">
      <c r="A1476" s="5" t="str">
        <f t="array" ref="A1476">INDEX(event_table!$A$2:$A$69, RANDBETWEEN(1, COUNTA(event_table!$A$2:$A$69)))</f>
        <v>1335</v>
      </c>
      <c r="B1476" s="6">
        <f t="array" ref="B1476">IFERROR(INDEX(event_table!$E$1:$E3686,MATCH(A1476,event_table!$A$1:$A3686,0)),"")
</f>
        <v>3</v>
      </c>
      <c r="C1476" s="7">
        <f t="shared" si="1"/>
        <v>153</v>
      </c>
      <c r="D1476" s="6" t="str">
        <f t="array" ref="D1476">IFERROR(INDEX(user_table!$C$2:$C3686,MATCH(C1476,user_table!$B$2:$B3686,0)),"")
</f>
        <v>Budi Hartono</v>
      </c>
      <c r="E1476" s="6" t="str">
        <f t="array" ref="E1476">IFERROR(INDEX(user_table!$E$2:$E3686,MATCH(C1476,user_table!$B$2:$B3686,0)),"")
</f>
        <v>5, 2</v>
      </c>
      <c r="F1476" s="6" t="str">
        <f t="shared" si="2"/>
        <v>133553153</v>
      </c>
      <c r="G1476" s="16">
        <v>5.0</v>
      </c>
      <c r="H1476" s="17">
        <v>44702.0</v>
      </c>
      <c r="I1476" s="18" t="s">
        <v>1456</v>
      </c>
    </row>
    <row r="1477">
      <c r="A1477" s="5" t="str">
        <f t="array" ref="A1477">INDEX(event_table!$A$2:$A$69, RANDBETWEEN(1, COUNTA(event_table!$A$2:$A$69)))</f>
        <v>1638</v>
      </c>
      <c r="B1477" s="6">
        <f t="array" ref="B1477">IFERROR(INDEX(event_table!$E$1:$E3686,MATCH(A1477,event_table!$A$1:$A3686,0)),"")
</f>
        <v>6</v>
      </c>
      <c r="C1477" s="7">
        <f t="shared" si="1"/>
        <v>36</v>
      </c>
      <c r="D1477" s="6" t="str">
        <f t="array" ref="D1477">IFERROR(INDEX(user_table!$C$2:$C3686,MATCH(C1477,user_table!$B$2:$B3686,0)),"")
</f>
        <v>Arif Susanto</v>
      </c>
      <c r="E1477" s="6" t="str">
        <f t="array" ref="E1477">IFERROR(INDEX(user_table!$E$2:$E3686,MATCH(C1477,user_table!$B$2:$B3686,0)),"")
</f>
        <v>3, 5</v>
      </c>
      <c r="F1477" s="6" t="str">
        <f t="shared" si="2"/>
        <v>16384636</v>
      </c>
      <c r="G1477" s="16">
        <v>4.0</v>
      </c>
      <c r="H1477" s="17">
        <v>45131.0</v>
      </c>
      <c r="I1477" s="18" t="s">
        <v>1457</v>
      </c>
    </row>
    <row r="1478">
      <c r="A1478" s="5" t="str">
        <f t="array" ref="A1478">INDEX(event_table!$A$2:$A$69, RANDBETWEEN(1, COUNTA(event_table!$A$2:$A$69)))</f>
        <v>1641</v>
      </c>
      <c r="B1478" s="6">
        <f t="array" ref="B1478">IFERROR(INDEX(event_table!$E$1:$E3686,MATCH(A1478,event_table!$A$1:$A3686,0)),"")
</f>
        <v>6</v>
      </c>
      <c r="C1478" s="7">
        <f t="shared" si="1"/>
        <v>166</v>
      </c>
      <c r="D1478" s="6" t="str">
        <f t="array" ref="D1478">IFERROR(INDEX(user_table!$C$2:$C3686,MATCH(C1478,user_table!$B$2:$B3686,0)),"")
</f>
        <v>Fajar Nurhayati</v>
      </c>
      <c r="E1478" s="6" t="str">
        <f t="array" ref="E1478">IFERROR(INDEX(user_table!$E$2:$E3686,MATCH(C1478,user_table!$B$2:$B3686,0)),"")
</f>
        <v>3, 5</v>
      </c>
      <c r="F1478" s="6" t="str">
        <f t="shared" si="2"/>
        <v>164146166</v>
      </c>
      <c r="G1478" s="16">
        <v>4.0</v>
      </c>
      <c r="H1478" s="17">
        <v>45054.0</v>
      </c>
      <c r="I1478" s="18" t="s">
        <v>1458</v>
      </c>
    </row>
    <row r="1479">
      <c r="A1479" s="5" t="str">
        <f t="array" ref="A1479">INDEX(event_table!$A$2:$A$69, RANDBETWEEN(1, COUNTA(event_table!$A$2:$A$69)))</f>
        <v>1645</v>
      </c>
      <c r="B1479" s="6">
        <f t="array" ref="B1479">IFERROR(INDEX(event_table!$E$1:$E3686,MATCH(A1479,event_table!$A$1:$A3686,0)),"")
</f>
        <v>6</v>
      </c>
      <c r="C1479" s="7">
        <f t="shared" si="1"/>
        <v>36</v>
      </c>
      <c r="D1479" s="6" t="str">
        <f t="array" ref="D1479">IFERROR(INDEX(user_table!$C$2:$C3686,MATCH(C1479,user_table!$B$2:$B3686,0)),"")
</f>
        <v>Arif Susanto</v>
      </c>
      <c r="E1479" s="6" t="str">
        <f t="array" ref="E1479">IFERROR(INDEX(user_table!$E$2:$E3686,MATCH(C1479,user_table!$B$2:$B3686,0)),"")
</f>
        <v>3, 5</v>
      </c>
      <c r="F1479" s="6" t="str">
        <f t="shared" si="2"/>
        <v>16454636</v>
      </c>
      <c r="G1479" s="16">
        <v>4.0</v>
      </c>
      <c r="H1479" s="17">
        <v>45037.0</v>
      </c>
      <c r="I1479" s="18" t="s">
        <v>1459</v>
      </c>
    </row>
    <row r="1480">
      <c r="A1480" s="5" t="str">
        <f t="array" ref="A1480">INDEX(event_table!$A$2:$A$69, RANDBETWEEN(1, COUNTA(event_table!$A$2:$A$69)))</f>
        <v>1114</v>
      </c>
      <c r="B1480" s="6">
        <f t="array" ref="B1480">IFERROR(INDEX(event_table!$E$1:$E3686,MATCH(A1480,event_table!$A$1:$A3686,0)),"")
</f>
        <v>1</v>
      </c>
      <c r="C1480" s="7">
        <f t="shared" si="1"/>
        <v>108</v>
      </c>
      <c r="D1480" s="6" t="str">
        <f t="array" ref="D1480">IFERROR(INDEX(user_table!$C$2:$C3686,MATCH(C1480,user_table!$B$2:$B3686,0)),"")
</f>
        <v>Dewi Hadiwijaya</v>
      </c>
      <c r="E1480" s="6" t="str">
        <f t="array" ref="E1480">IFERROR(INDEX(user_table!$E$2:$E3686,MATCH(C1480,user_table!$B$2:$B3686,0)),"")
</f>
        <v>6, 6</v>
      </c>
      <c r="F1480" s="6" t="str">
        <f t="shared" si="2"/>
        <v>111441108</v>
      </c>
      <c r="G1480" s="16">
        <v>4.0</v>
      </c>
      <c r="H1480" s="17">
        <v>44871.0</v>
      </c>
      <c r="I1480" s="18" t="s">
        <v>1460</v>
      </c>
    </row>
    <row r="1481">
      <c r="A1481" s="5" t="str">
        <f t="array" ref="A1481">INDEX(event_table!$A$2:$A$69, RANDBETWEEN(1, COUNTA(event_table!$A$2:$A$69)))</f>
        <v>1110</v>
      </c>
      <c r="B1481" s="6">
        <f t="array" ref="B1481">IFERROR(INDEX(event_table!$E$1:$E3686,MATCH(A1481,event_table!$A$1:$A3686,0)),"")
</f>
        <v>1</v>
      </c>
      <c r="C1481" s="7">
        <f t="shared" si="1"/>
        <v>182</v>
      </c>
      <c r="D1481" s="6" t="str">
        <f t="array" ref="D1481">IFERROR(INDEX(user_table!$C$2:$C3686,MATCH(C1481,user_table!$B$2:$B3686,0)),"")
</f>
        <v>Siti Utami</v>
      </c>
      <c r="E1481" s="6" t="str">
        <f t="array" ref="E1481">IFERROR(INDEX(user_table!$E$2:$E3686,MATCH(C1481,user_table!$B$2:$B3686,0)),"")
</f>
        <v>5, 4</v>
      </c>
      <c r="F1481" s="6" t="str">
        <f t="shared" si="2"/>
        <v>111041182</v>
      </c>
      <c r="G1481" s="16">
        <v>4.0</v>
      </c>
      <c r="H1481" s="17">
        <v>44750.0</v>
      </c>
      <c r="I1481" s="18" t="s">
        <v>1461</v>
      </c>
    </row>
    <row r="1482">
      <c r="A1482" s="5" t="str">
        <f t="array" ref="A1482">INDEX(event_table!$A$2:$A$69, RANDBETWEEN(1, COUNTA(event_table!$A$2:$A$69)))</f>
        <v>1639</v>
      </c>
      <c r="B1482" s="6">
        <f t="array" ref="B1482">IFERROR(INDEX(event_table!$E$1:$E3686,MATCH(A1482,event_table!$A$1:$A3686,0)),"")
</f>
        <v>6</v>
      </c>
      <c r="C1482" s="7">
        <f t="shared" si="1"/>
        <v>174</v>
      </c>
      <c r="D1482" s="6" t="str">
        <f t="array" ref="D1482">IFERROR(INDEX(user_table!$C$2:$C3686,MATCH(C1482,user_table!$B$2:$B3686,0)),"")
</f>
        <v>Maya Hermawan</v>
      </c>
      <c r="E1482" s="6" t="str">
        <f t="array" ref="E1482">IFERROR(INDEX(user_table!$E$2:$E3686,MATCH(C1482,user_table!$B$2:$B3686,0)),"")
</f>
        <v>5, 1</v>
      </c>
      <c r="F1482" s="6" t="str">
        <f t="shared" si="2"/>
        <v>163946174</v>
      </c>
      <c r="G1482" s="16">
        <v>4.0</v>
      </c>
      <c r="H1482" s="17">
        <v>44929.0</v>
      </c>
      <c r="I1482" s="18" t="s">
        <v>1462</v>
      </c>
    </row>
    <row r="1483">
      <c r="A1483" s="5" t="str">
        <f t="array" ref="A1483">INDEX(event_table!$A$2:$A$69, RANDBETWEEN(1, COUNTA(event_table!$A$2:$A$69)))</f>
        <v>1636</v>
      </c>
      <c r="B1483" s="6">
        <f t="array" ref="B1483">IFERROR(INDEX(event_table!$E$1:$E3686,MATCH(A1483,event_table!$A$1:$A3686,0)),"")
</f>
        <v>6</v>
      </c>
      <c r="C1483" s="7">
        <f t="shared" si="1"/>
        <v>87</v>
      </c>
      <c r="D1483" s="6" t="str">
        <f t="array" ref="D1483">IFERROR(INDEX(user_table!$C$2:$C3686,MATCH(C1483,user_table!$B$2:$B3686,0)),"")
</f>
        <v>Budi Setiawan</v>
      </c>
      <c r="E1483" s="6" t="str">
        <f t="array" ref="E1483">IFERROR(INDEX(user_table!$E$2:$E3686,MATCH(C1483,user_table!$B$2:$B3686,0)),"")
</f>
        <v>3, 5</v>
      </c>
      <c r="F1483" s="6" t="str">
        <f t="shared" si="2"/>
        <v>16364687</v>
      </c>
      <c r="G1483" s="16">
        <v>4.0</v>
      </c>
      <c r="H1483" s="17">
        <v>44697.0</v>
      </c>
      <c r="I1483" s="18" t="s">
        <v>1463</v>
      </c>
    </row>
    <row r="1484">
      <c r="A1484" s="5" t="str">
        <f t="array" ref="A1484">INDEX(event_table!$A$2:$A$69, RANDBETWEEN(1, COUNTA(event_table!$A$2:$A$69)))</f>
        <v>1333</v>
      </c>
      <c r="B1484" s="6">
        <f t="array" ref="B1484">IFERROR(INDEX(event_table!$E$1:$E3686,MATCH(A1484,event_table!$A$1:$A3686,0)),"")
</f>
        <v>3</v>
      </c>
      <c r="C1484" s="7">
        <f t="shared" si="1"/>
        <v>12</v>
      </c>
      <c r="D1484" s="6" t="str">
        <f t="array" ref="D1484">IFERROR(INDEX(user_table!$C$2:$C3686,MATCH(C1484,user_table!$B$2:$B3686,0)),"")
</f>
        <v>Joko Susanto</v>
      </c>
      <c r="E1484" s="6" t="str">
        <f t="array" ref="E1484">IFERROR(INDEX(user_table!$E$2:$E3686,MATCH(C1484,user_table!$B$2:$B3686,0)),"")
</f>
        <v>4, 2</v>
      </c>
      <c r="F1484" s="6" t="str">
        <f t="shared" si="2"/>
        <v>13333312</v>
      </c>
      <c r="G1484" s="16">
        <v>3.0</v>
      </c>
      <c r="H1484" s="17">
        <v>44748.0</v>
      </c>
      <c r="I1484" s="18" t="s">
        <v>1464</v>
      </c>
    </row>
    <row r="1485">
      <c r="A1485" s="5" t="str">
        <f t="array" ref="A1485">INDEX(event_table!$A$2:$A$69, RANDBETWEEN(1, COUNTA(event_table!$A$2:$A$69)))</f>
        <v>1528</v>
      </c>
      <c r="B1485" s="6">
        <f t="array" ref="B1485">IFERROR(INDEX(event_table!$E$1:$E3686,MATCH(A1485,event_table!$A$1:$A3686,0)),"")
</f>
        <v>5</v>
      </c>
      <c r="C1485" s="7">
        <f t="shared" si="1"/>
        <v>86</v>
      </c>
      <c r="D1485" s="6" t="str">
        <f t="array" ref="D1485">IFERROR(INDEX(user_table!$C$2:$C3686,MATCH(C1485,user_table!$B$2:$B3686,0)),"")
</f>
        <v>Lina Santoso</v>
      </c>
      <c r="E1485" s="6" t="str">
        <f t="array" ref="E1485">IFERROR(INDEX(user_table!$E$2:$E3686,MATCH(C1485,user_table!$B$2:$B3686,0)),"")
</f>
        <v>4, 3</v>
      </c>
      <c r="F1485" s="6" t="str">
        <f t="shared" si="2"/>
        <v>15283586</v>
      </c>
      <c r="G1485" s="16">
        <v>3.0</v>
      </c>
      <c r="H1485" s="17">
        <v>44687.0</v>
      </c>
      <c r="I1485" s="18" t="s">
        <v>324</v>
      </c>
    </row>
    <row r="1486">
      <c r="A1486" s="5" t="str">
        <f t="array" ref="A1486">INDEX(event_table!$A$2:$A$69, RANDBETWEEN(1, COUNTA(event_table!$A$2:$A$69)))</f>
        <v>1640</v>
      </c>
      <c r="B1486" s="6">
        <f t="array" ref="B1486">IFERROR(INDEX(event_table!$E$1:$E3686,MATCH(A1486,event_table!$A$1:$A3686,0)),"")
</f>
        <v>6</v>
      </c>
      <c r="C1486" s="7">
        <f t="shared" si="1"/>
        <v>133</v>
      </c>
      <c r="D1486" s="6" t="str">
        <f t="array" ref="D1486">IFERROR(INDEX(user_table!$C$2:$C3686,MATCH(C1486,user_table!$B$2:$B3686,0)),"")
</f>
        <v>Dewi Sari</v>
      </c>
      <c r="E1486" s="6" t="str">
        <f t="array" ref="E1486">IFERROR(INDEX(user_table!$E$2:$E3686,MATCH(C1486,user_table!$B$2:$B3686,0)),"")
</f>
        <v>6, 5</v>
      </c>
      <c r="F1486" s="6" t="str">
        <f t="shared" si="2"/>
        <v>164036133</v>
      </c>
      <c r="G1486" s="16">
        <v>3.0</v>
      </c>
      <c r="H1486" s="17">
        <v>45241.0</v>
      </c>
      <c r="I1486" s="18" t="s">
        <v>1465</v>
      </c>
    </row>
    <row r="1487">
      <c r="A1487" s="5" t="str">
        <f t="array" ref="A1487">INDEX(event_table!$A$2:$A$69, RANDBETWEEN(1, COUNTA(event_table!$A$2:$A$69)))</f>
        <v>3658</v>
      </c>
      <c r="B1487" s="6">
        <f t="array" ref="B1487">IFERROR(INDEX(event_table!$E$1:$E3686,MATCH(A1487,event_table!$A$1:$A3686,0)),"")
</f>
        <v>6</v>
      </c>
      <c r="C1487" s="7">
        <f t="shared" si="1"/>
        <v>34</v>
      </c>
      <c r="D1487" s="6" t="str">
        <f t="array" ref="D1487">IFERROR(INDEX(user_table!$C$2:$C3686,MATCH(C1487,user_table!$B$2:$B3686,0)),"")
</f>
        <v>Bambang Putri</v>
      </c>
      <c r="E1487" s="6" t="str">
        <f t="array" ref="E1487">IFERROR(INDEX(user_table!$E$2:$E3686,MATCH(C1487,user_table!$B$2:$B3686,0)),"")
</f>
        <v>3, 5</v>
      </c>
      <c r="F1487" s="6" t="str">
        <f t="shared" si="2"/>
        <v>36583634</v>
      </c>
      <c r="G1487" s="16">
        <v>3.0</v>
      </c>
      <c r="H1487" s="17">
        <v>45241.0</v>
      </c>
      <c r="I1487" s="18" t="s">
        <v>1466</v>
      </c>
    </row>
    <row r="1488">
      <c r="A1488" s="5" t="str">
        <f t="array" ref="A1488">INDEX(event_table!$A$2:$A$69, RANDBETWEEN(1, COUNTA(event_table!$A$2:$A$69)))</f>
        <v>1417</v>
      </c>
      <c r="B1488" s="6">
        <f t="array" ref="B1488">IFERROR(INDEX(event_table!$E$1:$E3686,MATCH(A1488,event_table!$A$1:$A3686,0)),"")
</f>
        <v>4</v>
      </c>
      <c r="C1488" s="7">
        <f t="shared" si="1"/>
        <v>101</v>
      </c>
      <c r="D1488" s="6" t="str">
        <f t="array" ref="D1488">IFERROR(INDEX(user_table!$C$2:$C3686,MATCH(C1488,user_table!$B$2:$B3686,0)),"")
</f>
        <v>Maya Hadiwijaya</v>
      </c>
      <c r="E1488" s="6" t="str">
        <f t="array" ref="E1488">IFERROR(INDEX(user_table!$E$2:$E3686,MATCH(C1488,user_table!$B$2:$B3686,0)),"")
</f>
        <v>5, 4</v>
      </c>
      <c r="F1488" s="6" t="str">
        <f t="shared" si="2"/>
        <v>141734101</v>
      </c>
      <c r="G1488" s="16">
        <v>3.0</v>
      </c>
      <c r="H1488" s="17">
        <v>45104.0</v>
      </c>
      <c r="I1488" s="18" t="s">
        <v>1467</v>
      </c>
    </row>
    <row r="1489">
      <c r="A1489" s="5" t="str">
        <f t="array" ref="A1489">INDEX(event_table!$A$2:$A$69, RANDBETWEEN(1, COUNTA(event_table!$A$2:$A$69)))</f>
        <v>3169</v>
      </c>
      <c r="B1489" s="6">
        <f t="array" ref="B1489">IFERROR(INDEX(event_table!$E$1:$E3686,MATCH(A1489,event_table!$A$1:$A3686,0)),"")
</f>
        <v>1</v>
      </c>
      <c r="C1489" s="7">
        <f t="shared" si="1"/>
        <v>91</v>
      </c>
      <c r="D1489" s="6" t="str">
        <f t="array" ref="D1489">IFERROR(INDEX(user_table!$C$2:$C3686,MATCH(C1489,user_table!$B$2:$B3686,0)),"")
</f>
        <v>Bambang Wijaya</v>
      </c>
      <c r="E1489" s="6" t="str">
        <f t="array" ref="E1489">IFERROR(INDEX(user_table!$E$2:$E3686,MATCH(C1489,user_table!$B$2:$B3686,0)),"")
</f>
        <v>1, 2</v>
      </c>
      <c r="F1489" s="6" t="str">
        <f t="shared" si="2"/>
        <v>31692191</v>
      </c>
      <c r="G1489" s="16">
        <v>2.0</v>
      </c>
      <c r="H1489" s="17">
        <v>45113.0</v>
      </c>
      <c r="I1489" s="18" t="s">
        <v>1468</v>
      </c>
    </row>
    <row r="1490">
      <c r="A1490" s="5" t="str">
        <f t="array" ref="A1490">INDEX(event_table!$A$2:$A$69, RANDBETWEEN(1, COUNTA(event_table!$A$2:$A$69)))</f>
        <v>1636</v>
      </c>
      <c r="B1490" s="6">
        <f t="array" ref="B1490">IFERROR(INDEX(event_table!$E$1:$E3686,MATCH(A1490,event_table!$A$1:$A3686,0)),"")
</f>
        <v>6</v>
      </c>
      <c r="C1490" s="7">
        <f t="shared" si="1"/>
        <v>174</v>
      </c>
      <c r="D1490" s="6" t="str">
        <f t="array" ref="D1490">IFERROR(INDEX(user_table!$C$2:$C3686,MATCH(C1490,user_table!$B$2:$B3686,0)),"")
</f>
        <v>Maya Hermawan</v>
      </c>
      <c r="E1490" s="6" t="str">
        <f t="array" ref="E1490">IFERROR(INDEX(user_table!$E$2:$E3686,MATCH(C1490,user_table!$B$2:$B3686,0)),"")
</f>
        <v>5, 1</v>
      </c>
      <c r="F1490" s="6" t="str">
        <f t="shared" si="2"/>
        <v>163626174</v>
      </c>
      <c r="G1490" s="16">
        <v>2.0</v>
      </c>
      <c r="H1490" s="17">
        <v>44825.0</v>
      </c>
      <c r="I1490" s="18" t="s">
        <v>1469</v>
      </c>
    </row>
    <row r="1491">
      <c r="A1491" s="5" t="str">
        <f t="array" ref="A1491">INDEX(event_table!$A$2:$A$69, RANDBETWEEN(1, COUNTA(event_table!$A$2:$A$69)))</f>
        <v>1422</v>
      </c>
      <c r="B1491" s="6">
        <f t="array" ref="B1491">IFERROR(INDEX(event_table!$E$1:$E3686,MATCH(A1491,event_table!$A$1:$A3686,0)),"")
</f>
        <v>4</v>
      </c>
      <c r="C1491" s="7">
        <f t="shared" si="1"/>
        <v>70</v>
      </c>
      <c r="D1491" s="6" t="str">
        <f t="array" ref="D1491">IFERROR(INDEX(user_table!$C$2:$C3686,MATCH(C1491,user_table!$B$2:$B3686,0)),"")
</f>
        <v>Fandi Hadiwijaya</v>
      </c>
      <c r="E1491" s="6" t="str">
        <f t="array" ref="E1491">IFERROR(INDEX(user_table!$E$2:$E3686,MATCH(C1491,user_table!$B$2:$B3686,0)),"")
</f>
        <v>1, 4</v>
      </c>
      <c r="F1491" s="6" t="str">
        <f t="shared" si="2"/>
        <v>14222470</v>
      </c>
      <c r="G1491" s="16">
        <v>2.0</v>
      </c>
      <c r="H1491" s="17">
        <v>44502.0</v>
      </c>
      <c r="I1491" s="18" t="s">
        <v>1470</v>
      </c>
    </row>
    <row r="1492">
      <c r="A1492" s="5" t="str">
        <f t="array" ref="A1492">INDEX(event_table!$A$2:$A$69, RANDBETWEEN(1, COUNTA(event_table!$A$2:$A$69)))</f>
        <v>1334</v>
      </c>
      <c r="B1492" s="6">
        <f t="array" ref="B1492">IFERROR(INDEX(event_table!$E$1:$E3686,MATCH(A1492,event_table!$A$1:$A3686,0)),"")
</f>
        <v>3</v>
      </c>
      <c r="C1492" s="7">
        <f t="shared" si="1"/>
        <v>178</v>
      </c>
      <c r="D1492" s="6" t="str">
        <f t="array" ref="D1492">IFERROR(INDEX(user_table!$C$2:$C3686,MATCH(C1492,user_table!$B$2:$B3686,0)),"")
</f>
        <v>Dewi Hidayat</v>
      </c>
      <c r="E1492" s="6" t="str">
        <f t="array" ref="E1492">IFERROR(INDEX(user_table!$E$2:$E3686,MATCH(C1492,user_table!$B$2:$B3686,0)),"")
</f>
        <v>3, 2</v>
      </c>
      <c r="F1492" s="6" t="str">
        <f t="shared" si="2"/>
        <v>133413178</v>
      </c>
      <c r="G1492" s="16">
        <v>1.0</v>
      </c>
      <c r="H1492" s="17">
        <v>45270.0</v>
      </c>
      <c r="I1492" s="18" t="s">
        <v>1471</v>
      </c>
    </row>
    <row r="1493">
      <c r="A1493" s="5" t="str">
        <f t="array" ref="A1493">INDEX(event_table!$A$2:$A$69, RANDBETWEEN(1, COUNTA(event_table!$A$2:$A$69)))</f>
        <v>1652</v>
      </c>
      <c r="B1493" s="6">
        <f t="array" ref="B1493">IFERROR(INDEX(event_table!$E$1:$E3686,MATCH(A1493,event_table!$A$1:$A3686,0)),"")
</f>
        <v>6</v>
      </c>
      <c r="C1493" s="7">
        <f t="shared" si="1"/>
        <v>55</v>
      </c>
      <c r="D1493" s="6" t="str">
        <f t="array" ref="D1493">IFERROR(INDEX(user_table!$C$2:$C3686,MATCH(C1493,user_table!$B$2:$B3686,0)),"")
</f>
        <v>Joko Sari</v>
      </c>
      <c r="E1493" s="6" t="str">
        <f t="array" ref="E1493">IFERROR(INDEX(user_table!$E$2:$E3686,MATCH(C1493,user_table!$B$2:$B3686,0)),"")
</f>
        <v>6, 6</v>
      </c>
      <c r="F1493" s="6" t="str">
        <f t="shared" si="2"/>
        <v>16521655</v>
      </c>
      <c r="G1493" s="16">
        <v>1.0</v>
      </c>
      <c r="H1493" s="17">
        <v>45211.0</v>
      </c>
      <c r="I1493" s="18" t="s">
        <v>1472</v>
      </c>
    </row>
    <row r="1494">
      <c r="A1494" s="5" t="str">
        <f t="array" ref="A1494">INDEX(event_table!$A$2:$A$69, RANDBETWEEN(1, COUNTA(event_table!$A$2:$A$69)))</f>
        <v>1424</v>
      </c>
      <c r="B1494" s="6">
        <f t="array" ref="B1494">IFERROR(INDEX(event_table!$E$1:$E3686,MATCH(A1494,event_table!$A$1:$A3686,0)),"")
</f>
        <v>4</v>
      </c>
      <c r="C1494" s="7">
        <f t="shared" si="1"/>
        <v>117</v>
      </c>
      <c r="D1494" s="6" t="str">
        <f t="array" ref="D1494">IFERROR(INDEX(user_table!$C$2:$C3686,MATCH(C1494,user_table!$B$2:$B3686,0)),"")
</f>
        <v>Wahyu Sari</v>
      </c>
      <c r="E1494" s="6" t="str">
        <f t="array" ref="E1494">IFERROR(INDEX(user_table!$E$2:$E3686,MATCH(C1494,user_table!$B$2:$B3686,0)),"")
</f>
        <v>4, 2</v>
      </c>
      <c r="F1494" s="6" t="str">
        <f t="shared" si="2"/>
        <v>142414117</v>
      </c>
      <c r="G1494" s="16">
        <v>1.0</v>
      </c>
      <c r="H1494" s="17">
        <v>45262.0</v>
      </c>
      <c r="I1494" s="18" t="s">
        <v>1473</v>
      </c>
    </row>
    <row r="1495">
      <c r="A1495" s="5" t="str">
        <f t="array" ref="A1495">INDEX(event_table!$A$2:$A$69, RANDBETWEEN(1, COUNTA(event_table!$A$2:$A$69)))</f>
        <v>3162</v>
      </c>
      <c r="B1495" s="6">
        <f t="array" ref="B1495">IFERROR(INDEX(event_table!$E$1:$E3686,MATCH(A1495,event_table!$A$1:$A3686,0)),"")
</f>
        <v>1</v>
      </c>
      <c r="C1495" s="7">
        <f t="shared" si="1"/>
        <v>85</v>
      </c>
      <c r="D1495" s="6" t="str">
        <f t="array" ref="D1495">IFERROR(INDEX(user_table!$C$2:$C3686,MATCH(C1495,user_table!$B$2:$B3686,0)),"")
</f>
        <v>Maya Susanto</v>
      </c>
      <c r="E1495" s="6" t="str">
        <f t="array" ref="E1495">IFERROR(INDEX(user_table!$E$2:$E3686,MATCH(C1495,user_table!$B$2:$B3686,0)),"")
</f>
        <v>6, 5</v>
      </c>
      <c r="F1495" s="6" t="str">
        <f t="shared" si="2"/>
        <v>31621185</v>
      </c>
      <c r="G1495" s="16">
        <v>1.0</v>
      </c>
      <c r="H1495" s="17">
        <v>45143.0</v>
      </c>
      <c r="I1495" s="18" t="s">
        <v>1474</v>
      </c>
    </row>
    <row r="1496">
      <c r="A1496" s="5" t="str">
        <f t="array" ref="A1496">INDEX(event_table!$A$2:$A$69, RANDBETWEEN(1, COUNTA(event_table!$A$2:$A$69)))</f>
        <v>1651</v>
      </c>
      <c r="B1496" s="6">
        <f t="array" ref="B1496">IFERROR(INDEX(event_table!$E$1:$E3686,MATCH(A1496,event_table!$A$1:$A3686,0)),"")
</f>
        <v>6</v>
      </c>
      <c r="C1496" s="7">
        <f t="shared" si="1"/>
        <v>4</v>
      </c>
      <c r="D1496" s="6" t="str">
        <f t="array" ref="D1496">IFERROR(INDEX(user_table!$C$2:$C3686,MATCH(C1496,user_table!$B$2:$B3686,0)),"")
</f>
        <v>Dina Utami</v>
      </c>
      <c r="E1496" s="6" t="str">
        <f t="array" ref="E1496">IFERROR(INDEX(user_table!$E$2:$E3686,MATCH(C1496,user_table!$B$2:$B3686,0)),"")
</f>
        <v>6, 2</v>
      </c>
      <c r="F1496" s="6" t="str">
        <f t="shared" si="2"/>
        <v>1651164</v>
      </c>
      <c r="G1496" s="16">
        <v>1.0</v>
      </c>
      <c r="H1496" s="17">
        <v>45143.0</v>
      </c>
      <c r="I1496" s="18" t="s">
        <v>1475</v>
      </c>
    </row>
    <row r="1497">
      <c r="A1497" s="5" t="str">
        <f t="array" ref="A1497">INDEX(event_table!$A$2:$A$69, RANDBETWEEN(1, COUNTA(event_table!$A$2:$A$69)))</f>
        <v>1553</v>
      </c>
      <c r="B1497" s="6">
        <f t="array" ref="B1497">IFERROR(INDEX(event_table!$E$1:$E3686,MATCH(A1497,event_table!$A$1:$A3686,0)),"")
</f>
        <v>5</v>
      </c>
      <c r="C1497" s="7">
        <f t="shared" si="1"/>
        <v>173</v>
      </c>
      <c r="D1497" s="6" t="str">
        <f t="array" ref="D1497">IFERROR(INDEX(user_table!$C$2:$C3686,MATCH(C1497,user_table!$B$2:$B3686,0)),"")
</f>
        <v>Fajar Putri</v>
      </c>
      <c r="E1497" s="6" t="str">
        <f t="array" ref="E1497">IFERROR(INDEX(user_table!$E$2:$E3686,MATCH(C1497,user_table!$B$2:$B3686,0)),"")
</f>
        <v>2, 6</v>
      </c>
      <c r="F1497" s="6" t="str">
        <f t="shared" si="2"/>
        <v>155315173</v>
      </c>
      <c r="G1497" s="16">
        <v>1.0</v>
      </c>
      <c r="H1497" s="17">
        <v>45143.0</v>
      </c>
      <c r="I1497" s="18" t="s">
        <v>1476</v>
      </c>
    </row>
    <row r="1498">
      <c r="A1498" s="5" t="str">
        <f t="array" ref="A1498">INDEX(event_table!$A$2:$A$69, RANDBETWEEN(1, COUNTA(event_table!$A$2:$A$69)))</f>
        <v>113</v>
      </c>
      <c r="B1498" s="6">
        <f t="array" ref="B1498">IFERROR(INDEX(event_table!$E$1:$E3686,MATCH(A1498,event_table!$A$1:$A3686,0)),"")
</f>
        <v>1</v>
      </c>
      <c r="C1498" s="7">
        <f t="shared" si="1"/>
        <v>183</v>
      </c>
      <c r="D1498" s="6" t="str">
        <f t="array" ref="D1498">IFERROR(INDEX(user_table!$C$2:$C3686,MATCH(C1498,user_table!$B$2:$B3686,0)),"")
</f>
        <v>Siti Nugroho</v>
      </c>
      <c r="E1498" s="6" t="str">
        <f t="array" ref="E1498">IFERROR(INDEX(user_table!$E$2:$E3686,MATCH(C1498,user_table!$B$2:$B3686,0)),"")
</f>
        <v>4, 6</v>
      </c>
      <c r="F1498" s="6" t="str">
        <f t="shared" si="2"/>
        <v>11311183</v>
      </c>
      <c r="G1498" s="16">
        <v>1.0</v>
      </c>
      <c r="H1498" s="17">
        <v>45129.0</v>
      </c>
      <c r="I1498" s="18" t="s">
        <v>1477</v>
      </c>
    </row>
    <row r="1499">
      <c r="A1499" s="5" t="str">
        <f t="array" ref="A1499">INDEX(event_table!$A$2:$A$69, RANDBETWEEN(1, COUNTA(event_table!$A$2:$A$69)))</f>
        <v>1424</v>
      </c>
      <c r="B1499" s="6">
        <f t="array" ref="B1499">IFERROR(INDEX(event_table!$E$1:$E3686,MATCH(A1499,event_table!$A$1:$A3686,0)),"")
</f>
        <v>4</v>
      </c>
      <c r="C1499" s="7">
        <f t="shared" si="1"/>
        <v>43</v>
      </c>
      <c r="D1499" s="6" t="str">
        <f t="array" ref="D1499">IFERROR(INDEX(user_table!$C$2:$C3686,MATCH(C1499,user_table!$B$2:$B3686,0)),"")
</f>
        <v>Lina Putri</v>
      </c>
      <c r="E1499" s="6" t="str">
        <f t="array" ref="E1499">IFERROR(INDEX(user_table!$E$2:$E3686,MATCH(C1499,user_table!$B$2:$B3686,0)),"")
</f>
        <v>1, 6</v>
      </c>
      <c r="F1499" s="6" t="str">
        <f t="shared" si="2"/>
        <v>14241443</v>
      </c>
      <c r="G1499" s="16">
        <v>1.0</v>
      </c>
      <c r="H1499" s="17">
        <v>45069.0</v>
      </c>
      <c r="I1499" s="18" t="s">
        <v>1478</v>
      </c>
    </row>
    <row r="1500">
      <c r="A1500" s="5" t="str">
        <f t="array" ref="A1500">INDEX(event_table!$A$2:$A$69, RANDBETWEEN(1, COUNTA(event_table!$A$2:$A$69)))</f>
        <v>1421</v>
      </c>
      <c r="B1500" s="6">
        <f t="array" ref="B1500">IFERROR(INDEX(event_table!$E$1:$E3686,MATCH(A1500,event_table!$A$1:$A3686,0)),"")
</f>
        <v>4</v>
      </c>
      <c r="C1500" s="7">
        <f t="shared" si="1"/>
        <v>95</v>
      </c>
      <c r="D1500" s="6" t="str">
        <f t="array" ref="D1500">IFERROR(INDEX(user_table!$C$2:$C3686,MATCH(C1500,user_table!$B$2:$B3686,0)),"")
</f>
        <v>Ani Pratama</v>
      </c>
      <c r="E1500" s="6" t="str">
        <f t="array" ref="E1500">IFERROR(INDEX(user_table!$E$2:$E3686,MATCH(C1500,user_table!$B$2:$B3686,0)),"")
</f>
        <v>3, 5</v>
      </c>
      <c r="F1500" s="6" t="str">
        <f t="shared" si="2"/>
        <v>14211495</v>
      </c>
      <c r="G1500" s="16">
        <v>1.0</v>
      </c>
      <c r="H1500" s="17">
        <v>45054.0</v>
      </c>
      <c r="I1500" s="18" t="s">
        <v>1479</v>
      </c>
    </row>
    <row r="1501">
      <c r="A1501" s="5" t="str">
        <f t="array" ref="A1501">INDEX(event_table!$A$2:$A$69, RANDBETWEEN(1, COUNTA(event_table!$A$2:$A$69)))</f>
        <v>1647</v>
      </c>
      <c r="B1501" s="6">
        <f t="array" ref="B1501">IFERROR(INDEX(event_table!$E$1:$E3686,MATCH(A1501,event_table!$A$1:$A3686,0)),"")
</f>
        <v>6</v>
      </c>
      <c r="C1501" s="7">
        <f t="shared" si="1"/>
        <v>66</v>
      </c>
      <c r="D1501" s="6" t="str">
        <f t="array" ref="D1501">IFERROR(INDEX(user_table!$C$2:$C3686,MATCH(C1501,user_table!$B$2:$B3686,0)),"")
</f>
        <v>Agus Wijaya</v>
      </c>
      <c r="E1501" s="6" t="str">
        <f t="array" ref="E1501">IFERROR(INDEX(user_table!$E$2:$E3686,MATCH(C1501,user_table!$B$2:$B3686,0)),"")
</f>
        <v>5, 3</v>
      </c>
      <c r="F1501" s="6" t="str">
        <f t="shared" si="2"/>
        <v>16471666</v>
      </c>
      <c r="G1501" s="16">
        <v>1.0</v>
      </c>
      <c r="H1501" s="17">
        <v>45053.0</v>
      </c>
      <c r="I1501" s="18" t="s">
        <v>1480</v>
      </c>
    </row>
    <row r="1502">
      <c r="A1502" s="5" t="str">
        <f t="array" ref="A1502">INDEX(event_table!$A$2:$A$69, RANDBETWEEN(1, COUNTA(event_table!$A$2:$A$69)))</f>
        <v>117</v>
      </c>
      <c r="B1502" s="6">
        <f t="array" ref="B1502">IFERROR(INDEX(event_table!$E$1:$E3686,MATCH(A1502,event_table!$A$1:$A3686,0)),"")
</f>
        <v>1</v>
      </c>
      <c r="C1502" s="7">
        <f t="shared" si="1"/>
        <v>92</v>
      </c>
      <c r="D1502" s="6" t="str">
        <f t="array" ref="D1502">IFERROR(INDEX(user_table!$C$2:$C3686,MATCH(C1502,user_table!$B$2:$B3686,0)),"")
</f>
        <v>Andi Susanto</v>
      </c>
      <c r="E1502" s="6" t="str">
        <f t="array" ref="E1502">IFERROR(INDEX(user_table!$E$2:$E3686,MATCH(C1502,user_table!$B$2:$B3686,0)),"")
</f>
        <v>4, 4</v>
      </c>
      <c r="F1502" s="6" t="str">
        <f t="shared" si="2"/>
        <v>1171192</v>
      </c>
      <c r="G1502" s="16">
        <v>1.0</v>
      </c>
      <c r="H1502" s="17">
        <v>45044.0</v>
      </c>
      <c r="I1502" s="18" t="s">
        <v>1481</v>
      </c>
    </row>
    <row r="1503">
      <c r="A1503" s="5" t="str">
        <f t="array" ref="A1503">INDEX(event_table!$A$2:$A$69, RANDBETWEEN(1, COUNTA(event_table!$A$2:$A$69)))</f>
        <v>1553</v>
      </c>
      <c r="B1503" s="6">
        <f t="array" ref="B1503">IFERROR(INDEX(event_table!$E$1:$E3686,MATCH(A1503,event_table!$A$1:$A3686,0)),"")
</f>
        <v>5</v>
      </c>
      <c r="C1503" s="7">
        <f t="shared" si="1"/>
        <v>193</v>
      </c>
      <c r="D1503" s="6" t="str">
        <f t="array" ref="D1503">IFERROR(INDEX(user_table!$C$2:$C3686,MATCH(C1503,user_table!$B$2:$B3686,0)),"")
</f>
        <v>Dina Wijaya</v>
      </c>
      <c r="E1503" s="6" t="str">
        <f t="array" ref="E1503">IFERROR(INDEX(user_table!$E$2:$E3686,MATCH(C1503,user_table!$B$2:$B3686,0)),"")
</f>
        <v>4, 5</v>
      </c>
      <c r="F1503" s="6" t="str">
        <f t="shared" si="2"/>
        <v>155315193</v>
      </c>
      <c r="G1503" s="16">
        <v>1.0</v>
      </c>
      <c r="H1503" s="17">
        <v>45033.0</v>
      </c>
      <c r="I1503" s="18" t="s">
        <v>1482</v>
      </c>
    </row>
    <row r="1504">
      <c r="A1504" s="5" t="str">
        <f t="array" ref="A1504">INDEX(event_table!$A$2:$A$69, RANDBETWEEN(1, COUNTA(event_table!$A$2:$A$69)))</f>
        <v>1417</v>
      </c>
      <c r="B1504" s="6">
        <f t="array" ref="B1504">IFERROR(INDEX(event_table!$E$1:$E3686,MATCH(A1504,event_table!$A$1:$A3686,0)),"")
</f>
        <v>4</v>
      </c>
      <c r="C1504" s="7">
        <f t="shared" si="1"/>
        <v>122</v>
      </c>
      <c r="D1504" s="6" t="str">
        <f t="array" ref="D1504">IFERROR(INDEX(user_table!$C$2:$C3686,MATCH(C1504,user_table!$B$2:$B3686,0)),"")
</f>
        <v>Maya Setiawan</v>
      </c>
      <c r="E1504" s="6" t="str">
        <f t="array" ref="E1504">IFERROR(INDEX(user_table!$E$2:$E3686,MATCH(C1504,user_table!$B$2:$B3686,0)),"")
</f>
        <v>2, 3</v>
      </c>
      <c r="F1504" s="6" t="str">
        <f t="shared" si="2"/>
        <v>141754122</v>
      </c>
      <c r="G1504" s="16">
        <v>5.0</v>
      </c>
      <c r="H1504" s="17">
        <v>44751.0</v>
      </c>
      <c r="I1504" s="18" t="s">
        <v>1483</v>
      </c>
    </row>
    <row r="1505">
      <c r="A1505" s="5" t="str">
        <f t="array" ref="A1505">INDEX(event_table!$A$2:$A$69, RANDBETWEEN(1, COUNTA(event_table!$A$2:$A$69)))</f>
        <v>3170</v>
      </c>
      <c r="B1505" s="6">
        <f t="array" ref="B1505">IFERROR(INDEX(event_table!$E$1:$E3686,MATCH(A1505,event_table!$A$1:$A3686,0)),"")
</f>
        <v>1</v>
      </c>
      <c r="C1505" s="7">
        <f t="shared" si="1"/>
        <v>193</v>
      </c>
      <c r="D1505" s="6" t="str">
        <f t="array" ref="D1505">IFERROR(INDEX(user_table!$C$2:$C3686,MATCH(C1505,user_table!$B$2:$B3686,0)),"")
</f>
        <v>Dina Wijaya</v>
      </c>
      <c r="E1505" s="6" t="str">
        <f t="array" ref="E1505">IFERROR(INDEX(user_table!$E$2:$E3686,MATCH(C1505,user_table!$B$2:$B3686,0)),"")
</f>
        <v>4, 5</v>
      </c>
      <c r="F1505" s="6" t="str">
        <f t="shared" si="2"/>
        <v>317051193</v>
      </c>
      <c r="G1505" s="16">
        <v>5.0</v>
      </c>
      <c r="H1505" s="17">
        <v>44744.0</v>
      </c>
      <c r="I1505" s="18" t="s">
        <v>1484</v>
      </c>
    </row>
    <row r="1506">
      <c r="A1506" s="5" t="str">
        <f t="array" ref="A1506">INDEX(event_table!$A$2:$A$69, RANDBETWEEN(1, COUNTA(event_table!$A$2:$A$69)))</f>
        <v>1114</v>
      </c>
      <c r="B1506" s="6">
        <f t="array" ref="B1506">IFERROR(INDEX(event_table!$E$1:$E3686,MATCH(A1506,event_table!$A$1:$A3686,0)),"")
</f>
        <v>1</v>
      </c>
      <c r="C1506" s="7">
        <f t="shared" si="1"/>
        <v>171</v>
      </c>
      <c r="D1506" s="6" t="str">
        <f t="array" ref="D1506">IFERROR(INDEX(user_table!$C$2:$C3686,MATCH(C1506,user_table!$B$2:$B3686,0)),"")
</f>
        <v>Andi Santoso</v>
      </c>
      <c r="E1506" s="6" t="str">
        <f t="array" ref="E1506">IFERROR(INDEX(user_table!$E$2:$E3686,MATCH(C1506,user_table!$B$2:$B3686,0)),"")
</f>
        <v>4, 3</v>
      </c>
      <c r="F1506" s="6" t="str">
        <f t="shared" si="2"/>
        <v>111451171</v>
      </c>
      <c r="G1506" s="16">
        <v>5.0</v>
      </c>
      <c r="H1506" s="17">
        <v>44739.0</v>
      </c>
      <c r="I1506" s="18" t="s">
        <v>1485</v>
      </c>
    </row>
    <row r="1507">
      <c r="A1507" s="5" t="str">
        <f t="array" ref="A1507">INDEX(event_table!$A$2:$A$69, RANDBETWEEN(1, COUNTA(event_table!$A$2:$A$69)))</f>
        <v>1333</v>
      </c>
      <c r="B1507" s="6">
        <f t="array" ref="B1507">IFERROR(INDEX(event_table!$E$1:$E3686,MATCH(A1507,event_table!$A$1:$A3686,0)),"")
</f>
        <v>3</v>
      </c>
      <c r="C1507" s="7">
        <f t="shared" si="1"/>
        <v>146</v>
      </c>
      <c r="D1507" s="6" t="str">
        <f t="array" ref="D1507">IFERROR(INDEX(user_table!$C$2:$C3686,MATCH(C1507,user_table!$B$2:$B3686,0)),"")
</f>
        <v>Rudi Susanto</v>
      </c>
      <c r="E1507" s="6" t="str">
        <f t="array" ref="E1507">IFERROR(INDEX(user_table!$E$2:$E3686,MATCH(C1507,user_table!$B$2:$B3686,0)),"")
</f>
        <v>6, 1</v>
      </c>
      <c r="F1507" s="6" t="str">
        <f t="shared" si="2"/>
        <v>133353146</v>
      </c>
      <c r="G1507" s="16">
        <v>5.0</v>
      </c>
      <c r="H1507" s="17">
        <v>44700.0</v>
      </c>
      <c r="I1507" s="18" t="s">
        <v>1486</v>
      </c>
    </row>
    <row r="1508">
      <c r="A1508" s="5" t="str">
        <f t="array" ref="A1508">INDEX(event_table!$A$2:$A$69, RANDBETWEEN(1, COUNTA(event_table!$A$2:$A$69)))</f>
        <v>3659</v>
      </c>
      <c r="B1508" s="6">
        <f t="array" ref="B1508">IFERROR(INDEX(event_table!$E$1:$E3686,MATCH(A1508,event_table!$A$1:$A3686,0)),"")
</f>
        <v>6</v>
      </c>
      <c r="C1508" s="7">
        <f t="shared" si="1"/>
        <v>37</v>
      </c>
      <c r="D1508" s="6" t="str">
        <f t="array" ref="D1508">IFERROR(INDEX(user_table!$C$2:$C3686,MATCH(C1508,user_table!$B$2:$B3686,0)),"")
</f>
        <v>Lina Susanto</v>
      </c>
      <c r="E1508" s="6" t="str">
        <f t="array" ref="E1508">IFERROR(INDEX(user_table!$E$2:$E3686,MATCH(C1508,user_table!$B$2:$B3686,0)),"")
</f>
        <v>2, 2</v>
      </c>
      <c r="F1508" s="6" t="str">
        <f t="shared" si="2"/>
        <v>36595637</v>
      </c>
      <c r="G1508" s="16">
        <v>5.0</v>
      </c>
      <c r="H1508" s="17">
        <v>45110.0</v>
      </c>
      <c r="I1508" s="18" t="s">
        <v>1487</v>
      </c>
    </row>
    <row r="1509">
      <c r="A1509" s="5" t="str">
        <f t="array" ref="A1509">INDEX(event_table!$A$2:$A$69, RANDBETWEEN(1, COUNTA(event_table!$A$2:$A$69)))</f>
        <v>1640</v>
      </c>
      <c r="B1509" s="6">
        <f t="array" ref="B1509">IFERROR(INDEX(event_table!$E$1:$E3686,MATCH(A1509,event_table!$A$1:$A3686,0)),"")
</f>
        <v>6</v>
      </c>
      <c r="C1509" s="7">
        <f t="shared" si="1"/>
        <v>50</v>
      </c>
      <c r="D1509" s="6" t="str">
        <f t="array" ref="D1509">IFERROR(INDEX(user_table!$C$2:$C3686,MATCH(C1509,user_table!$B$2:$B3686,0)),"")
</f>
        <v>Hadi Santoso</v>
      </c>
      <c r="E1509" s="6" t="str">
        <f t="array" ref="E1509">IFERROR(INDEX(user_table!$E$2:$E3686,MATCH(C1509,user_table!$B$2:$B3686,0)),"")
</f>
        <v>5, 4</v>
      </c>
      <c r="F1509" s="6" t="str">
        <f t="shared" si="2"/>
        <v>16405650</v>
      </c>
      <c r="G1509" s="16">
        <v>5.0</v>
      </c>
      <c r="H1509" s="17">
        <v>44880.0</v>
      </c>
      <c r="I1509" s="18" t="s">
        <v>710</v>
      </c>
    </row>
    <row r="1510">
      <c r="A1510" s="5" t="str">
        <f t="array" ref="A1510">INDEX(event_table!$A$2:$A$69, RANDBETWEEN(1, COUNTA(event_table!$A$2:$A$69)))</f>
        <v>1335</v>
      </c>
      <c r="B1510" s="6">
        <f t="array" ref="B1510">IFERROR(INDEX(event_table!$E$1:$E3686,MATCH(A1510,event_table!$A$1:$A3686,0)),"")
</f>
        <v>3</v>
      </c>
      <c r="C1510" s="7">
        <f t="shared" si="1"/>
        <v>97</v>
      </c>
      <c r="D1510" s="6" t="str">
        <f t="array" ref="D1510">IFERROR(INDEX(user_table!$C$2:$C3686,MATCH(C1510,user_table!$B$2:$B3686,0)),"")
</f>
        <v>Dewi Hidayat</v>
      </c>
      <c r="E1510" s="6" t="str">
        <f t="array" ref="E1510">IFERROR(INDEX(user_table!$E$2:$E3686,MATCH(C1510,user_table!$B$2:$B3686,0)),"")
</f>
        <v>2, 2</v>
      </c>
      <c r="F1510" s="6" t="str">
        <f t="shared" si="2"/>
        <v>13355397</v>
      </c>
      <c r="G1510" s="16">
        <v>5.0</v>
      </c>
      <c r="H1510" s="17">
        <v>44754.0</v>
      </c>
      <c r="I1510" s="18" t="s">
        <v>1488</v>
      </c>
    </row>
    <row r="1511">
      <c r="A1511" s="5" t="str">
        <f t="array" ref="A1511">INDEX(event_table!$A$2:$A$69, RANDBETWEEN(1, COUNTA(event_table!$A$2:$A$69)))</f>
        <v>1640</v>
      </c>
      <c r="B1511" s="6">
        <f t="array" ref="B1511">IFERROR(INDEX(event_table!$E$1:$E3686,MATCH(A1511,event_table!$A$1:$A3686,0)),"")
</f>
        <v>6</v>
      </c>
      <c r="C1511" s="7">
        <f t="shared" si="1"/>
        <v>31</v>
      </c>
      <c r="D1511" s="6" t="str">
        <f t="array" ref="D1511">IFERROR(INDEX(user_table!$C$2:$C3686,MATCH(C1511,user_table!$B$2:$B3686,0)),"")
</f>
        <v>Dian Hidayat</v>
      </c>
      <c r="E1511" s="6" t="str">
        <f t="array" ref="E1511">IFERROR(INDEX(user_table!$E$2:$E3686,MATCH(C1511,user_table!$B$2:$B3686,0)),"")
</f>
        <v>3, 5</v>
      </c>
      <c r="F1511" s="6" t="str">
        <f t="shared" si="2"/>
        <v>16405631</v>
      </c>
      <c r="G1511" s="16">
        <v>5.0</v>
      </c>
      <c r="H1511" s="17">
        <v>44745.0</v>
      </c>
      <c r="I1511" s="18" t="s">
        <v>1489</v>
      </c>
    </row>
    <row r="1512">
      <c r="A1512" s="5" t="str">
        <f t="array" ref="A1512">INDEX(event_table!$A$2:$A$69, RANDBETWEEN(1, COUNTA(event_table!$A$2:$A$69)))</f>
        <v>1553</v>
      </c>
      <c r="B1512" s="6">
        <f t="array" ref="B1512">IFERROR(INDEX(event_table!$E$1:$E3686,MATCH(A1512,event_table!$A$1:$A3686,0)),"")
</f>
        <v>5</v>
      </c>
      <c r="C1512" s="7">
        <f t="shared" si="1"/>
        <v>73</v>
      </c>
      <c r="D1512" s="6" t="str">
        <f t="array" ref="D1512">IFERROR(INDEX(user_table!$C$2:$C3686,MATCH(C1512,user_table!$B$2:$B3686,0)),"")
</f>
        <v>Hadi Santoso</v>
      </c>
      <c r="E1512" s="6" t="str">
        <f t="array" ref="E1512">IFERROR(INDEX(user_table!$E$2:$E3686,MATCH(C1512,user_table!$B$2:$B3686,0)),"")
</f>
        <v>6, 3</v>
      </c>
      <c r="F1512" s="6" t="str">
        <f t="shared" si="2"/>
        <v>15535573</v>
      </c>
      <c r="G1512" s="16">
        <v>5.0</v>
      </c>
      <c r="H1512" s="17">
        <v>44745.0</v>
      </c>
      <c r="I1512" s="18" t="s">
        <v>1490</v>
      </c>
    </row>
    <row r="1513">
      <c r="A1513" s="5" t="str">
        <f t="array" ref="A1513">INDEX(event_table!$A$2:$A$69, RANDBETWEEN(1, COUNTA(event_table!$A$2:$A$69)))</f>
        <v>1643</v>
      </c>
      <c r="B1513" s="6">
        <f t="array" ref="B1513">IFERROR(INDEX(event_table!$E$1:$E3686,MATCH(A1513,event_table!$A$1:$A3686,0)),"")
</f>
        <v>6</v>
      </c>
      <c r="C1513" s="7">
        <f t="shared" si="1"/>
        <v>83</v>
      </c>
      <c r="D1513" s="6" t="str">
        <f t="array" ref="D1513">IFERROR(INDEX(user_table!$C$2:$C3686,MATCH(C1513,user_table!$B$2:$B3686,0)),"")
</f>
        <v>Sinta Nurhayati</v>
      </c>
      <c r="E1513" s="6" t="str">
        <f t="array" ref="E1513">IFERROR(INDEX(user_table!$E$2:$E3686,MATCH(C1513,user_table!$B$2:$B3686,0)),"")
</f>
        <v>5, 5</v>
      </c>
      <c r="F1513" s="6" t="str">
        <f t="shared" si="2"/>
        <v>16435683</v>
      </c>
      <c r="G1513" s="16">
        <v>5.0</v>
      </c>
      <c r="H1513" s="17">
        <v>44711.0</v>
      </c>
      <c r="I1513" s="18" t="s">
        <v>1491</v>
      </c>
    </row>
    <row r="1514">
      <c r="A1514" s="5" t="str">
        <f t="array" ref="A1514">INDEX(event_table!$A$2:$A$69, RANDBETWEEN(1, COUNTA(event_table!$A$2:$A$69)))</f>
        <v>1111</v>
      </c>
      <c r="B1514" s="6">
        <f t="array" ref="B1514">IFERROR(INDEX(event_table!$E$1:$E3686,MATCH(A1514,event_table!$A$1:$A3686,0)),"")
</f>
        <v>1</v>
      </c>
      <c r="C1514" s="7">
        <f t="shared" si="1"/>
        <v>103</v>
      </c>
      <c r="D1514" s="6" t="str">
        <f t="array" ref="D1514">IFERROR(INDEX(user_table!$C$2:$C3686,MATCH(C1514,user_table!$B$2:$B3686,0)),"")
</f>
        <v>Hadi Sari</v>
      </c>
      <c r="E1514" s="6" t="str">
        <f t="array" ref="E1514">IFERROR(INDEX(user_table!$E$2:$E3686,MATCH(C1514,user_table!$B$2:$B3686,0)),"")
</f>
        <v>3, 1</v>
      </c>
      <c r="F1514" s="6" t="str">
        <f t="shared" si="2"/>
        <v>111151103</v>
      </c>
      <c r="G1514" s="16">
        <v>5.0</v>
      </c>
      <c r="H1514" s="17">
        <v>44690.0</v>
      </c>
      <c r="I1514" s="18" t="s">
        <v>1492</v>
      </c>
    </row>
    <row r="1515">
      <c r="A1515" s="5" t="str">
        <f t="array" ref="A1515">INDEX(event_table!$A$2:$A$69, RANDBETWEEN(1, COUNTA(event_table!$A$2:$A$69)))</f>
        <v>1421</v>
      </c>
      <c r="B1515" s="6">
        <f t="array" ref="B1515">IFERROR(INDEX(event_table!$E$1:$E3686,MATCH(A1515,event_table!$A$1:$A3686,0)),"")
</f>
        <v>4</v>
      </c>
      <c r="C1515" s="7">
        <f t="shared" si="1"/>
        <v>112</v>
      </c>
      <c r="D1515" s="6" t="str">
        <f t="array" ref="D1515">IFERROR(INDEX(user_table!$C$2:$C3686,MATCH(C1515,user_table!$B$2:$B3686,0)),"")
</f>
        <v>Ani Hadiwijaya</v>
      </c>
      <c r="E1515" s="6" t="str">
        <f t="array" ref="E1515">IFERROR(INDEX(user_table!$E$2:$E3686,MATCH(C1515,user_table!$B$2:$B3686,0)),"")
</f>
        <v>3, 5</v>
      </c>
      <c r="F1515" s="6" t="str">
        <f t="shared" si="2"/>
        <v>142154112</v>
      </c>
      <c r="G1515" s="16">
        <v>5.0</v>
      </c>
      <c r="H1515" s="17">
        <v>44683.0</v>
      </c>
      <c r="I1515" s="18" t="s">
        <v>1493</v>
      </c>
    </row>
    <row r="1516">
      <c r="A1516" s="5" t="str">
        <f t="array" ref="A1516">INDEX(event_table!$A$2:$A$69, RANDBETWEEN(1, COUNTA(event_table!$A$2:$A$69)))</f>
        <v>1645</v>
      </c>
      <c r="B1516" s="6">
        <f t="array" ref="B1516">IFERROR(INDEX(event_table!$E$1:$E3686,MATCH(A1516,event_table!$A$1:$A3686,0)),"")
</f>
        <v>6</v>
      </c>
      <c r="C1516" s="7">
        <f t="shared" si="1"/>
        <v>109</v>
      </c>
      <c r="D1516" s="6" t="str">
        <f t="array" ref="D1516">IFERROR(INDEX(user_table!$C$2:$C3686,MATCH(C1516,user_table!$B$2:$B3686,0)),"")
</f>
        <v>Ani Sari</v>
      </c>
      <c r="E1516" s="6" t="str">
        <f t="array" ref="E1516">IFERROR(INDEX(user_table!$E$2:$E3686,MATCH(C1516,user_table!$B$2:$B3686,0)),"")
</f>
        <v>4, 5</v>
      </c>
      <c r="F1516" s="6" t="str">
        <f t="shared" si="2"/>
        <v>164546109</v>
      </c>
      <c r="G1516" s="16">
        <v>4.0</v>
      </c>
      <c r="H1516" s="17">
        <v>44862.0</v>
      </c>
      <c r="I1516" s="18" t="s">
        <v>1494</v>
      </c>
    </row>
    <row r="1517">
      <c r="A1517" s="5" t="str">
        <f t="array" ref="A1517">INDEX(event_table!$A$2:$A$69, RANDBETWEEN(1, COUNTA(event_table!$A$2:$A$69)))</f>
        <v>1427</v>
      </c>
      <c r="B1517" s="6">
        <f t="array" ref="B1517">IFERROR(INDEX(event_table!$E$1:$E3686,MATCH(A1517,event_table!$A$1:$A3686,0)),"")
</f>
        <v>4</v>
      </c>
      <c r="C1517" s="7">
        <f t="shared" si="1"/>
        <v>149</v>
      </c>
      <c r="D1517" s="6" t="str">
        <f t="array" ref="D1517">IFERROR(INDEX(user_table!$C$2:$C3686,MATCH(C1517,user_table!$B$2:$B3686,0)),"")
</f>
        <v>Dian Setiawan</v>
      </c>
      <c r="E1517" s="6" t="str">
        <f t="array" ref="E1517">IFERROR(INDEX(user_table!$E$2:$E3686,MATCH(C1517,user_table!$B$2:$B3686,0)),"")
</f>
        <v>2, 4</v>
      </c>
      <c r="F1517" s="6" t="str">
        <f t="shared" si="2"/>
        <v>142744149</v>
      </c>
      <c r="G1517" s="16">
        <v>4.0</v>
      </c>
      <c r="H1517" s="17">
        <v>44823.0</v>
      </c>
      <c r="I1517" s="18" t="s">
        <v>1495</v>
      </c>
    </row>
    <row r="1518">
      <c r="A1518" s="5" t="str">
        <f t="array" ref="A1518">INDEX(event_table!$A$2:$A$69, RANDBETWEEN(1, COUNTA(event_table!$A$2:$A$69)))</f>
        <v>3169</v>
      </c>
      <c r="B1518" s="6">
        <f t="array" ref="B1518">IFERROR(INDEX(event_table!$E$1:$E3686,MATCH(A1518,event_table!$A$1:$A3686,0)),"")
</f>
        <v>1</v>
      </c>
      <c r="C1518" s="7">
        <f t="shared" si="1"/>
        <v>85</v>
      </c>
      <c r="D1518" s="6" t="str">
        <f t="array" ref="D1518">IFERROR(INDEX(user_table!$C$2:$C3686,MATCH(C1518,user_table!$B$2:$B3686,0)),"")
</f>
        <v>Maya Susanto</v>
      </c>
      <c r="E1518" s="6" t="str">
        <f t="array" ref="E1518">IFERROR(INDEX(user_table!$E$2:$E3686,MATCH(C1518,user_table!$B$2:$B3686,0)),"")
</f>
        <v>6, 5</v>
      </c>
      <c r="F1518" s="6" t="str">
        <f t="shared" si="2"/>
        <v>31694185</v>
      </c>
      <c r="G1518" s="16">
        <v>4.0</v>
      </c>
      <c r="H1518" s="17">
        <v>44735.0</v>
      </c>
      <c r="I1518" s="18" t="s">
        <v>1496</v>
      </c>
    </row>
    <row r="1519">
      <c r="A1519" s="5" t="str">
        <f t="array" ref="A1519">INDEX(event_table!$A$2:$A$69, RANDBETWEEN(1, COUNTA(event_table!$A$2:$A$69)))</f>
        <v>1334</v>
      </c>
      <c r="B1519" s="6">
        <f t="array" ref="B1519">IFERROR(INDEX(event_table!$E$1:$E3686,MATCH(A1519,event_table!$A$1:$A3686,0)),"")
</f>
        <v>3</v>
      </c>
      <c r="C1519" s="7">
        <f t="shared" si="1"/>
        <v>183</v>
      </c>
      <c r="D1519" s="6" t="str">
        <f t="array" ref="D1519">IFERROR(INDEX(user_table!$C$2:$C3686,MATCH(C1519,user_table!$B$2:$B3686,0)),"")
</f>
        <v>Siti Nugroho</v>
      </c>
      <c r="E1519" s="6" t="str">
        <f t="array" ref="E1519">IFERROR(INDEX(user_table!$E$2:$E3686,MATCH(C1519,user_table!$B$2:$B3686,0)),"")
</f>
        <v>4, 6</v>
      </c>
      <c r="F1519" s="6" t="str">
        <f t="shared" si="2"/>
        <v>133443183</v>
      </c>
      <c r="G1519" s="16">
        <v>4.0</v>
      </c>
      <c r="H1519" s="17">
        <v>44729.0</v>
      </c>
      <c r="I1519" s="18" t="s">
        <v>1497</v>
      </c>
    </row>
    <row r="1520">
      <c r="A1520" s="5" t="str">
        <f t="array" ref="A1520">INDEX(event_table!$A$2:$A$69, RANDBETWEEN(1, COUNTA(event_table!$A$2:$A$69)))</f>
        <v>1530</v>
      </c>
      <c r="B1520" s="6">
        <f t="array" ref="B1520">IFERROR(INDEX(event_table!$E$1:$E3686,MATCH(A1520,event_table!$A$1:$A3686,0)),"")
</f>
        <v>5</v>
      </c>
      <c r="C1520" s="7">
        <f t="shared" si="1"/>
        <v>115</v>
      </c>
      <c r="D1520" s="6" t="str">
        <f t="array" ref="D1520">IFERROR(INDEX(user_table!$C$2:$C3686,MATCH(C1520,user_table!$B$2:$B3686,0)),"")
</f>
        <v>Dewi Septiani</v>
      </c>
      <c r="E1520" s="6" t="str">
        <f t="array" ref="E1520">IFERROR(INDEX(user_table!$E$2:$E3686,MATCH(C1520,user_table!$B$2:$B3686,0)),"")
</f>
        <v>6, 3</v>
      </c>
      <c r="F1520" s="6" t="str">
        <f t="shared" si="2"/>
        <v>153045115</v>
      </c>
      <c r="G1520" s="16">
        <v>4.0</v>
      </c>
      <c r="H1520" s="17">
        <v>44703.0</v>
      </c>
      <c r="I1520" s="18" t="s">
        <v>1498</v>
      </c>
    </row>
    <row r="1521">
      <c r="A1521" s="5" t="str">
        <f t="array" ref="A1521">INDEX(event_table!$A$2:$A$69, RANDBETWEEN(1, COUNTA(event_table!$A$2:$A$69)))</f>
        <v>1530</v>
      </c>
      <c r="B1521" s="6">
        <f t="array" ref="B1521">IFERROR(INDEX(event_table!$E$1:$E3686,MATCH(A1521,event_table!$A$1:$A3686,0)),"")
</f>
        <v>5</v>
      </c>
      <c r="C1521" s="7">
        <f t="shared" si="1"/>
        <v>131</v>
      </c>
      <c r="D1521" s="6" t="str">
        <f t="array" ref="D1521">IFERROR(INDEX(user_table!$C$2:$C3686,MATCH(C1521,user_table!$B$2:$B3686,0)),"")
</f>
        <v>Dian Purnama</v>
      </c>
      <c r="E1521" s="6" t="str">
        <f t="array" ref="E1521">IFERROR(INDEX(user_table!$E$2:$E3686,MATCH(C1521,user_table!$B$2:$B3686,0)),"")
</f>
        <v>3, 5</v>
      </c>
      <c r="F1521" s="6" t="str">
        <f t="shared" si="2"/>
        <v>153035131</v>
      </c>
      <c r="G1521" s="16">
        <v>3.0</v>
      </c>
      <c r="H1521" s="17">
        <v>45013.0</v>
      </c>
      <c r="I1521" s="18" t="s">
        <v>1499</v>
      </c>
    </row>
    <row r="1522">
      <c r="A1522" s="5" t="str">
        <f t="array" ref="A1522">INDEX(event_table!$A$2:$A$69, RANDBETWEEN(1, COUNTA(event_table!$A$2:$A$69)))</f>
        <v>1215</v>
      </c>
      <c r="B1522" s="6">
        <f t="array" ref="B1522">IFERROR(INDEX(event_table!$E$1:$E3686,MATCH(A1522,event_table!$A$1:$A3686,0)),"")
</f>
        <v>2</v>
      </c>
      <c r="C1522" s="7">
        <f t="shared" si="1"/>
        <v>69</v>
      </c>
      <c r="D1522" s="6" t="str">
        <f t="array" ref="D1522">IFERROR(INDEX(user_table!$C$2:$C3686,MATCH(C1522,user_table!$B$2:$B3686,0)),"")
</f>
        <v>Citra Rahayu</v>
      </c>
      <c r="E1522" s="6" t="str">
        <f t="array" ref="E1522">IFERROR(INDEX(user_table!$E$2:$E3686,MATCH(C1522,user_table!$B$2:$B3686,0)),"")
</f>
        <v>5, 5</v>
      </c>
      <c r="F1522" s="6" t="str">
        <f t="shared" si="2"/>
        <v>12153269</v>
      </c>
      <c r="G1522" s="16">
        <v>3.0</v>
      </c>
      <c r="H1522" s="17">
        <v>45120.0</v>
      </c>
      <c r="I1522" s="18" t="s">
        <v>1500</v>
      </c>
    </row>
    <row r="1523">
      <c r="A1523" s="5" t="str">
        <f t="array" ref="A1523">INDEX(event_table!$A$2:$A$69, RANDBETWEEN(1, COUNTA(event_table!$A$2:$A$69)))</f>
        <v>1114</v>
      </c>
      <c r="B1523" s="6">
        <f t="array" ref="B1523">IFERROR(INDEX(event_table!$E$1:$E3686,MATCH(A1523,event_table!$A$1:$A3686,0)),"")
</f>
        <v>1</v>
      </c>
      <c r="C1523" s="7">
        <f t="shared" si="1"/>
        <v>107</v>
      </c>
      <c r="D1523" s="6" t="str">
        <f t="array" ref="D1523">IFERROR(INDEX(user_table!$C$2:$C3686,MATCH(C1523,user_table!$B$2:$B3686,0)),"")
</f>
        <v>Citra Rahayu</v>
      </c>
      <c r="E1523" s="6" t="str">
        <f t="array" ref="E1523">IFERROR(INDEX(user_table!$E$2:$E3686,MATCH(C1523,user_table!$B$2:$B3686,0)),"")
</f>
        <v>1, 5</v>
      </c>
      <c r="F1523" s="6" t="str">
        <f t="shared" si="2"/>
        <v>111431107</v>
      </c>
      <c r="G1523" s="16">
        <v>3.0</v>
      </c>
      <c r="H1523" s="17">
        <v>45106.0</v>
      </c>
      <c r="I1523" s="18" t="s">
        <v>1501</v>
      </c>
    </row>
    <row r="1524">
      <c r="A1524" s="5" t="str">
        <f t="array" ref="A1524">INDEX(event_table!$A$2:$A$69, RANDBETWEEN(1, COUNTA(event_table!$A$2:$A$69)))</f>
        <v>117</v>
      </c>
      <c r="B1524" s="6">
        <f t="array" ref="B1524">IFERROR(INDEX(event_table!$E$1:$E3686,MATCH(A1524,event_table!$A$1:$A3686,0)),"")
</f>
        <v>1</v>
      </c>
      <c r="C1524" s="7">
        <f t="shared" si="1"/>
        <v>149</v>
      </c>
      <c r="D1524" s="6" t="str">
        <f t="array" ref="D1524">IFERROR(INDEX(user_table!$C$2:$C3686,MATCH(C1524,user_table!$B$2:$B3686,0)),"")
</f>
        <v>Dian Setiawan</v>
      </c>
      <c r="E1524" s="6" t="str">
        <f t="array" ref="E1524">IFERROR(INDEX(user_table!$E$2:$E3686,MATCH(C1524,user_table!$B$2:$B3686,0)),"")
</f>
        <v>2, 4</v>
      </c>
      <c r="F1524" s="6" t="str">
        <f t="shared" si="2"/>
        <v>11721149</v>
      </c>
      <c r="G1524" s="16">
        <v>2.0</v>
      </c>
      <c r="H1524" s="17">
        <v>44965.0</v>
      </c>
      <c r="I1524" s="18" t="s">
        <v>1502</v>
      </c>
    </row>
    <row r="1525">
      <c r="A1525" s="5" t="str">
        <f t="array" ref="A1525">INDEX(event_table!$A$2:$A$69, RANDBETWEEN(1, COUNTA(event_table!$A$2:$A$69)))</f>
        <v>111</v>
      </c>
      <c r="B1525" s="6">
        <f t="array" ref="B1525">IFERROR(INDEX(event_table!$E$1:$E3686,MATCH(A1525,event_table!$A$1:$A3686,0)),"")
</f>
        <v>1</v>
      </c>
      <c r="C1525" s="7">
        <f t="shared" si="1"/>
        <v>156</v>
      </c>
      <c r="D1525" s="6" t="str">
        <f t="array" ref="D1525">IFERROR(INDEX(user_table!$C$2:$C3686,MATCH(C1525,user_table!$B$2:$B3686,0)),"")
</f>
        <v>Lina Kusuma</v>
      </c>
      <c r="E1525" s="6" t="str">
        <f t="array" ref="E1525">IFERROR(INDEX(user_table!$E$2:$E3686,MATCH(C1525,user_table!$B$2:$B3686,0)),"")
</f>
        <v>4, 3</v>
      </c>
      <c r="F1525" s="6" t="str">
        <f t="shared" si="2"/>
        <v>11121156</v>
      </c>
      <c r="G1525" s="16">
        <v>2.0</v>
      </c>
      <c r="H1525" s="17">
        <v>44861.0</v>
      </c>
      <c r="I1525" s="18" t="s">
        <v>1503</v>
      </c>
    </row>
    <row r="1526">
      <c r="A1526" s="5" t="str">
        <f t="array" ref="A1526">INDEX(event_table!$A$2:$A$69, RANDBETWEEN(1, COUNTA(event_table!$A$2:$A$69)))</f>
        <v>3166</v>
      </c>
      <c r="B1526" s="6">
        <f t="array" ref="B1526">IFERROR(INDEX(event_table!$E$1:$E3686,MATCH(A1526,event_table!$A$1:$A3686,0)),"")
</f>
        <v>1</v>
      </c>
      <c r="C1526" s="7">
        <f t="shared" si="1"/>
        <v>117</v>
      </c>
      <c r="D1526" s="6" t="str">
        <f t="array" ref="D1526">IFERROR(INDEX(user_table!$C$2:$C3686,MATCH(C1526,user_table!$B$2:$B3686,0)),"")
</f>
        <v>Wahyu Sari</v>
      </c>
      <c r="E1526" s="6" t="str">
        <f t="array" ref="E1526">IFERROR(INDEX(user_table!$E$2:$E3686,MATCH(C1526,user_table!$B$2:$B3686,0)),"")
</f>
        <v>4, 2</v>
      </c>
      <c r="F1526" s="6" t="str">
        <f t="shared" si="2"/>
        <v>316621117</v>
      </c>
      <c r="G1526" s="16">
        <v>2.0</v>
      </c>
      <c r="H1526" s="17">
        <v>44632.0</v>
      </c>
      <c r="I1526" s="18" t="s">
        <v>1504</v>
      </c>
    </row>
    <row r="1527">
      <c r="A1527" s="5" t="str">
        <f t="array" ref="A1527">INDEX(event_table!$A$2:$A$69, RANDBETWEEN(1, COUNTA(event_table!$A$2:$A$69)))</f>
        <v>1526</v>
      </c>
      <c r="B1527" s="6">
        <f t="array" ref="B1527">IFERROR(INDEX(event_table!$E$1:$E3686,MATCH(A1527,event_table!$A$1:$A3686,0)),"")
</f>
        <v>5</v>
      </c>
      <c r="C1527" s="7">
        <f t="shared" si="1"/>
        <v>116</v>
      </c>
      <c r="D1527" s="6" t="str">
        <f t="array" ref="D1527">IFERROR(INDEX(user_table!$C$2:$C3686,MATCH(C1527,user_table!$B$2:$B3686,0)),"")
</f>
        <v>Fandi Hartono</v>
      </c>
      <c r="E1527" s="6" t="str">
        <f t="array" ref="E1527">IFERROR(INDEX(user_table!$E$2:$E3686,MATCH(C1527,user_table!$B$2:$B3686,0)),"")
</f>
        <v>2, 1</v>
      </c>
      <c r="F1527" s="6" t="str">
        <f t="shared" si="2"/>
        <v>152625116</v>
      </c>
      <c r="G1527" s="16">
        <v>2.0</v>
      </c>
      <c r="H1527" s="17">
        <v>44606.0</v>
      </c>
      <c r="I1527" s="18" t="s">
        <v>1505</v>
      </c>
    </row>
    <row r="1528">
      <c r="A1528" s="5" t="str">
        <f t="array" ref="A1528">INDEX(event_table!$A$2:$A$69, RANDBETWEEN(1, COUNTA(event_table!$A$2:$A$69)))</f>
        <v>1637</v>
      </c>
      <c r="B1528" s="6">
        <f t="array" ref="B1528">IFERROR(INDEX(event_table!$E$1:$E3686,MATCH(A1528,event_table!$A$1:$A3686,0)),"")
</f>
        <v>6</v>
      </c>
      <c r="C1528" s="7">
        <f t="shared" si="1"/>
        <v>25</v>
      </c>
      <c r="D1528" s="6" t="str">
        <f t="array" ref="D1528">IFERROR(INDEX(user_table!$C$2:$C3686,MATCH(C1528,user_table!$B$2:$B3686,0)),"")
</f>
        <v>Agus Hartono</v>
      </c>
      <c r="E1528" s="6" t="str">
        <f t="array" ref="E1528">IFERROR(INDEX(user_table!$E$2:$E3686,MATCH(C1528,user_table!$B$2:$B3686,0)),"")
</f>
        <v>6, 3</v>
      </c>
      <c r="F1528" s="6" t="str">
        <f t="shared" si="2"/>
        <v>16372625</v>
      </c>
      <c r="G1528" s="16">
        <v>2.0</v>
      </c>
      <c r="H1528" s="17">
        <v>44362.0</v>
      </c>
      <c r="I1528" s="18" t="s">
        <v>1506</v>
      </c>
    </row>
    <row r="1529">
      <c r="A1529" s="5" t="str">
        <f t="array" ref="A1529">INDEX(event_table!$A$2:$A$69, RANDBETWEEN(1, COUNTA(event_table!$A$2:$A$69)))</f>
        <v>3659</v>
      </c>
      <c r="B1529" s="6">
        <f t="array" ref="B1529">IFERROR(INDEX(event_table!$E$1:$E3686,MATCH(A1529,event_table!$A$1:$A3686,0)),"")
</f>
        <v>6</v>
      </c>
      <c r="C1529" s="7">
        <f t="shared" si="1"/>
        <v>125</v>
      </c>
      <c r="D1529" s="6" t="str">
        <f t="array" ref="D1529">IFERROR(INDEX(user_table!$C$2:$C3686,MATCH(C1529,user_table!$B$2:$B3686,0)),"")
</f>
        <v>Fandi Hidayat</v>
      </c>
      <c r="E1529" s="6" t="str">
        <f t="array" ref="E1529">IFERROR(INDEX(user_table!$E$2:$E3686,MATCH(C1529,user_table!$B$2:$B3686,0)),"")
</f>
        <v>5, 2</v>
      </c>
      <c r="F1529" s="6" t="str">
        <f t="shared" si="2"/>
        <v>365926125</v>
      </c>
      <c r="G1529" s="16">
        <v>2.0</v>
      </c>
      <c r="H1529" s="17">
        <v>45199.0</v>
      </c>
      <c r="I1529" s="18" t="s">
        <v>1507</v>
      </c>
    </row>
    <row r="1530">
      <c r="A1530" s="5" t="str">
        <f t="array" ref="A1530">INDEX(event_table!$A$2:$A$69, RANDBETWEEN(1, COUNTA(event_table!$A$2:$A$69)))</f>
        <v>1424</v>
      </c>
      <c r="B1530" s="6">
        <f t="array" ref="B1530">IFERROR(INDEX(event_table!$E$1:$E3686,MATCH(A1530,event_table!$A$1:$A3686,0)),"")
</f>
        <v>4</v>
      </c>
      <c r="C1530" s="7">
        <f t="shared" si="1"/>
        <v>182</v>
      </c>
      <c r="D1530" s="6" t="str">
        <f t="array" ref="D1530">IFERROR(INDEX(user_table!$C$2:$C3686,MATCH(C1530,user_table!$B$2:$B3686,0)),"")
</f>
        <v>Siti Utami</v>
      </c>
      <c r="E1530" s="6" t="str">
        <f t="array" ref="E1530">IFERROR(INDEX(user_table!$E$2:$E3686,MATCH(C1530,user_table!$B$2:$B3686,0)),"")
</f>
        <v>5, 4</v>
      </c>
      <c r="F1530" s="6" t="str">
        <f t="shared" si="2"/>
        <v>142424182</v>
      </c>
      <c r="G1530" s="16">
        <v>2.0</v>
      </c>
      <c r="H1530" s="17">
        <v>45094.0</v>
      </c>
      <c r="I1530" s="18" t="s">
        <v>1508</v>
      </c>
    </row>
    <row r="1531">
      <c r="A1531" s="5" t="str">
        <f t="array" ref="A1531">INDEX(event_table!$A$2:$A$69, RANDBETWEEN(1, COUNTA(event_table!$A$2:$A$69)))</f>
        <v>1333</v>
      </c>
      <c r="B1531" s="6">
        <f t="array" ref="B1531">IFERROR(INDEX(event_table!$E$1:$E3686,MATCH(A1531,event_table!$A$1:$A3686,0)),"")
</f>
        <v>3</v>
      </c>
      <c r="C1531" s="7">
        <f t="shared" si="1"/>
        <v>77</v>
      </c>
      <c r="D1531" s="6" t="str">
        <f t="array" ref="D1531">IFERROR(INDEX(user_table!$C$2:$C3686,MATCH(C1531,user_table!$B$2:$B3686,0)),"")
</f>
        <v>Desi Wijaya</v>
      </c>
      <c r="E1531" s="6" t="str">
        <f t="array" ref="E1531">IFERROR(INDEX(user_table!$E$2:$E3686,MATCH(C1531,user_table!$B$2:$B3686,0)),"")
</f>
        <v>3, 1</v>
      </c>
      <c r="F1531" s="6" t="str">
        <f t="shared" si="2"/>
        <v>13332377</v>
      </c>
      <c r="G1531" s="16">
        <v>2.0</v>
      </c>
      <c r="H1531" s="17">
        <v>45073.0</v>
      </c>
      <c r="I1531" s="18" t="s">
        <v>1509</v>
      </c>
    </row>
    <row r="1532">
      <c r="A1532" s="5" t="str">
        <f t="array" ref="A1532">INDEX(event_table!$A$2:$A$69, RANDBETWEEN(1, COUNTA(event_table!$A$2:$A$69)))</f>
        <v>1110</v>
      </c>
      <c r="B1532" s="6">
        <f t="array" ref="B1532">IFERROR(INDEX(event_table!$E$1:$E3686,MATCH(A1532,event_table!$A$1:$A3686,0)),"")
</f>
        <v>1</v>
      </c>
      <c r="C1532" s="7">
        <f t="shared" si="1"/>
        <v>129</v>
      </c>
      <c r="D1532" s="6" t="str">
        <f t="array" ref="D1532">IFERROR(INDEX(user_table!$C$2:$C3686,MATCH(C1532,user_table!$B$2:$B3686,0)),"")
</f>
        <v>Maya Kusuma</v>
      </c>
      <c r="E1532" s="6" t="str">
        <f t="array" ref="E1532">IFERROR(INDEX(user_table!$E$2:$E3686,MATCH(C1532,user_table!$B$2:$B3686,0)),"")
</f>
        <v>4, 6</v>
      </c>
      <c r="F1532" s="6" t="str">
        <f t="shared" si="2"/>
        <v>111021129</v>
      </c>
      <c r="G1532" s="16">
        <v>2.0</v>
      </c>
      <c r="H1532" s="17">
        <v>45044.0</v>
      </c>
      <c r="I1532" s="18" t="s">
        <v>1510</v>
      </c>
    </row>
    <row r="1533">
      <c r="A1533" s="5" t="str">
        <f t="array" ref="A1533">INDEX(event_table!$A$2:$A$69, RANDBETWEEN(1, COUNTA(event_table!$A$2:$A$69)))</f>
        <v>1422</v>
      </c>
      <c r="B1533" s="6">
        <f t="array" ref="B1533">IFERROR(INDEX(event_table!$E$1:$E3686,MATCH(A1533,event_table!$A$1:$A3686,0)),"")
</f>
        <v>4</v>
      </c>
      <c r="C1533" s="7">
        <f t="shared" si="1"/>
        <v>33</v>
      </c>
      <c r="D1533" s="6" t="str">
        <f t="array" ref="D1533">IFERROR(INDEX(user_table!$C$2:$C3686,MATCH(C1533,user_table!$B$2:$B3686,0)),"")
</f>
        <v>Dewi Wijaya</v>
      </c>
      <c r="E1533" s="6" t="str">
        <f t="array" ref="E1533">IFERROR(INDEX(user_table!$E$2:$E3686,MATCH(C1533,user_table!$B$2:$B3686,0)),"")
</f>
        <v>4, 2</v>
      </c>
      <c r="F1533" s="6" t="str">
        <f t="shared" si="2"/>
        <v>14222433</v>
      </c>
      <c r="G1533" s="16">
        <v>2.0</v>
      </c>
      <c r="H1533" s="17">
        <v>45041.0</v>
      </c>
      <c r="I1533" s="18" t="s">
        <v>1511</v>
      </c>
    </row>
    <row r="1534">
      <c r="A1534" s="5" t="str">
        <f t="array" ref="A1534">INDEX(event_table!$A$2:$A$69, RANDBETWEEN(1, COUNTA(event_table!$A$2:$A$69)))</f>
        <v>1422</v>
      </c>
      <c r="B1534" s="6">
        <f t="array" ref="B1534">IFERROR(INDEX(event_table!$E$1:$E3686,MATCH(A1534,event_table!$A$1:$A3686,0)),"")
</f>
        <v>4</v>
      </c>
      <c r="C1534" s="7">
        <f t="shared" si="1"/>
        <v>69</v>
      </c>
      <c r="D1534" s="6" t="str">
        <f t="array" ref="D1534">IFERROR(INDEX(user_table!$C$2:$C3686,MATCH(C1534,user_table!$B$2:$B3686,0)),"")
</f>
        <v>Citra Rahayu</v>
      </c>
      <c r="E1534" s="6" t="str">
        <f t="array" ref="E1534">IFERROR(INDEX(user_table!$E$2:$E3686,MATCH(C1534,user_table!$B$2:$B3686,0)),"")
</f>
        <v>5, 5</v>
      </c>
      <c r="F1534" s="6" t="str">
        <f t="shared" si="2"/>
        <v>14221469</v>
      </c>
      <c r="G1534" s="16">
        <v>1.0</v>
      </c>
      <c r="H1534" s="17">
        <v>45263.0</v>
      </c>
      <c r="I1534" s="18" t="s">
        <v>1512</v>
      </c>
    </row>
    <row r="1535">
      <c r="A1535" s="5" t="str">
        <f t="array" ref="A1535">INDEX(event_table!$A$2:$A$69, RANDBETWEEN(1, COUNTA(event_table!$A$2:$A$69)))</f>
        <v>1641</v>
      </c>
      <c r="B1535" s="6">
        <f t="array" ref="B1535">IFERROR(INDEX(event_table!$E$1:$E3686,MATCH(A1535,event_table!$A$1:$A3686,0)),"")
</f>
        <v>6</v>
      </c>
      <c r="C1535" s="7">
        <f t="shared" si="1"/>
        <v>54</v>
      </c>
      <c r="D1535" s="6" t="str">
        <f t="array" ref="D1535">IFERROR(INDEX(user_table!$C$2:$C3686,MATCH(C1535,user_table!$B$2:$B3686,0)),"")
</f>
        <v>Andi Kurniawan</v>
      </c>
      <c r="E1535" s="6" t="str">
        <f t="array" ref="E1535">IFERROR(INDEX(user_table!$E$2:$E3686,MATCH(C1535,user_table!$B$2:$B3686,0)),"")
</f>
        <v>4, 4</v>
      </c>
      <c r="F1535" s="6" t="str">
        <f t="shared" si="2"/>
        <v>16411654</v>
      </c>
      <c r="G1535" s="16">
        <v>1.0</v>
      </c>
      <c r="H1535" s="17">
        <v>45213.0</v>
      </c>
      <c r="I1535" s="18" t="s">
        <v>1513</v>
      </c>
    </row>
    <row r="1536">
      <c r="A1536" s="5" t="str">
        <f t="array" ref="A1536">INDEX(event_table!$A$2:$A$69, RANDBETWEEN(1, COUNTA(event_table!$A$2:$A$69)))</f>
        <v>1519</v>
      </c>
      <c r="B1536" s="6">
        <f t="array" ref="B1536">IFERROR(INDEX(event_table!$E$1:$E3686,MATCH(A1536,event_table!$A$1:$A3686,0)),"")
</f>
        <v>5</v>
      </c>
      <c r="C1536" s="7">
        <f t="shared" si="1"/>
        <v>123</v>
      </c>
      <c r="D1536" s="6" t="str">
        <f t="array" ref="D1536">IFERROR(INDEX(user_table!$C$2:$C3686,MATCH(C1536,user_table!$B$2:$B3686,0)),"")
</f>
        <v>Lina Hartono</v>
      </c>
      <c r="E1536" s="6" t="str">
        <f t="array" ref="E1536">IFERROR(INDEX(user_table!$E$2:$E3686,MATCH(C1536,user_table!$B$2:$B3686,0)),"")
</f>
        <v>6, 5</v>
      </c>
      <c r="F1536" s="6" t="str">
        <f t="shared" si="2"/>
        <v>151915123</v>
      </c>
      <c r="G1536" s="16">
        <v>1.0</v>
      </c>
      <c r="H1536" s="17">
        <v>45144.0</v>
      </c>
      <c r="I1536" s="18" t="s">
        <v>1514</v>
      </c>
    </row>
    <row r="1537">
      <c r="A1537" s="5" t="str">
        <f t="array" ref="A1537">INDEX(event_table!$A$2:$A$69, RANDBETWEEN(1, COUNTA(event_table!$A$2:$A$69)))</f>
        <v>115</v>
      </c>
      <c r="B1537" s="6">
        <f t="array" ref="B1537">IFERROR(INDEX(event_table!$E$1:$E3686,MATCH(A1537,event_table!$A$1:$A3686,0)),"")
</f>
        <v>1</v>
      </c>
      <c r="C1537" s="7">
        <f t="shared" si="1"/>
        <v>127</v>
      </c>
      <c r="D1537" s="6" t="str">
        <f t="array" ref="D1537">IFERROR(INDEX(user_table!$C$2:$C3686,MATCH(C1537,user_table!$B$2:$B3686,0)),"")
</f>
        <v>Sinta Wijaya</v>
      </c>
      <c r="E1537" s="6" t="str">
        <f t="array" ref="E1537">IFERROR(INDEX(user_table!$E$2:$E3686,MATCH(C1537,user_table!$B$2:$B3686,0)),"")
</f>
        <v>6, 4</v>
      </c>
      <c r="F1537" s="6" t="str">
        <f t="shared" si="2"/>
        <v>11511127</v>
      </c>
      <c r="G1537" s="16">
        <v>1.0</v>
      </c>
      <c r="H1537" s="17">
        <v>45236.0</v>
      </c>
      <c r="I1537" s="18" t="s">
        <v>1515</v>
      </c>
    </row>
    <row r="1538">
      <c r="A1538" s="5" t="str">
        <f t="array" ref="A1538">INDEX(event_table!$A$2:$A$69, RANDBETWEEN(1, COUNTA(event_table!$A$2:$A$69)))</f>
        <v>3659</v>
      </c>
      <c r="B1538" s="6">
        <f t="array" ref="B1538">IFERROR(INDEX(event_table!$E$1:$E3686,MATCH(A1538,event_table!$A$1:$A3686,0)),"")
</f>
        <v>6</v>
      </c>
      <c r="C1538" s="7">
        <f t="shared" si="1"/>
        <v>67</v>
      </c>
      <c r="D1538" s="6" t="str">
        <f t="array" ref="D1538">IFERROR(INDEX(user_table!$C$2:$C3686,MATCH(C1538,user_table!$B$2:$B3686,0)),"")
</f>
        <v>Joko Pratama</v>
      </c>
      <c r="E1538" s="6" t="str">
        <f t="array" ref="E1538">IFERROR(INDEX(user_table!$E$2:$E3686,MATCH(C1538,user_table!$B$2:$B3686,0)),"")
</f>
        <v>1, 3</v>
      </c>
      <c r="F1538" s="6" t="str">
        <f t="shared" si="2"/>
        <v>36591667</v>
      </c>
      <c r="G1538" s="16">
        <v>1.0</v>
      </c>
      <c r="H1538" s="17">
        <v>45145.0</v>
      </c>
      <c r="I1538" s="18" t="s">
        <v>1516</v>
      </c>
    </row>
    <row r="1539">
      <c r="A1539" s="5" t="str">
        <f t="array" ref="A1539">INDEX(event_table!$A$2:$A$69, RANDBETWEEN(1, COUNTA(event_table!$A$2:$A$69)))</f>
        <v>3167</v>
      </c>
      <c r="B1539" s="6">
        <f t="array" ref="B1539">IFERROR(INDEX(event_table!$E$1:$E3686,MATCH(A1539,event_table!$A$1:$A3686,0)),"")
</f>
        <v>1</v>
      </c>
      <c r="C1539" s="7">
        <f t="shared" si="1"/>
        <v>15</v>
      </c>
      <c r="D1539" s="6" t="str">
        <f t="array" ref="D1539">IFERROR(INDEX(user_table!$C$2:$C3686,MATCH(C1539,user_table!$B$2:$B3686,0)),"")
</f>
        <v>Arif Kurniawan</v>
      </c>
      <c r="E1539" s="6" t="str">
        <f t="array" ref="E1539">IFERROR(INDEX(user_table!$E$2:$E3686,MATCH(C1539,user_table!$B$2:$B3686,0)),"")
</f>
        <v>3, 1</v>
      </c>
      <c r="F1539" s="6" t="str">
        <f t="shared" si="2"/>
        <v>31671115</v>
      </c>
      <c r="G1539" s="16">
        <v>1.0</v>
      </c>
      <c r="H1539" s="17">
        <v>45144.0</v>
      </c>
      <c r="I1539" s="18" t="s">
        <v>1517</v>
      </c>
    </row>
    <row r="1540">
      <c r="A1540" s="5" t="str">
        <f t="array" ref="A1540">INDEX(event_table!$A$2:$A$69, RANDBETWEEN(1, COUNTA(event_table!$A$2:$A$69)))</f>
        <v>1553</v>
      </c>
      <c r="B1540" s="6">
        <f t="array" ref="B1540">IFERROR(INDEX(event_table!$E$1:$E3686,MATCH(A1540,event_table!$A$1:$A3686,0)),"")
</f>
        <v>5</v>
      </c>
      <c r="C1540" s="7">
        <f t="shared" si="1"/>
        <v>61</v>
      </c>
      <c r="D1540" s="6" t="str">
        <f t="array" ref="D1540">IFERROR(INDEX(user_table!$C$2:$C3686,MATCH(C1540,user_table!$B$2:$B3686,0)),"")
</f>
        <v>Agus Setiawan</v>
      </c>
      <c r="E1540" s="6" t="str">
        <f t="array" ref="E1540">IFERROR(INDEX(user_table!$E$2:$E3686,MATCH(C1540,user_table!$B$2:$B3686,0)),"")
</f>
        <v>4, 5</v>
      </c>
      <c r="F1540" s="6" t="str">
        <f t="shared" si="2"/>
        <v>15531561</v>
      </c>
      <c r="G1540" s="16">
        <v>1.0</v>
      </c>
      <c r="H1540" s="17">
        <v>45083.0</v>
      </c>
      <c r="I1540" s="18" t="s">
        <v>1518</v>
      </c>
    </row>
    <row r="1541">
      <c r="A1541" s="5" t="str">
        <f t="array" ref="A1541">INDEX(event_table!$A$2:$A$69, RANDBETWEEN(1, COUNTA(event_table!$A$2:$A$69)))</f>
        <v>1427</v>
      </c>
      <c r="B1541" s="6">
        <f t="array" ref="B1541">IFERROR(INDEX(event_table!$E$1:$E3686,MATCH(A1541,event_table!$A$1:$A3686,0)),"")
</f>
        <v>4</v>
      </c>
      <c r="C1541" s="7">
        <f t="shared" si="1"/>
        <v>23</v>
      </c>
      <c r="D1541" s="6" t="str">
        <f t="array" ref="D1541">IFERROR(INDEX(user_table!$C$2:$C3686,MATCH(C1541,user_table!$B$2:$B3686,0)),"")
</f>
        <v>Fajar Kusuma</v>
      </c>
      <c r="E1541" s="6" t="str">
        <f t="array" ref="E1541">IFERROR(INDEX(user_table!$E$2:$E3686,MATCH(C1541,user_table!$B$2:$B3686,0)),"")
</f>
        <v>4, 1</v>
      </c>
      <c r="F1541" s="6" t="str">
        <f t="shared" si="2"/>
        <v>14271423</v>
      </c>
      <c r="G1541" s="16">
        <v>1.0</v>
      </c>
      <c r="H1541" s="17">
        <v>45079.0</v>
      </c>
      <c r="I1541" s="18" t="s">
        <v>1519</v>
      </c>
    </row>
    <row r="1542">
      <c r="A1542" s="5" t="str">
        <f t="array" ref="A1542">INDEX(event_table!$A$2:$A$69, RANDBETWEEN(1, COUNTA(event_table!$A$2:$A$69)))</f>
        <v>3659</v>
      </c>
      <c r="B1542" s="6">
        <f t="array" ref="B1542">IFERROR(INDEX(event_table!$E$1:$E3686,MATCH(A1542,event_table!$A$1:$A3686,0)),"")
</f>
        <v>6</v>
      </c>
      <c r="C1542" s="7">
        <f t="shared" si="1"/>
        <v>121</v>
      </c>
      <c r="D1542" s="6" t="str">
        <f t="array" ref="D1542">IFERROR(INDEX(user_table!$C$2:$C3686,MATCH(C1542,user_table!$B$2:$B3686,0)),"")
</f>
        <v>Wahyu Saputra</v>
      </c>
      <c r="E1542" s="6" t="str">
        <f t="array" ref="E1542">IFERROR(INDEX(user_table!$E$2:$E3686,MATCH(C1542,user_table!$B$2:$B3686,0)),"")
</f>
        <v>6, 3</v>
      </c>
      <c r="F1542" s="6" t="str">
        <f t="shared" si="2"/>
        <v>365916121</v>
      </c>
      <c r="G1542" s="16">
        <v>1.0</v>
      </c>
      <c r="H1542" s="17">
        <v>45065.0</v>
      </c>
      <c r="I1542" s="18" t="s">
        <v>1520</v>
      </c>
    </row>
    <row r="1543">
      <c r="A1543" s="5" t="str">
        <f t="array" ref="A1543">INDEX(event_table!$A$2:$A$69, RANDBETWEEN(1, COUNTA(event_table!$A$2:$A$69)))</f>
        <v>1110</v>
      </c>
      <c r="B1543" s="6">
        <f t="array" ref="B1543">IFERROR(INDEX(event_table!$E$1:$E3686,MATCH(A1543,event_table!$A$1:$A3686,0)),"")
</f>
        <v>1</v>
      </c>
      <c r="C1543" s="7">
        <f t="shared" si="1"/>
        <v>188</v>
      </c>
      <c r="D1543" s="6" t="str">
        <f t="array" ref="D1543">IFERROR(INDEX(user_table!$C$2:$C3686,MATCH(C1543,user_table!$B$2:$B3686,0)),"")
</f>
        <v>Siti Setiawan</v>
      </c>
      <c r="E1543" s="6" t="str">
        <f t="array" ref="E1543">IFERROR(INDEX(user_table!$E$2:$E3686,MATCH(C1543,user_table!$B$2:$B3686,0)),"")
</f>
        <v>6, 6</v>
      </c>
      <c r="F1543" s="6" t="str">
        <f t="shared" si="2"/>
        <v>111011188</v>
      </c>
      <c r="G1543" s="16">
        <v>1.0</v>
      </c>
      <c r="H1543" s="17">
        <v>45058.0</v>
      </c>
      <c r="I1543" s="18" t="s">
        <v>1521</v>
      </c>
    </row>
    <row r="1544">
      <c r="A1544" s="5" t="str">
        <f t="array" ref="A1544">INDEX(event_table!$A$2:$A$69, RANDBETWEEN(1, COUNTA(event_table!$A$2:$A$69)))</f>
        <v>3454</v>
      </c>
      <c r="B1544" s="6">
        <f t="array" ref="B1544">IFERROR(INDEX(event_table!$E$1:$E3686,MATCH(A1544,event_table!$A$1:$A3686,0)),"")
</f>
        <v>4</v>
      </c>
      <c r="C1544" s="7">
        <f t="shared" si="1"/>
        <v>86</v>
      </c>
      <c r="D1544" s="6" t="str">
        <f t="array" ref="D1544">IFERROR(INDEX(user_table!$C$2:$C3686,MATCH(C1544,user_table!$B$2:$B3686,0)),"")
</f>
        <v>Lina Santoso</v>
      </c>
      <c r="E1544" s="6" t="str">
        <f t="array" ref="E1544">IFERROR(INDEX(user_table!$E$2:$E3686,MATCH(C1544,user_table!$B$2:$B3686,0)),"")
</f>
        <v>4, 3</v>
      </c>
      <c r="F1544" s="6" t="str">
        <f t="shared" si="2"/>
        <v>34541486</v>
      </c>
      <c r="G1544" s="16">
        <v>1.0</v>
      </c>
      <c r="H1544" s="17">
        <v>45056.0</v>
      </c>
      <c r="I1544" s="18" t="s">
        <v>1522</v>
      </c>
    </row>
    <row r="1545">
      <c r="A1545" s="5" t="str">
        <f t="array" ref="A1545">INDEX(event_table!$A$2:$A$69, RANDBETWEEN(1, COUNTA(event_table!$A$2:$A$69)))</f>
        <v>1553</v>
      </c>
      <c r="B1545" s="6">
        <f t="array" ref="B1545">IFERROR(INDEX(event_table!$E$1:$E3686,MATCH(A1545,event_table!$A$1:$A3686,0)),"")
</f>
        <v>5</v>
      </c>
      <c r="C1545" s="7">
        <f t="shared" si="1"/>
        <v>6</v>
      </c>
      <c r="D1545" s="6" t="str">
        <f t="array" ref="D1545">IFERROR(INDEX(user_table!$C$2:$C3686,MATCH(C1545,user_table!$B$2:$B3686,0)),"")
</f>
        <v>Arif Putri</v>
      </c>
      <c r="E1545" s="6" t="str">
        <f t="array" ref="E1545">IFERROR(INDEX(user_table!$E$2:$E3686,MATCH(C1545,user_table!$B$2:$B3686,0)),"")
</f>
        <v>5, 2</v>
      </c>
      <c r="F1545" s="6" t="str">
        <f t="shared" si="2"/>
        <v>1553156</v>
      </c>
      <c r="G1545" s="16">
        <v>1.0</v>
      </c>
      <c r="H1545" s="17">
        <v>45054.0</v>
      </c>
      <c r="I1545" s="18" t="s">
        <v>1523</v>
      </c>
    </row>
    <row r="1546">
      <c r="A1546" s="5" t="str">
        <f t="array" ref="A1546">INDEX(event_table!$A$2:$A$69, RANDBETWEEN(1, COUNTA(event_table!$A$2:$A$69)))</f>
        <v>1423</v>
      </c>
      <c r="B1546" s="6">
        <f t="array" ref="B1546">IFERROR(INDEX(event_table!$E$1:$E3686,MATCH(A1546,event_table!$A$1:$A3686,0)),"")
</f>
        <v>4</v>
      </c>
      <c r="C1546" s="7">
        <f t="shared" si="1"/>
        <v>7</v>
      </c>
      <c r="D1546" s="6" t="str">
        <f t="array" ref="D1546">IFERROR(INDEX(user_table!$C$2:$C3686,MATCH(C1546,user_table!$B$2:$B3686,0)),"")
</f>
        <v>Maya Sari</v>
      </c>
      <c r="E1546" s="6" t="str">
        <f t="array" ref="E1546">IFERROR(INDEX(user_table!$E$2:$E3686,MATCH(C1546,user_table!$B$2:$B3686,0)),"")
</f>
        <v>5, 2</v>
      </c>
      <c r="F1546" s="6" t="str">
        <f t="shared" si="2"/>
        <v>1423147</v>
      </c>
      <c r="G1546" s="16">
        <v>1.0</v>
      </c>
      <c r="H1546" s="17">
        <v>45053.0</v>
      </c>
      <c r="I1546" s="18" t="s">
        <v>1524</v>
      </c>
    </row>
    <row r="1547">
      <c r="A1547" s="5" t="str">
        <f t="array" ref="A1547">INDEX(event_table!$A$2:$A$69, RANDBETWEEN(1, COUNTA(event_table!$A$2:$A$69)))</f>
        <v>111</v>
      </c>
      <c r="B1547" s="6">
        <f t="array" ref="B1547">IFERROR(INDEX(event_table!$E$1:$E3686,MATCH(A1547,event_table!$A$1:$A3686,0)),"")
</f>
        <v>1</v>
      </c>
      <c r="C1547" s="7">
        <f t="shared" si="1"/>
        <v>167</v>
      </c>
      <c r="D1547" s="6" t="str">
        <f t="array" ref="D1547">IFERROR(INDEX(user_table!$C$2:$C3686,MATCH(C1547,user_table!$B$2:$B3686,0)),"")
</f>
        <v>Fandi Hermawan</v>
      </c>
      <c r="E1547" s="6" t="str">
        <f t="array" ref="E1547">IFERROR(INDEX(user_table!$E$2:$E3686,MATCH(C1547,user_table!$B$2:$B3686,0)),"")
</f>
        <v>3, 1</v>
      </c>
      <c r="F1547" s="6" t="str">
        <f t="shared" si="2"/>
        <v>11111167</v>
      </c>
      <c r="G1547" s="16">
        <v>1.0</v>
      </c>
      <c r="H1547" s="17">
        <v>45021.0</v>
      </c>
      <c r="I1547" s="18" t="s">
        <v>1525</v>
      </c>
    </row>
    <row r="1548">
      <c r="A1548" s="5" t="str">
        <f t="array" ref="A1548">INDEX(event_table!$A$2:$A$69, RANDBETWEEN(1, COUNTA(event_table!$A$2:$A$69)))</f>
        <v>1333</v>
      </c>
      <c r="B1548" s="6">
        <f t="array" ref="B1548">IFERROR(INDEX(event_table!$E$1:$E3686,MATCH(A1548,event_table!$A$1:$A3686,0)),"")
</f>
        <v>3</v>
      </c>
      <c r="C1548" s="7">
        <f t="shared" si="1"/>
        <v>103</v>
      </c>
      <c r="D1548" s="6" t="str">
        <f t="array" ref="D1548">IFERROR(INDEX(user_table!$C$2:$C3686,MATCH(C1548,user_table!$B$2:$B3686,0)),"")
</f>
        <v>Hadi Sari</v>
      </c>
      <c r="E1548" s="6" t="str">
        <f t="array" ref="E1548">IFERROR(INDEX(user_table!$E$2:$E3686,MATCH(C1548,user_table!$B$2:$B3686,0)),"")
</f>
        <v>3, 1</v>
      </c>
      <c r="F1548" s="6" t="str">
        <f t="shared" si="2"/>
        <v>133353103</v>
      </c>
      <c r="G1548" s="16">
        <v>5.0</v>
      </c>
      <c r="H1548" s="17">
        <v>44734.0</v>
      </c>
      <c r="I1548" s="18" t="s">
        <v>1526</v>
      </c>
    </row>
    <row r="1549">
      <c r="A1549" s="5" t="str">
        <f t="array" ref="A1549">INDEX(event_table!$A$2:$A$69, RANDBETWEEN(1, COUNTA(event_table!$A$2:$A$69)))</f>
        <v>1646</v>
      </c>
      <c r="B1549" s="6">
        <f t="array" ref="B1549">IFERROR(INDEX(event_table!$E$1:$E3686,MATCH(A1549,event_table!$A$1:$A3686,0)),"")
</f>
        <v>6</v>
      </c>
      <c r="C1549" s="7">
        <f t="shared" si="1"/>
        <v>99</v>
      </c>
      <c r="D1549" s="6" t="str">
        <f t="array" ref="D1549">IFERROR(INDEX(user_table!$C$2:$C3686,MATCH(C1549,user_table!$B$2:$B3686,0)),"")
</f>
        <v>Maya Nugroho</v>
      </c>
      <c r="E1549" s="6" t="str">
        <f t="array" ref="E1549">IFERROR(INDEX(user_table!$E$2:$E3686,MATCH(C1549,user_table!$B$2:$B3686,0)),"")
</f>
        <v>6, 1</v>
      </c>
      <c r="F1549" s="6" t="str">
        <f t="shared" si="2"/>
        <v>16465699</v>
      </c>
      <c r="G1549" s="16">
        <v>5.0</v>
      </c>
      <c r="H1549" s="17">
        <v>44732.0</v>
      </c>
      <c r="I1549" s="18" t="s">
        <v>1527</v>
      </c>
    </row>
    <row r="1550">
      <c r="A1550" s="5" t="str">
        <f t="array" ref="A1550">INDEX(event_table!$A$2:$A$69, RANDBETWEEN(1, COUNTA(event_table!$A$2:$A$69)))</f>
        <v>1641</v>
      </c>
      <c r="B1550" s="6">
        <f t="array" ref="B1550">IFERROR(INDEX(event_table!$E$1:$E3686,MATCH(A1550,event_table!$A$1:$A3686,0)),"")
</f>
        <v>6</v>
      </c>
      <c r="C1550" s="7">
        <f t="shared" si="1"/>
        <v>90</v>
      </c>
      <c r="D1550" s="6" t="str">
        <f t="array" ref="D1550">IFERROR(INDEX(user_table!$C$2:$C3686,MATCH(C1550,user_table!$B$2:$B3686,0)),"")
</f>
        <v>Dina Saputra</v>
      </c>
      <c r="E1550" s="6" t="str">
        <f t="array" ref="E1550">IFERROR(INDEX(user_table!$E$2:$E3686,MATCH(C1550,user_table!$B$2:$B3686,0)),"")
</f>
        <v>1, 2</v>
      </c>
      <c r="F1550" s="6" t="str">
        <f t="shared" si="2"/>
        <v>16415690</v>
      </c>
      <c r="G1550" s="16">
        <v>5.0</v>
      </c>
      <c r="H1550" s="17">
        <v>44724.0</v>
      </c>
      <c r="I1550" s="18" t="s">
        <v>1528</v>
      </c>
    </row>
    <row r="1551">
      <c r="A1551" s="5" t="str">
        <f t="array" ref="A1551">INDEX(event_table!$A$2:$A$69, RANDBETWEEN(1, COUNTA(event_table!$A$2:$A$69)))</f>
        <v>1650</v>
      </c>
      <c r="B1551" s="6">
        <f t="array" ref="B1551">IFERROR(INDEX(event_table!$E$1:$E3686,MATCH(A1551,event_table!$A$1:$A3686,0)),"")
</f>
        <v>6</v>
      </c>
      <c r="C1551" s="7">
        <f t="shared" si="1"/>
        <v>63</v>
      </c>
      <c r="D1551" s="6" t="str">
        <f t="array" ref="D1551">IFERROR(INDEX(user_table!$C$2:$C3686,MATCH(C1551,user_table!$B$2:$B3686,0)),"")
</f>
        <v>Desi Putri</v>
      </c>
      <c r="E1551" s="6" t="str">
        <f t="array" ref="E1551">IFERROR(INDEX(user_table!$E$2:$E3686,MATCH(C1551,user_table!$B$2:$B3686,0)),"")
</f>
        <v>2, 5</v>
      </c>
      <c r="F1551" s="6" t="str">
        <f t="shared" si="2"/>
        <v>16505663</v>
      </c>
      <c r="G1551" s="16">
        <v>5.0</v>
      </c>
      <c r="H1551" s="17">
        <v>44715.0</v>
      </c>
      <c r="I1551" s="18" t="s">
        <v>1529</v>
      </c>
    </row>
    <row r="1552">
      <c r="A1552" s="5" t="str">
        <f t="array" ref="A1552">INDEX(event_table!$A$2:$A$69, RANDBETWEEN(1, COUNTA(event_table!$A$2:$A$69)))</f>
        <v>122</v>
      </c>
      <c r="B1552" s="6">
        <f t="array" ref="B1552">IFERROR(INDEX(event_table!$E$1:$E3686,MATCH(A1552,event_table!$A$1:$A3686,0)),"")
</f>
        <v>2</v>
      </c>
      <c r="C1552" s="7">
        <f t="shared" si="1"/>
        <v>67</v>
      </c>
      <c r="D1552" s="6" t="str">
        <f t="array" ref="D1552">IFERROR(INDEX(user_table!$C$2:$C3686,MATCH(C1552,user_table!$B$2:$B3686,0)),"")
</f>
        <v>Joko Pratama</v>
      </c>
      <c r="E1552" s="6" t="str">
        <f t="array" ref="E1552">IFERROR(INDEX(user_table!$E$2:$E3686,MATCH(C1552,user_table!$B$2:$B3686,0)),"")
</f>
        <v>1, 3</v>
      </c>
      <c r="F1552" s="6" t="str">
        <f t="shared" si="2"/>
        <v>1225267</v>
      </c>
      <c r="G1552" s="16">
        <v>5.0</v>
      </c>
      <c r="H1552" s="17">
        <v>44709.0</v>
      </c>
      <c r="I1552" s="18" t="s">
        <v>1530</v>
      </c>
    </row>
    <row r="1553">
      <c r="A1553" s="5" t="str">
        <f t="array" ref="A1553">INDEX(event_table!$A$2:$A$69, RANDBETWEEN(1, COUNTA(event_table!$A$2:$A$69)))</f>
        <v>3356</v>
      </c>
      <c r="B1553" s="6">
        <f t="array" ref="B1553">IFERROR(INDEX(event_table!$E$1:$E3686,MATCH(A1553,event_table!$A$1:$A3686,0)),"")
</f>
        <v>3</v>
      </c>
      <c r="C1553" s="7">
        <f t="shared" si="1"/>
        <v>114</v>
      </c>
      <c r="D1553" s="6" t="str">
        <f t="array" ref="D1553">IFERROR(INDEX(user_table!$C$2:$C3686,MATCH(C1553,user_table!$B$2:$B3686,0)),"")
</f>
        <v>Ani Sari</v>
      </c>
      <c r="E1553" s="6" t="str">
        <f t="array" ref="E1553">IFERROR(INDEX(user_table!$E$2:$E3686,MATCH(C1553,user_table!$B$2:$B3686,0)),"")
</f>
        <v>4, 3</v>
      </c>
      <c r="F1553" s="6" t="str">
        <f t="shared" si="2"/>
        <v>335653114</v>
      </c>
      <c r="G1553" s="16">
        <v>5.0</v>
      </c>
      <c r="H1553" s="17">
        <v>44689.0</v>
      </c>
      <c r="I1553" s="18" t="s">
        <v>1531</v>
      </c>
    </row>
    <row r="1554">
      <c r="A1554" s="5" t="str">
        <f t="array" ref="A1554">INDEX(event_table!$A$2:$A$69, RANDBETWEEN(1, COUNTA(event_table!$A$2:$A$69)))</f>
        <v>119</v>
      </c>
      <c r="B1554" s="6">
        <f t="array" ref="B1554">IFERROR(INDEX(event_table!$E$1:$E3686,MATCH(A1554,event_table!$A$1:$A3686,0)),"")
</f>
        <v>1</v>
      </c>
      <c r="C1554" s="7">
        <f t="shared" si="1"/>
        <v>58</v>
      </c>
      <c r="D1554" s="6" t="str">
        <f t="array" ref="D1554">IFERROR(INDEX(user_table!$C$2:$C3686,MATCH(C1554,user_table!$B$2:$B3686,0)),"")
</f>
        <v>Joko Septiani</v>
      </c>
      <c r="E1554" s="6" t="str">
        <f t="array" ref="E1554">IFERROR(INDEX(user_table!$E$2:$E3686,MATCH(C1554,user_table!$B$2:$B3686,0)),"")
</f>
        <v>2, 5</v>
      </c>
      <c r="F1554" s="6" t="str">
        <f t="shared" si="2"/>
        <v>1195158</v>
      </c>
      <c r="G1554" s="16">
        <v>5.0</v>
      </c>
      <c r="H1554" s="17">
        <v>44688.0</v>
      </c>
      <c r="I1554" s="18" t="s">
        <v>1532</v>
      </c>
    </row>
    <row r="1555">
      <c r="A1555" s="5" t="str">
        <f t="array" ref="A1555">INDEX(event_table!$A$2:$A$69, RANDBETWEEN(1, COUNTA(event_table!$A$2:$A$69)))</f>
        <v>3657</v>
      </c>
      <c r="B1555" s="6">
        <f t="array" ref="B1555">IFERROR(INDEX(event_table!$E$1:$E3686,MATCH(A1555,event_table!$A$1:$A3686,0)),"")
</f>
        <v>6</v>
      </c>
      <c r="C1555" s="7">
        <f t="shared" si="1"/>
        <v>92</v>
      </c>
      <c r="D1555" s="6" t="str">
        <f t="array" ref="D1555">IFERROR(INDEX(user_table!$C$2:$C3686,MATCH(C1555,user_table!$B$2:$B3686,0)),"")
</f>
        <v>Andi Susanto</v>
      </c>
      <c r="E1555" s="6" t="str">
        <f t="array" ref="E1555">IFERROR(INDEX(user_table!$E$2:$E3686,MATCH(C1555,user_table!$B$2:$B3686,0)),"")
</f>
        <v>4, 4</v>
      </c>
      <c r="F1555" s="6" t="str">
        <f t="shared" si="2"/>
        <v>36575692</v>
      </c>
      <c r="G1555" s="16">
        <v>5.0</v>
      </c>
      <c r="H1555" s="17">
        <v>45137.0</v>
      </c>
      <c r="I1555" s="18" t="s">
        <v>1533</v>
      </c>
    </row>
    <row r="1556">
      <c r="A1556" s="5" t="str">
        <f t="array" ref="A1556">INDEX(event_table!$A$2:$A$69, RANDBETWEEN(1, COUNTA(event_table!$A$2:$A$69)))</f>
        <v>1422</v>
      </c>
      <c r="B1556" s="6">
        <f t="array" ref="B1556">IFERROR(INDEX(event_table!$E$1:$E3686,MATCH(A1556,event_table!$A$1:$A3686,0)),"")
</f>
        <v>4</v>
      </c>
      <c r="C1556" s="7">
        <f t="shared" si="1"/>
        <v>170</v>
      </c>
      <c r="D1556" s="6" t="str">
        <f t="array" ref="D1556">IFERROR(INDEX(user_table!$C$2:$C3686,MATCH(C1556,user_table!$B$2:$B3686,0)),"")
</f>
        <v>Andi Sari</v>
      </c>
      <c r="E1556" s="6" t="str">
        <f t="array" ref="E1556">IFERROR(INDEX(user_table!$E$2:$E3686,MATCH(C1556,user_table!$B$2:$B3686,0)),"")
</f>
        <v>4, 6</v>
      </c>
      <c r="F1556" s="6" t="str">
        <f t="shared" si="2"/>
        <v>142254170</v>
      </c>
      <c r="G1556" s="16">
        <v>5.0</v>
      </c>
      <c r="H1556" s="17">
        <v>45123.0</v>
      </c>
      <c r="I1556" s="18" t="s">
        <v>1534</v>
      </c>
    </row>
    <row r="1557">
      <c r="A1557" s="5" t="str">
        <f t="array" ref="A1557">INDEX(event_table!$A$2:$A$69, RANDBETWEEN(1, COUNTA(event_table!$A$2:$A$69)))</f>
        <v>1313</v>
      </c>
      <c r="B1557" s="6">
        <f t="array" ref="B1557">IFERROR(INDEX(event_table!$E$1:$E3686,MATCH(A1557,event_table!$A$1:$A3686,0)),"")
</f>
        <v>3</v>
      </c>
      <c r="C1557" s="7">
        <f t="shared" si="1"/>
        <v>178</v>
      </c>
      <c r="D1557" s="6" t="str">
        <f t="array" ref="D1557">IFERROR(INDEX(user_table!$C$2:$C3686,MATCH(C1557,user_table!$B$2:$B3686,0)),"")
</f>
        <v>Dewi Hidayat</v>
      </c>
      <c r="E1557" s="6" t="str">
        <f t="array" ref="E1557">IFERROR(INDEX(user_table!$E$2:$E3686,MATCH(C1557,user_table!$B$2:$B3686,0)),"")
</f>
        <v>3, 2</v>
      </c>
      <c r="F1557" s="6" t="str">
        <f t="shared" si="2"/>
        <v>131353178</v>
      </c>
      <c r="G1557" s="16">
        <v>5.0</v>
      </c>
      <c r="H1557" s="17">
        <v>45112.0</v>
      </c>
      <c r="I1557" s="18" t="s">
        <v>1535</v>
      </c>
    </row>
    <row r="1558">
      <c r="A1558" s="5" t="str">
        <f t="array" ref="A1558">INDEX(event_table!$A$2:$A$69, RANDBETWEEN(1, COUNTA(event_table!$A$2:$A$69)))</f>
        <v>3168</v>
      </c>
      <c r="B1558" s="6">
        <f t="array" ref="B1558">IFERROR(INDEX(event_table!$E$1:$E3686,MATCH(A1558,event_table!$A$1:$A3686,0)),"")
</f>
        <v>1</v>
      </c>
      <c r="C1558" s="7">
        <f t="shared" si="1"/>
        <v>160</v>
      </c>
      <c r="D1558" s="6" t="str">
        <f t="array" ref="D1558">IFERROR(INDEX(user_table!$C$2:$C3686,MATCH(C1558,user_table!$B$2:$B3686,0)),"")
</f>
        <v>Hadi Hadiwijaya</v>
      </c>
      <c r="E1558" s="6" t="str">
        <f t="array" ref="E1558">IFERROR(INDEX(user_table!$E$2:$E3686,MATCH(C1558,user_table!$B$2:$B3686,0)),"")
</f>
        <v>2, 4</v>
      </c>
      <c r="F1558" s="6" t="str">
        <f t="shared" si="2"/>
        <v>316851160</v>
      </c>
      <c r="G1558" s="16">
        <v>5.0</v>
      </c>
      <c r="H1558" s="17">
        <v>45094.0</v>
      </c>
      <c r="I1558" s="18" t="s">
        <v>1267</v>
      </c>
    </row>
    <row r="1559">
      <c r="A1559" s="5" t="str">
        <f t="array" ref="A1559">INDEX(event_table!$A$2:$A$69, RANDBETWEEN(1, COUNTA(event_table!$A$2:$A$69)))</f>
        <v>119</v>
      </c>
      <c r="B1559" s="6">
        <f t="array" ref="B1559">IFERROR(INDEX(event_table!$E$1:$E3686,MATCH(A1559,event_table!$A$1:$A3686,0)),"")
</f>
        <v>1</v>
      </c>
      <c r="C1559" s="7">
        <f t="shared" si="1"/>
        <v>95</v>
      </c>
      <c r="D1559" s="6" t="str">
        <f t="array" ref="D1559">IFERROR(INDEX(user_table!$C$2:$C3686,MATCH(C1559,user_table!$B$2:$B3686,0)),"")
</f>
        <v>Ani Pratama</v>
      </c>
      <c r="E1559" s="6" t="str">
        <f t="array" ref="E1559">IFERROR(INDEX(user_table!$E$2:$E3686,MATCH(C1559,user_table!$B$2:$B3686,0)),"")
</f>
        <v>3, 5</v>
      </c>
      <c r="F1559" s="6" t="str">
        <f t="shared" si="2"/>
        <v>1195195</v>
      </c>
      <c r="G1559" s="16">
        <v>5.0</v>
      </c>
      <c r="H1559" s="17">
        <v>45090.0</v>
      </c>
      <c r="I1559" s="18" t="s">
        <v>1536</v>
      </c>
    </row>
    <row r="1560">
      <c r="A1560" s="5" t="str">
        <f t="array" ref="A1560">INDEX(event_table!$A$2:$A$69, RANDBETWEEN(1, COUNTA(event_table!$A$2:$A$69)))</f>
        <v>3162</v>
      </c>
      <c r="B1560" s="6">
        <f t="array" ref="B1560">IFERROR(INDEX(event_table!$E$1:$E3686,MATCH(A1560,event_table!$A$1:$A3686,0)),"")
</f>
        <v>1</v>
      </c>
      <c r="C1560" s="7">
        <f t="shared" si="1"/>
        <v>54</v>
      </c>
      <c r="D1560" s="6" t="str">
        <f t="array" ref="D1560">IFERROR(INDEX(user_table!$C$2:$C3686,MATCH(C1560,user_table!$B$2:$B3686,0)),"")
</f>
        <v>Andi Kurniawan</v>
      </c>
      <c r="E1560" s="6" t="str">
        <f t="array" ref="E1560">IFERROR(INDEX(user_table!$E$2:$E3686,MATCH(C1560,user_table!$B$2:$B3686,0)),"")
</f>
        <v>4, 4</v>
      </c>
      <c r="F1560" s="6" t="str">
        <f t="shared" si="2"/>
        <v>31625154</v>
      </c>
      <c r="G1560" s="16">
        <v>5.0</v>
      </c>
      <c r="H1560" s="17">
        <v>45073.0</v>
      </c>
      <c r="I1560" s="18" t="s">
        <v>1537</v>
      </c>
    </row>
    <row r="1561">
      <c r="A1561" s="5" t="str">
        <f t="array" ref="A1561">INDEX(event_table!$A$2:$A$69, RANDBETWEEN(1, COUNTA(event_table!$A$2:$A$69)))</f>
        <v>1639</v>
      </c>
      <c r="B1561" s="6">
        <f t="array" ref="B1561">IFERROR(INDEX(event_table!$E$1:$E3686,MATCH(A1561,event_table!$A$1:$A3686,0)),"")
</f>
        <v>6</v>
      </c>
      <c r="C1561" s="7">
        <f t="shared" si="1"/>
        <v>148</v>
      </c>
      <c r="D1561" s="6" t="str">
        <f t="array" ref="D1561">IFERROR(INDEX(user_table!$C$2:$C3686,MATCH(C1561,user_table!$B$2:$B3686,0)),"")
</f>
        <v>Fajar Setiawan</v>
      </c>
      <c r="E1561" s="6" t="str">
        <f t="array" ref="E1561">IFERROR(INDEX(user_table!$E$2:$E3686,MATCH(C1561,user_table!$B$2:$B3686,0)),"")
</f>
        <v>6, 4</v>
      </c>
      <c r="F1561" s="6" t="str">
        <f t="shared" si="2"/>
        <v>163956148</v>
      </c>
      <c r="G1561" s="16">
        <v>5.0</v>
      </c>
      <c r="H1561" s="17">
        <v>44872.0</v>
      </c>
      <c r="I1561" s="18" t="s">
        <v>1538</v>
      </c>
    </row>
    <row r="1562">
      <c r="A1562" s="5" t="str">
        <f t="array" ref="A1562">INDEX(event_table!$A$2:$A$69, RANDBETWEEN(1, COUNTA(event_table!$A$2:$A$69)))</f>
        <v>1313</v>
      </c>
      <c r="B1562" s="6">
        <f t="array" ref="B1562">IFERROR(INDEX(event_table!$E$1:$E3686,MATCH(A1562,event_table!$A$1:$A3686,0)),"")
</f>
        <v>3</v>
      </c>
      <c r="C1562" s="7">
        <f t="shared" si="1"/>
        <v>87</v>
      </c>
      <c r="D1562" s="6" t="str">
        <f t="array" ref="D1562">IFERROR(INDEX(user_table!$C$2:$C3686,MATCH(C1562,user_table!$B$2:$B3686,0)),"")
</f>
        <v>Budi Setiawan</v>
      </c>
      <c r="E1562" s="6" t="str">
        <f t="array" ref="E1562">IFERROR(INDEX(user_table!$E$2:$E3686,MATCH(C1562,user_table!$B$2:$B3686,0)),"")
</f>
        <v>3, 5</v>
      </c>
      <c r="F1562" s="6" t="str">
        <f t="shared" si="2"/>
        <v>13135387</v>
      </c>
      <c r="G1562" s="16">
        <v>5.0</v>
      </c>
      <c r="H1562" s="17">
        <v>44853.0</v>
      </c>
      <c r="I1562" s="18" t="s">
        <v>993</v>
      </c>
    </row>
    <row r="1563">
      <c r="A1563" s="5" t="str">
        <f t="array" ref="A1563">INDEX(event_table!$A$2:$A$69, RANDBETWEEN(1, COUNTA(event_table!$A$2:$A$69)))</f>
        <v>1423</v>
      </c>
      <c r="B1563" s="6">
        <f t="array" ref="B1563">IFERROR(INDEX(event_table!$E$1:$E3686,MATCH(A1563,event_table!$A$1:$A3686,0)),"")
</f>
        <v>4</v>
      </c>
      <c r="C1563" s="7">
        <f t="shared" si="1"/>
        <v>119</v>
      </c>
      <c r="D1563" s="6" t="str">
        <f t="array" ref="D1563">IFERROR(INDEX(user_table!$C$2:$C3686,MATCH(C1563,user_table!$B$2:$B3686,0)),"")
</f>
        <v>Budi Rahayu</v>
      </c>
      <c r="E1563" s="6" t="str">
        <f t="array" ref="E1563">IFERROR(INDEX(user_table!$E$2:$E3686,MATCH(C1563,user_table!$B$2:$B3686,0)),"")
</f>
        <v>1, 2</v>
      </c>
      <c r="F1563" s="6" t="str">
        <f t="shared" si="2"/>
        <v>142354119</v>
      </c>
      <c r="G1563" s="16">
        <v>5.0</v>
      </c>
      <c r="H1563" s="17">
        <v>44840.0</v>
      </c>
      <c r="I1563" s="18" t="s">
        <v>1539</v>
      </c>
    </row>
    <row r="1564">
      <c r="A1564" s="5" t="str">
        <f t="array" ref="A1564">INDEX(event_table!$A$2:$A$69, RANDBETWEEN(1, COUNTA(event_table!$A$2:$A$69)))</f>
        <v>1212</v>
      </c>
      <c r="B1564" s="6">
        <f t="array" ref="B1564">IFERROR(INDEX(event_table!$E$1:$E3686,MATCH(A1564,event_table!$A$1:$A3686,0)),"")
</f>
        <v>2</v>
      </c>
      <c r="C1564" s="7">
        <f t="shared" si="1"/>
        <v>48</v>
      </c>
      <c r="D1564" s="6" t="str">
        <f t="array" ref="D1564">IFERROR(INDEX(user_table!$C$2:$C3686,MATCH(C1564,user_table!$B$2:$B3686,0)),"")
</f>
        <v>Maya Kusuma</v>
      </c>
      <c r="E1564" s="6" t="str">
        <f t="array" ref="E1564">IFERROR(INDEX(user_table!$E$2:$E3686,MATCH(C1564,user_table!$B$2:$B3686,0)),"")
</f>
        <v>2, 3</v>
      </c>
      <c r="F1564" s="6" t="str">
        <f t="shared" si="2"/>
        <v>12125248</v>
      </c>
      <c r="G1564" s="16">
        <v>5.0</v>
      </c>
      <c r="H1564" s="17">
        <v>44777.0</v>
      </c>
      <c r="I1564" s="18" t="s">
        <v>1540</v>
      </c>
    </row>
    <row r="1565">
      <c r="A1565" s="5" t="str">
        <f t="array" ref="A1565">INDEX(event_table!$A$2:$A$69, RANDBETWEEN(1, COUNTA(event_table!$A$2:$A$69)))</f>
        <v>1111</v>
      </c>
      <c r="B1565" s="6">
        <f t="array" ref="B1565">IFERROR(INDEX(event_table!$E$1:$E3686,MATCH(A1565,event_table!$A$1:$A3686,0)),"")
</f>
        <v>1</v>
      </c>
      <c r="C1565" s="7">
        <f t="shared" si="1"/>
        <v>145</v>
      </c>
      <c r="D1565" s="6" t="str">
        <f t="array" ref="D1565">IFERROR(INDEX(user_table!$C$2:$C3686,MATCH(C1565,user_table!$B$2:$B3686,0)),"")
</f>
        <v>Arif Nugroho</v>
      </c>
      <c r="E1565" s="6" t="str">
        <f t="array" ref="E1565">IFERROR(INDEX(user_table!$E$2:$E3686,MATCH(C1565,user_table!$B$2:$B3686,0)),"")
</f>
        <v>1, 4</v>
      </c>
      <c r="F1565" s="6" t="str">
        <f t="shared" si="2"/>
        <v>111151145</v>
      </c>
      <c r="G1565" s="16">
        <v>5.0</v>
      </c>
      <c r="H1565" s="17">
        <v>44745.0</v>
      </c>
      <c r="I1565" s="18" t="s">
        <v>1541</v>
      </c>
    </row>
    <row r="1566">
      <c r="A1566" s="5" t="str">
        <f t="array" ref="A1566">INDEX(event_table!$A$2:$A$69, RANDBETWEEN(1, COUNTA(event_table!$A$2:$A$69)))</f>
        <v>1425</v>
      </c>
      <c r="B1566" s="6">
        <f t="array" ref="B1566">IFERROR(INDEX(event_table!$E$1:$E3686,MATCH(A1566,event_table!$A$1:$A3686,0)),"")
</f>
        <v>4</v>
      </c>
      <c r="C1566" s="7">
        <f t="shared" si="1"/>
        <v>192</v>
      </c>
      <c r="D1566" s="6" t="str">
        <f t="array" ref="D1566">IFERROR(INDEX(user_table!$C$2:$C3686,MATCH(C1566,user_table!$B$2:$B3686,0)),"")
</f>
        <v>Joko Hadiwijaya</v>
      </c>
      <c r="E1566" s="6" t="str">
        <f t="array" ref="E1566">IFERROR(INDEX(user_table!$E$2:$E3686,MATCH(C1566,user_table!$B$2:$B3686,0)),"")
</f>
        <v>1, 3</v>
      </c>
      <c r="F1566" s="6" t="str">
        <f t="shared" si="2"/>
        <v>142554192</v>
      </c>
      <c r="G1566" s="16">
        <v>5.0</v>
      </c>
      <c r="H1566" s="17">
        <v>44689.0</v>
      </c>
      <c r="I1566" s="18" t="s">
        <v>1542</v>
      </c>
    </row>
    <row r="1567">
      <c r="A1567" s="5" t="str">
        <f t="array" ref="A1567">INDEX(event_table!$A$2:$A$69, RANDBETWEEN(1, COUNTA(event_table!$A$2:$A$69)))</f>
        <v>3164</v>
      </c>
      <c r="B1567" s="6">
        <f t="array" ref="B1567">IFERROR(INDEX(event_table!$E$1:$E3686,MATCH(A1567,event_table!$A$1:$A3686,0)),"")
</f>
        <v>1</v>
      </c>
      <c r="C1567" s="7">
        <f t="shared" si="1"/>
        <v>163</v>
      </c>
      <c r="D1567" s="6" t="str">
        <f t="array" ref="D1567">IFERROR(INDEX(user_table!$C$2:$C3686,MATCH(C1567,user_table!$B$2:$B3686,0)),"")
</f>
        <v>Budi Susanto</v>
      </c>
      <c r="E1567" s="6" t="str">
        <f t="array" ref="E1567">IFERROR(INDEX(user_table!$E$2:$E3686,MATCH(C1567,user_table!$B$2:$B3686,0)),"")
</f>
        <v>6, 3</v>
      </c>
      <c r="F1567" s="6" t="str">
        <f t="shared" si="2"/>
        <v>316451163</v>
      </c>
      <c r="G1567" s="16">
        <v>5.0</v>
      </c>
      <c r="H1567" s="17">
        <v>44678.0</v>
      </c>
      <c r="I1567" s="18" t="s">
        <v>1543</v>
      </c>
    </row>
    <row r="1568">
      <c r="A1568" s="5" t="str">
        <f t="array" ref="A1568">INDEX(event_table!$A$2:$A$69, RANDBETWEEN(1, COUNTA(event_table!$A$2:$A$69)))</f>
        <v>1531</v>
      </c>
      <c r="B1568" s="6">
        <f t="array" ref="B1568">IFERROR(INDEX(event_table!$E$1:$E3686,MATCH(A1568,event_table!$A$1:$A3686,0)),"")
</f>
        <v>5</v>
      </c>
      <c r="C1568" s="7">
        <f t="shared" si="1"/>
        <v>84</v>
      </c>
      <c r="D1568" s="6" t="str">
        <f t="array" ref="D1568">IFERROR(INDEX(user_table!$C$2:$C3686,MATCH(C1568,user_table!$B$2:$B3686,0)),"")
</f>
        <v>Budi Hermawan</v>
      </c>
      <c r="E1568" s="6" t="str">
        <f t="array" ref="E1568">IFERROR(INDEX(user_table!$E$2:$E3686,MATCH(C1568,user_table!$B$2:$B3686,0)),"")
</f>
        <v>5, 5</v>
      </c>
      <c r="F1568" s="6" t="str">
        <f t="shared" si="2"/>
        <v>15314584</v>
      </c>
      <c r="G1568" s="16">
        <v>4.0</v>
      </c>
      <c r="H1568" s="17">
        <v>45165.0</v>
      </c>
      <c r="I1568" s="18" t="s">
        <v>1544</v>
      </c>
    </row>
    <row r="1569">
      <c r="A1569" s="5" t="str">
        <f t="array" ref="A1569">INDEX(event_table!$A$2:$A$69, RANDBETWEEN(1, COUNTA(event_table!$A$2:$A$69)))</f>
        <v>3658</v>
      </c>
      <c r="B1569" s="6">
        <f t="array" ref="B1569">IFERROR(INDEX(event_table!$E$1:$E3686,MATCH(A1569,event_table!$A$1:$A3686,0)),"")
</f>
        <v>6</v>
      </c>
      <c r="C1569" s="7">
        <f t="shared" si="1"/>
        <v>56</v>
      </c>
      <c r="D1569" s="6" t="str">
        <f t="array" ref="D1569">IFERROR(INDEX(user_table!$C$2:$C3686,MATCH(C1569,user_table!$B$2:$B3686,0)),"")
</f>
        <v>Desi Putri</v>
      </c>
      <c r="E1569" s="6" t="str">
        <f t="array" ref="E1569">IFERROR(INDEX(user_table!$E$2:$E3686,MATCH(C1569,user_table!$B$2:$B3686,0)),"")
</f>
        <v>1, 3</v>
      </c>
      <c r="F1569" s="6" t="str">
        <f t="shared" si="2"/>
        <v>36584656</v>
      </c>
      <c r="G1569" s="16">
        <v>4.0</v>
      </c>
      <c r="H1569" s="17">
        <v>45052.0</v>
      </c>
      <c r="I1569" s="18" t="s">
        <v>1545</v>
      </c>
    </row>
    <row r="1570">
      <c r="A1570" s="5" t="str">
        <f t="array" ref="A1570">INDEX(event_table!$A$2:$A$69, RANDBETWEEN(1, COUNTA(event_table!$A$2:$A$69)))</f>
        <v>3356</v>
      </c>
      <c r="B1570" s="6">
        <f t="array" ref="B1570">IFERROR(INDEX(event_table!$E$1:$E3686,MATCH(A1570,event_table!$A$1:$A3686,0)),"")
</f>
        <v>3</v>
      </c>
      <c r="C1570" s="7">
        <f t="shared" si="1"/>
        <v>164</v>
      </c>
      <c r="D1570" s="6" t="str">
        <f t="array" ref="D1570">IFERROR(INDEX(user_table!$C$2:$C3686,MATCH(C1570,user_table!$B$2:$B3686,0)),"")
</f>
        <v>Bambang Purnama</v>
      </c>
      <c r="E1570" s="6" t="str">
        <f t="array" ref="E1570">IFERROR(INDEX(user_table!$E$2:$E3686,MATCH(C1570,user_table!$B$2:$B3686,0)),"")
</f>
        <v>2, 3</v>
      </c>
      <c r="F1570" s="6" t="str">
        <f t="shared" si="2"/>
        <v>335643164</v>
      </c>
      <c r="G1570" s="16">
        <v>4.0</v>
      </c>
      <c r="H1570" s="17">
        <v>45035.0</v>
      </c>
      <c r="I1570" s="18" t="s">
        <v>1546</v>
      </c>
    </row>
    <row r="1571">
      <c r="A1571" s="5" t="str">
        <f t="array" ref="A1571">INDEX(event_table!$A$2:$A$69, RANDBETWEEN(1, COUNTA(event_table!$A$2:$A$69)))</f>
        <v>111</v>
      </c>
      <c r="B1571" s="6">
        <f t="array" ref="B1571">IFERROR(INDEX(event_table!$E$1:$E3686,MATCH(A1571,event_table!$A$1:$A3686,0)),"")
</f>
        <v>1</v>
      </c>
      <c r="C1571" s="7">
        <f t="shared" si="1"/>
        <v>181</v>
      </c>
      <c r="D1571" s="6" t="str">
        <f t="array" ref="D1571">IFERROR(INDEX(user_table!$C$2:$C3686,MATCH(C1571,user_table!$B$2:$B3686,0)),"")
</f>
        <v>Andi Hadiwijaya</v>
      </c>
      <c r="E1571" s="6" t="str">
        <f t="array" ref="E1571">IFERROR(INDEX(user_table!$E$2:$E3686,MATCH(C1571,user_table!$B$2:$B3686,0)),"")
</f>
        <v>3, 2</v>
      </c>
      <c r="F1571" s="6" t="str">
        <f t="shared" si="2"/>
        <v>11141181</v>
      </c>
      <c r="G1571" s="16">
        <v>4.0</v>
      </c>
      <c r="H1571" s="17">
        <v>44726.0</v>
      </c>
      <c r="I1571" s="18" t="s">
        <v>1547</v>
      </c>
    </row>
    <row r="1572">
      <c r="A1572" s="5" t="str">
        <f t="array" ref="A1572">INDEX(event_table!$A$2:$A$69, RANDBETWEEN(1, COUNTA(event_table!$A$2:$A$69)))</f>
        <v>3167</v>
      </c>
      <c r="B1572" s="6">
        <f t="array" ref="B1572">IFERROR(INDEX(event_table!$E$1:$E3686,MATCH(A1572,event_table!$A$1:$A3686,0)),"")
</f>
        <v>1</v>
      </c>
      <c r="C1572" s="7">
        <f t="shared" si="1"/>
        <v>16</v>
      </c>
      <c r="D1572" s="6" t="str">
        <f t="array" ref="D1572">IFERROR(INDEX(user_table!$C$2:$C3686,MATCH(C1572,user_table!$B$2:$B3686,0)),"")
</f>
        <v>Siti Utami</v>
      </c>
      <c r="E1572" s="6" t="str">
        <f t="array" ref="E1572">IFERROR(INDEX(user_table!$E$2:$E3686,MATCH(C1572,user_table!$B$2:$B3686,0)),"")
</f>
        <v>1, 2</v>
      </c>
      <c r="F1572" s="6" t="str">
        <f t="shared" si="2"/>
        <v>31674116</v>
      </c>
      <c r="G1572" s="16">
        <v>4.0</v>
      </c>
      <c r="H1572" s="17">
        <v>44712.0</v>
      </c>
      <c r="I1572" s="18" t="s">
        <v>1548</v>
      </c>
    </row>
    <row r="1573">
      <c r="A1573" s="5" t="str">
        <f t="array" ref="A1573">INDEX(event_table!$A$2:$A$69, RANDBETWEEN(1, COUNTA(event_table!$A$2:$A$69)))</f>
        <v>1332</v>
      </c>
      <c r="B1573" s="6">
        <f t="array" ref="B1573">IFERROR(INDEX(event_table!$E$1:$E3686,MATCH(A1573,event_table!$A$1:$A3686,0)),"")
</f>
        <v>3</v>
      </c>
      <c r="C1573" s="7">
        <f t="shared" si="1"/>
        <v>182</v>
      </c>
      <c r="D1573" s="6" t="str">
        <f t="array" ref="D1573">IFERROR(INDEX(user_table!$C$2:$C3686,MATCH(C1573,user_table!$B$2:$B3686,0)),"")
</f>
        <v>Siti Utami</v>
      </c>
      <c r="E1573" s="6" t="str">
        <f t="array" ref="E1573">IFERROR(INDEX(user_table!$E$2:$E3686,MATCH(C1573,user_table!$B$2:$B3686,0)),"")
</f>
        <v>5, 4</v>
      </c>
      <c r="F1573" s="6" t="str">
        <f t="shared" si="2"/>
        <v>133243182</v>
      </c>
      <c r="G1573" s="16">
        <v>4.0</v>
      </c>
      <c r="H1573" s="17">
        <v>45049.0</v>
      </c>
      <c r="I1573" s="18" t="s">
        <v>1549</v>
      </c>
    </row>
    <row r="1574">
      <c r="A1574" s="5" t="str">
        <f t="array" ref="A1574">INDEX(event_table!$A$2:$A$69, RANDBETWEEN(1, COUNTA(event_table!$A$2:$A$69)))</f>
        <v>3658</v>
      </c>
      <c r="B1574" s="6">
        <f t="array" ref="B1574">IFERROR(INDEX(event_table!$E$1:$E3686,MATCH(A1574,event_table!$A$1:$A3686,0)),"")
</f>
        <v>6</v>
      </c>
      <c r="C1574" s="7">
        <f t="shared" si="1"/>
        <v>53</v>
      </c>
      <c r="D1574" s="6" t="str">
        <f t="array" ref="D1574">IFERROR(INDEX(user_table!$C$2:$C3686,MATCH(C1574,user_table!$B$2:$B3686,0)),"")
</f>
        <v>Wahyu Santoso</v>
      </c>
      <c r="E1574" s="6" t="str">
        <f t="array" ref="E1574">IFERROR(INDEX(user_table!$E$2:$E3686,MATCH(C1574,user_table!$B$2:$B3686,0)),"")
</f>
        <v>4, 5</v>
      </c>
      <c r="F1574" s="6" t="str">
        <f t="shared" si="2"/>
        <v>36584653</v>
      </c>
      <c r="G1574" s="16">
        <v>4.0</v>
      </c>
      <c r="H1574" s="17">
        <v>44822.0</v>
      </c>
      <c r="I1574" s="18" t="s">
        <v>1550</v>
      </c>
    </row>
    <row r="1575">
      <c r="A1575" s="5" t="str">
        <f t="array" ref="A1575">INDEX(event_table!$A$2:$A$69, RANDBETWEEN(1, COUNTA(event_table!$A$2:$A$69)))</f>
        <v>1637</v>
      </c>
      <c r="B1575" s="6">
        <f t="array" ref="B1575">IFERROR(INDEX(event_table!$E$1:$E3686,MATCH(A1575,event_table!$A$1:$A3686,0)),"")
</f>
        <v>6</v>
      </c>
      <c r="C1575" s="7">
        <f t="shared" si="1"/>
        <v>99</v>
      </c>
      <c r="D1575" s="6" t="str">
        <f t="array" ref="D1575">IFERROR(INDEX(user_table!$C$2:$C3686,MATCH(C1575,user_table!$B$2:$B3686,0)),"")
</f>
        <v>Maya Nugroho</v>
      </c>
      <c r="E1575" s="6" t="str">
        <f t="array" ref="E1575">IFERROR(INDEX(user_table!$E$2:$E3686,MATCH(C1575,user_table!$B$2:$B3686,0)),"")
</f>
        <v>6, 1</v>
      </c>
      <c r="F1575" s="6" t="str">
        <f t="shared" si="2"/>
        <v>16374699</v>
      </c>
      <c r="G1575" s="16">
        <v>4.0</v>
      </c>
      <c r="H1575" s="17">
        <v>44753.0</v>
      </c>
      <c r="I1575" s="18" t="s">
        <v>1551</v>
      </c>
    </row>
    <row r="1576">
      <c r="A1576" s="5" t="str">
        <f t="array" ref="A1576">INDEX(event_table!$A$2:$A$69, RANDBETWEEN(1, COUNTA(event_table!$A$2:$A$69)))</f>
        <v>1423</v>
      </c>
      <c r="B1576" s="6">
        <f t="array" ref="B1576">IFERROR(INDEX(event_table!$E$1:$E3686,MATCH(A1576,event_table!$A$1:$A3686,0)),"")
</f>
        <v>4</v>
      </c>
      <c r="C1576" s="7">
        <f t="shared" si="1"/>
        <v>151</v>
      </c>
      <c r="D1576" s="6" t="str">
        <f t="array" ref="D1576">IFERROR(INDEX(user_table!$C$2:$C3686,MATCH(C1576,user_table!$B$2:$B3686,0)),"")
</f>
        <v>Maya Hidayat</v>
      </c>
      <c r="E1576" s="6" t="str">
        <f t="array" ref="E1576">IFERROR(INDEX(user_table!$E$2:$E3686,MATCH(C1576,user_table!$B$2:$B3686,0)),"")
</f>
        <v>2, 3</v>
      </c>
      <c r="F1576" s="6" t="str">
        <f t="shared" si="2"/>
        <v>142334151</v>
      </c>
      <c r="G1576" s="16">
        <v>3.0</v>
      </c>
      <c r="H1576" s="17">
        <v>44914.0</v>
      </c>
      <c r="I1576" s="18" t="s">
        <v>1552</v>
      </c>
    </row>
    <row r="1577">
      <c r="A1577" s="5" t="str">
        <f t="array" ref="A1577">INDEX(event_table!$A$2:$A$69, RANDBETWEEN(1, COUNTA(event_table!$A$2:$A$69)))</f>
        <v>3455</v>
      </c>
      <c r="B1577" s="6">
        <f t="array" ref="B1577">IFERROR(INDEX(event_table!$E$1:$E3686,MATCH(A1577,event_table!$A$1:$A3686,0)),"")
</f>
        <v>4</v>
      </c>
      <c r="C1577" s="7">
        <f t="shared" si="1"/>
        <v>143</v>
      </c>
      <c r="D1577" s="6" t="str">
        <f t="array" ref="D1577">IFERROR(INDEX(user_table!$C$2:$C3686,MATCH(C1577,user_table!$B$2:$B3686,0)),"")
</f>
        <v>Agus Putri</v>
      </c>
      <c r="E1577" s="6" t="str">
        <f t="array" ref="E1577">IFERROR(INDEX(user_table!$E$2:$E3686,MATCH(C1577,user_table!$B$2:$B3686,0)),"")
</f>
        <v>3, 3</v>
      </c>
      <c r="F1577" s="6" t="str">
        <f t="shared" si="2"/>
        <v>345534143</v>
      </c>
      <c r="G1577" s="16">
        <v>3.0</v>
      </c>
      <c r="H1577" s="17">
        <v>45264.0</v>
      </c>
      <c r="I1577" s="18" t="s">
        <v>1553</v>
      </c>
    </row>
    <row r="1578">
      <c r="A1578" s="5" t="str">
        <f t="array" ref="A1578">INDEX(event_table!$A$2:$A$69, RANDBETWEEN(1, COUNTA(event_table!$A$2:$A$69)))</f>
        <v>1652</v>
      </c>
      <c r="B1578" s="6">
        <f t="array" ref="B1578">IFERROR(INDEX(event_table!$E$1:$E3686,MATCH(A1578,event_table!$A$1:$A3686,0)),"")
</f>
        <v>6</v>
      </c>
      <c r="C1578" s="7">
        <f t="shared" si="1"/>
        <v>151</v>
      </c>
      <c r="D1578" s="6" t="str">
        <f t="array" ref="D1578">IFERROR(INDEX(user_table!$C$2:$C3686,MATCH(C1578,user_table!$B$2:$B3686,0)),"")
</f>
        <v>Maya Hidayat</v>
      </c>
      <c r="E1578" s="6" t="str">
        <f t="array" ref="E1578">IFERROR(INDEX(user_table!$E$2:$E3686,MATCH(C1578,user_table!$B$2:$B3686,0)),"")
</f>
        <v>2, 3</v>
      </c>
      <c r="F1578" s="6" t="str">
        <f t="shared" si="2"/>
        <v>165236151</v>
      </c>
      <c r="G1578" s="16">
        <v>3.0</v>
      </c>
      <c r="H1578" s="17">
        <v>45213.0</v>
      </c>
      <c r="I1578" s="18" t="s">
        <v>1554</v>
      </c>
    </row>
    <row r="1579">
      <c r="A1579" s="5" t="str">
        <f t="array" ref="A1579">INDEX(event_table!$A$2:$A$69, RANDBETWEEN(1, COUNTA(event_table!$A$2:$A$69)))</f>
        <v>3356</v>
      </c>
      <c r="B1579" s="6">
        <f t="array" ref="B1579">IFERROR(INDEX(event_table!$E$1:$E3686,MATCH(A1579,event_table!$A$1:$A3686,0)),"")
</f>
        <v>3</v>
      </c>
      <c r="C1579" s="7">
        <f t="shared" si="1"/>
        <v>87</v>
      </c>
      <c r="D1579" s="6" t="str">
        <f t="array" ref="D1579">IFERROR(INDEX(user_table!$C$2:$C3686,MATCH(C1579,user_table!$B$2:$B3686,0)),"")
</f>
        <v>Budi Setiawan</v>
      </c>
      <c r="E1579" s="6" t="str">
        <f t="array" ref="E1579">IFERROR(INDEX(user_table!$E$2:$E3686,MATCH(C1579,user_table!$B$2:$B3686,0)),"")
</f>
        <v>3, 5</v>
      </c>
      <c r="F1579" s="6" t="str">
        <f t="shared" si="2"/>
        <v>33563387</v>
      </c>
      <c r="G1579" s="16">
        <v>3.0</v>
      </c>
      <c r="H1579" s="17">
        <v>45196.0</v>
      </c>
      <c r="I1579" s="18" t="s">
        <v>1555</v>
      </c>
    </row>
    <row r="1580">
      <c r="A1580" s="5" t="str">
        <f t="array" ref="A1580">INDEX(event_table!$A$2:$A$69, RANDBETWEEN(1, COUNTA(event_table!$A$2:$A$69)))</f>
        <v>116</v>
      </c>
      <c r="B1580" s="6">
        <f t="array" ref="B1580">IFERROR(INDEX(event_table!$E$1:$E3686,MATCH(A1580,event_table!$A$1:$A3686,0)),"")
</f>
        <v>1</v>
      </c>
      <c r="C1580" s="7">
        <f t="shared" si="1"/>
        <v>67</v>
      </c>
      <c r="D1580" s="6" t="str">
        <f t="array" ref="D1580">IFERROR(INDEX(user_table!$C$2:$C3686,MATCH(C1580,user_table!$B$2:$B3686,0)),"")
</f>
        <v>Joko Pratama</v>
      </c>
      <c r="E1580" s="6" t="str">
        <f t="array" ref="E1580">IFERROR(INDEX(user_table!$E$2:$E3686,MATCH(C1580,user_table!$B$2:$B3686,0)),"")
</f>
        <v>1, 3</v>
      </c>
      <c r="F1580" s="6" t="str">
        <f t="shared" si="2"/>
        <v>1163167</v>
      </c>
      <c r="G1580" s="16">
        <v>3.0</v>
      </c>
      <c r="H1580" s="17">
        <v>45148.0</v>
      </c>
      <c r="I1580" s="18" t="s">
        <v>1556</v>
      </c>
    </row>
    <row r="1581">
      <c r="A1581" s="5" t="str">
        <f t="array" ref="A1581">INDEX(event_table!$A$2:$A$69, RANDBETWEEN(1, COUNTA(event_table!$A$2:$A$69)))</f>
        <v>111</v>
      </c>
      <c r="B1581" s="6">
        <f t="array" ref="B1581">IFERROR(INDEX(event_table!$E$1:$E3686,MATCH(A1581,event_table!$A$1:$A3686,0)),"")
</f>
        <v>1</v>
      </c>
      <c r="C1581" s="7">
        <f t="shared" si="1"/>
        <v>192</v>
      </c>
      <c r="D1581" s="6" t="str">
        <f t="array" ref="D1581">IFERROR(INDEX(user_table!$C$2:$C3686,MATCH(C1581,user_table!$B$2:$B3686,0)),"")
</f>
        <v>Joko Hadiwijaya</v>
      </c>
      <c r="E1581" s="6" t="str">
        <f t="array" ref="E1581">IFERROR(INDEX(user_table!$E$2:$E3686,MATCH(C1581,user_table!$B$2:$B3686,0)),"")
</f>
        <v>1, 3</v>
      </c>
      <c r="F1581" s="6" t="str">
        <f t="shared" si="2"/>
        <v>11131192</v>
      </c>
      <c r="G1581" s="16">
        <v>3.0</v>
      </c>
      <c r="H1581" s="17">
        <v>45119.0</v>
      </c>
      <c r="I1581" s="18" t="s">
        <v>549</v>
      </c>
    </row>
    <row r="1582">
      <c r="A1582" s="5" t="str">
        <f t="array" ref="A1582">INDEX(event_table!$A$2:$A$69, RANDBETWEEN(1, COUNTA(event_table!$A$2:$A$69)))</f>
        <v>1643</v>
      </c>
      <c r="B1582" s="6">
        <f t="array" ref="B1582">IFERROR(INDEX(event_table!$E$1:$E3686,MATCH(A1582,event_table!$A$1:$A3686,0)),"")
</f>
        <v>6</v>
      </c>
      <c r="C1582" s="7">
        <f t="shared" si="1"/>
        <v>52</v>
      </c>
      <c r="D1582" s="6" t="str">
        <f t="array" ref="D1582">IFERROR(INDEX(user_table!$C$2:$C3686,MATCH(C1582,user_table!$B$2:$B3686,0)),"")
</f>
        <v>Ani Nurhayati</v>
      </c>
      <c r="E1582" s="6" t="str">
        <f t="array" ref="E1582">IFERROR(INDEX(user_table!$E$2:$E3686,MATCH(C1582,user_table!$B$2:$B3686,0)),"")
</f>
        <v>2, 2</v>
      </c>
      <c r="F1582" s="6" t="str">
        <f t="shared" si="2"/>
        <v>16433652</v>
      </c>
      <c r="G1582" s="16">
        <v>3.0</v>
      </c>
      <c r="H1582" s="17">
        <v>45102.0</v>
      </c>
      <c r="I1582" s="18" t="s">
        <v>1557</v>
      </c>
    </row>
    <row r="1583">
      <c r="A1583" s="5" t="str">
        <f t="array" ref="A1583">INDEX(event_table!$A$2:$A$69, RANDBETWEEN(1, COUNTA(event_table!$A$2:$A$69)))</f>
        <v>1526</v>
      </c>
      <c r="B1583" s="6">
        <f t="array" ref="B1583">IFERROR(INDEX(event_table!$E$1:$E3686,MATCH(A1583,event_table!$A$1:$A3686,0)),"")
</f>
        <v>5</v>
      </c>
      <c r="C1583" s="7">
        <f t="shared" si="1"/>
        <v>161</v>
      </c>
      <c r="D1583" s="6" t="str">
        <f t="array" ref="D1583">IFERROR(INDEX(user_table!$C$2:$C3686,MATCH(C1583,user_table!$B$2:$B3686,0)),"")
</f>
        <v>Lina Nugroho</v>
      </c>
      <c r="E1583" s="6" t="str">
        <f t="array" ref="E1583">IFERROR(INDEX(user_table!$E$2:$E3686,MATCH(C1583,user_table!$B$2:$B3686,0)),"")
</f>
        <v>6, 5</v>
      </c>
      <c r="F1583" s="6" t="str">
        <f t="shared" si="2"/>
        <v>152625161</v>
      </c>
      <c r="G1583" s="16">
        <v>2.0</v>
      </c>
      <c r="H1583" s="17">
        <v>44888.0</v>
      </c>
      <c r="I1583" s="18" t="s">
        <v>1558</v>
      </c>
    </row>
    <row r="1584">
      <c r="A1584" s="5" t="str">
        <f t="array" ref="A1584">INDEX(event_table!$A$2:$A$69, RANDBETWEEN(1, COUNTA(event_table!$A$2:$A$69)))</f>
        <v>1528</v>
      </c>
      <c r="B1584" s="6">
        <f t="array" ref="B1584">IFERROR(INDEX(event_table!$E$1:$E3686,MATCH(A1584,event_table!$A$1:$A3686,0)),"")
</f>
        <v>5</v>
      </c>
      <c r="C1584" s="7">
        <f t="shared" si="1"/>
        <v>115</v>
      </c>
      <c r="D1584" s="6" t="str">
        <f t="array" ref="D1584">IFERROR(INDEX(user_table!$C$2:$C3686,MATCH(C1584,user_table!$B$2:$B3686,0)),"")
</f>
        <v>Dewi Septiani</v>
      </c>
      <c r="E1584" s="6" t="str">
        <f t="array" ref="E1584">IFERROR(INDEX(user_table!$E$2:$E3686,MATCH(C1584,user_table!$B$2:$B3686,0)),"")
</f>
        <v>6, 3</v>
      </c>
      <c r="F1584" s="6" t="str">
        <f t="shared" si="2"/>
        <v>152825115</v>
      </c>
      <c r="G1584" s="16">
        <v>2.0</v>
      </c>
      <c r="H1584" s="17">
        <v>44794.0</v>
      </c>
      <c r="I1584" s="18" t="s">
        <v>1559</v>
      </c>
    </row>
    <row r="1585">
      <c r="A1585" s="5" t="str">
        <f t="array" ref="A1585">INDEX(event_table!$A$2:$A$69, RANDBETWEEN(1, COUNTA(event_table!$A$2:$A$69)))</f>
        <v>1553</v>
      </c>
      <c r="B1585" s="6">
        <f t="array" ref="B1585">IFERROR(INDEX(event_table!$E$1:$E3686,MATCH(A1585,event_table!$A$1:$A3686,0)),"")
</f>
        <v>5</v>
      </c>
      <c r="C1585" s="7">
        <f t="shared" si="1"/>
        <v>148</v>
      </c>
      <c r="D1585" s="6" t="str">
        <f t="array" ref="D1585">IFERROR(INDEX(user_table!$C$2:$C3686,MATCH(C1585,user_table!$B$2:$B3686,0)),"")
</f>
        <v>Fajar Setiawan</v>
      </c>
      <c r="E1585" s="6" t="str">
        <f t="array" ref="E1585">IFERROR(INDEX(user_table!$E$2:$E3686,MATCH(C1585,user_table!$B$2:$B3686,0)),"")
</f>
        <v>6, 4</v>
      </c>
      <c r="F1585" s="6" t="str">
        <f t="shared" si="2"/>
        <v>155325148</v>
      </c>
      <c r="G1585" s="16">
        <v>2.0</v>
      </c>
      <c r="H1585" s="17">
        <v>44520.0</v>
      </c>
      <c r="I1585" s="18" t="s">
        <v>1560</v>
      </c>
    </row>
    <row r="1586">
      <c r="A1586" s="5" t="str">
        <f t="array" ref="A1586">INDEX(event_table!$A$2:$A$69, RANDBETWEEN(1, COUNTA(event_table!$A$2:$A$69)))</f>
        <v>1639</v>
      </c>
      <c r="B1586" s="6">
        <f t="array" ref="B1586">IFERROR(INDEX(event_table!$E$1:$E3686,MATCH(A1586,event_table!$A$1:$A3686,0)),"")
</f>
        <v>6</v>
      </c>
      <c r="C1586" s="7">
        <f t="shared" si="1"/>
        <v>20</v>
      </c>
      <c r="D1586" s="6" t="str">
        <f t="array" ref="D1586">IFERROR(INDEX(user_table!$C$2:$C3686,MATCH(C1586,user_table!$B$2:$B3686,0)),"")
</f>
        <v>Arif Septiani</v>
      </c>
      <c r="E1586" s="6" t="str">
        <f t="array" ref="E1586">IFERROR(INDEX(user_table!$E$2:$E3686,MATCH(C1586,user_table!$B$2:$B3686,0)),"")
</f>
        <v>6, 3</v>
      </c>
      <c r="F1586" s="6" t="str">
        <f t="shared" si="2"/>
        <v>16392620</v>
      </c>
      <c r="G1586" s="16">
        <v>2.0</v>
      </c>
      <c r="H1586" s="17">
        <v>45204.0</v>
      </c>
      <c r="I1586" s="18" t="s">
        <v>1561</v>
      </c>
    </row>
    <row r="1587">
      <c r="A1587" s="5" t="str">
        <f t="array" ref="A1587">INDEX(event_table!$A$2:$A$69, RANDBETWEEN(1, COUNTA(event_table!$A$2:$A$69)))</f>
        <v>1553</v>
      </c>
      <c r="B1587" s="6">
        <f t="array" ref="B1587">IFERROR(INDEX(event_table!$E$1:$E3686,MATCH(A1587,event_table!$A$1:$A3686,0)),"")
</f>
        <v>5</v>
      </c>
      <c r="C1587" s="7">
        <f t="shared" si="1"/>
        <v>116</v>
      </c>
      <c r="D1587" s="6" t="str">
        <f t="array" ref="D1587">IFERROR(INDEX(user_table!$C$2:$C3686,MATCH(C1587,user_table!$B$2:$B3686,0)),"")
</f>
        <v>Fandi Hartono</v>
      </c>
      <c r="E1587" s="6" t="str">
        <f t="array" ref="E1587">IFERROR(INDEX(user_table!$E$2:$E3686,MATCH(C1587,user_table!$B$2:$B3686,0)),"")
</f>
        <v>2, 1</v>
      </c>
      <c r="F1587" s="6" t="str">
        <f t="shared" si="2"/>
        <v>155325116</v>
      </c>
      <c r="G1587" s="16">
        <v>2.0</v>
      </c>
      <c r="H1587" s="17">
        <v>45191.0</v>
      </c>
      <c r="I1587" s="18" t="s">
        <v>1562</v>
      </c>
    </row>
    <row r="1588">
      <c r="A1588" s="5" t="str">
        <f t="array" ref="A1588">INDEX(event_table!$A$2:$A$69, RANDBETWEEN(1, COUNTA(event_table!$A$2:$A$69)))</f>
        <v>1645</v>
      </c>
      <c r="B1588" s="6">
        <f t="array" ref="B1588">IFERROR(INDEX(event_table!$E$1:$E3686,MATCH(A1588,event_table!$A$1:$A3686,0)),"")
</f>
        <v>6</v>
      </c>
      <c r="C1588" s="7">
        <f t="shared" si="1"/>
        <v>46</v>
      </c>
      <c r="D1588" s="6" t="str">
        <f t="array" ref="D1588">IFERROR(INDEX(user_table!$C$2:$C3686,MATCH(C1588,user_table!$B$2:$B3686,0)),"")
</f>
        <v>Dian Wijaya</v>
      </c>
      <c r="E1588" s="6" t="str">
        <f t="array" ref="E1588">IFERROR(INDEX(user_table!$E$2:$E3686,MATCH(C1588,user_table!$B$2:$B3686,0)),"")
</f>
        <v>2, 2</v>
      </c>
      <c r="F1588" s="6" t="str">
        <f t="shared" si="2"/>
        <v>16452646</v>
      </c>
      <c r="G1588" s="16">
        <v>2.0</v>
      </c>
      <c r="H1588" s="17">
        <v>45170.0</v>
      </c>
      <c r="I1588" s="18" t="s">
        <v>1563</v>
      </c>
    </row>
    <row r="1589">
      <c r="A1589" s="5" t="str">
        <f t="array" ref="A1589">INDEX(event_table!$A$2:$A$69, RANDBETWEEN(1, COUNTA(event_table!$A$2:$A$69)))</f>
        <v>1649</v>
      </c>
      <c r="B1589" s="6">
        <f t="array" ref="B1589">IFERROR(INDEX(event_table!$E$1:$E3686,MATCH(A1589,event_table!$A$1:$A3686,0)),"")
</f>
        <v>6</v>
      </c>
      <c r="C1589" s="7">
        <f t="shared" si="1"/>
        <v>87</v>
      </c>
      <c r="D1589" s="6" t="str">
        <f t="array" ref="D1589">IFERROR(INDEX(user_table!$C$2:$C3686,MATCH(C1589,user_table!$B$2:$B3686,0)),"")
</f>
        <v>Budi Setiawan</v>
      </c>
      <c r="E1589" s="6" t="str">
        <f t="array" ref="E1589">IFERROR(INDEX(user_table!$E$2:$E3686,MATCH(C1589,user_table!$B$2:$B3686,0)),"")
</f>
        <v>3, 5</v>
      </c>
      <c r="F1589" s="6" t="str">
        <f t="shared" si="2"/>
        <v>16492687</v>
      </c>
      <c r="G1589" s="16">
        <v>2.0</v>
      </c>
      <c r="H1589" s="17">
        <v>45166.0</v>
      </c>
      <c r="I1589" s="18" t="s">
        <v>1564</v>
      </c>
    </row>
    <row r="1590">
      <c r="A1590" s="5" t="str">
        <f t="array" ref="A1590">INDEX(event_table!$A$2:$A$69, RANDBETWEEN(1, COUNTA(event_table!$A$2:$A$69)))</f>
        <v>1425</v>
      </c>
      <c r="B1590" s="6">
        <f t="array" ref="B1590">IFERROR(INDEX(event_table!$E$1:$E3686,MATCH(A1590,event_table!$A$1:$A3686,0)),"")
</f>
        <v>4</v>
      </c>
      <c r="C1590" s="7">
        <f t="shared" si="1"/>
        <v>26</v>
      </c>
      <c r="D1590" s="6" t="str">
        <f t="array" ref="D1590">IFERROR(INDEX(user_table!$C$2:$C3686,MATCH(C1590,user_table!$B$2:$B3686,0)),"")
</f>
        <v>Citra Sari</v>
      </c>
      <c r="E1590" s="6" t="str">
        <f t="array" ref="E1590">IFERROR(INDEX(user_table!$E$2:$E3686,MATCH(C1590,user_table!$B$2:$B3686,0)),"")
</f>
        <v>5, 1</v>
      </c>
      <c r="F1590" s="6" t="str">
        <f t="shared" si="2"/>
        <v>14252426</v>
      </c>
      <c r="G1590" s="16">
        <v>2.0</v>
      </c>
      <c r="H1590" s="17">
        <v>45150.0</v>
      </c>
      <c r="I1590" s="18" t="s">
        <v>1565</v>
      </c>
    </row>
    <row r="1591">
      <c r="A1591" s="5" t="str">
        <f t="array" ref="A1591">INDEX(event_table!$A$2:$A$69, RANDBETWEEN(1, COUNTA(event_table!$A$2:$A$69)))</f>
        <v>3166</v>
      </c>
      <c r="B1591" s="6">
        <f t="array" ref="B1591">IFERROR(INDEX(event_table!$E$1:$E3686,MATCH(A1591,event_table!$A$1:$A3686,0)),"")
</f>
        <v>1</v>
      </c>
      <c r="C1591" s="7">
        <f t="shared" si="1"/>
        <v>190</v>
      </c>
      <c r="D1591" s="6" t="str">
        <f t="array" ref="D1591">IFERROR(INDEX(user_table!$C$2:$C3686,MATCH(C1591,user_table!$B$2:$B3686,0)),"")
</f>
        <v>Fajar Santoso</v>
      </c>
      <c r="E1591" s="6" t="str">
        <f t="array" ref="E1591">IFERROR(INDEX(user_table!$E$2:$E3686,MATCH(C1591,user_table!$B$2:$B3686,0)),"")
</f>
        <v>1, 3</v>
      </c>
      <c r="F1591" s="6" t="str">
        <f t="shared" si="2"/>
        <v>316621190</v>
      </c>
      <c r="G1591" s="16">
        <v>2.0</v>
      </c>
      <c r="H1591" s="17">
        <v>45105.0</v>
      </c>
      <c r="I1591" s="18" t="s">
        <v>1566</v>
      </c>
    </row>
    <row r="1592">
      <c r="A1592" s="5" t="str">
        <f t="array" ref="A1592">INDEX(event_table!$A$2:$A$69, RANDBETWEEN(1, COUNTA(event_table!$A$2:$A$69)))</f>
        <v>1531</v>
      </c>
      <c r="B1592" s="6">
        <f t="array" ref="B1592">IFERROR(INDEX(event_table!$E$1:$E3686,MATCH(A1592,event_table!$A$1:$A3686,0)),"")
</f>
        <v>5</v>
      </c>
      <c r="C1592" s="7">
        <f t="shared" si="1"/>
        <v>167</v>
      </c>
      <c r="D1592" s="6" t="str">
        <f t="array" ref="D1592">IFERROR(INDEX(user_table!$C$2:$C3686,MATCH(C1592,user_table!$B$2:$B3686,0)),"")
</f>
        <v>Fandi Hermawan</v>
      </c>
      <c r="E1592" s="6" t="str">
        <f t="array" ref="E1592">IFERROR(INDEX(user_table!$E$2:$E3686,MATCH(C1592,user_table!$B$2:$B3686,0)),"")
</f>
        <v>3, 1</v>
      </c>
      <c r="F1592" s="6" t="str">
        <f t="shared" si="2"/>
        <v>153125167</v>
      </c>
      <c r="G1592" s="16">
        <v>2.0</v>
      </c>
      <c r="H1592" s="17">
        <v>45070.0</v>
      </c>
      <c r="I1592" s="18" t="s">
        <v>1567</v>
      </c>
    </row>
    <row r="1593">
      <c r="A1593" s="5" t="str">
        <f t="array" ref="A1593">INDEX(event_table!$A$2:$A$69, RANDBETWEEN(1, COUNTA(event_table!$A$2:$A$69)))</f>
        <v>1530</v>
      </c>
      <c r="B1593" s="6">
        <f t="array" ref="B1593">IFERROR(INDEX(event_table!$E$1:$E3686,MATCH(A1593,event_table!$A$1:$A3686,0)),"")
</f>
        <v>5</v>
      </c>
      <c r="C1593" s="7">
        <f t="shared" si="1"/>
        <v>122</v>
      </c>
      <c r="D1593" s="6" t="str">
        <f t="array" ref="D1593">IFERROR(INDEX(user_table!$C$2:$C3686,MATCH(C1593,user_table!$B$2:$B3686,0)),"")
</f>
        <v>Maya Setiawan</v>
      </c>
      <c r="E1593" s="6" t="str">
        <f t="array" ref="E1593">IFERROR(INDEX(user_table!$E$2:$E3686,MATCH(C1593,user_table!$B$2:$B3686,0)),"")
</f>
        <v>2, 3</v>
      </c>
      <c r="F1593" s="6" t="str">
        <f t="shared" si="2"/>
        <v>153015122</v>
      </c>
      <c r="G1593" s="16">
        <v>1.0</v>
      </c>
      <c r="H1593" s="17">
        <v>45194.0</v>
      </c>
      <c r="I1593" s="18" t="s">
        <v>1568</v>
      </c>
    </row>
    <row r="1594">
      <c r="A1594" s="5" t="str">
        <f t="array" ref="A1594">INDEX(event_table!$A$2:$A$69, RANDBETWEEN(1, COUNTA(event_table!$A$2:$A$69)))</f>
        <v>1425</v>
      </c>
      <c r="B1594" s="6">
        <f t="array" ref="B1594">IFERROR(INDEX(event_table!$E$1:$E3686,MATCH(A1594,event_table!$A$1:$A3686,0)),"")
</f>
        <v>4</v>
      </c>
      <c r="C1594" s="7">
        <f t="shared" si="1"/>
        <v>48</v>
      </c>
      <c r="D1594" s="6" t="str">
        <f t="array" ref="D1594">IFERROR(INDEX(user_table!$C$2:$C3686,MATCH(C1594,user_table!$B$2:$B3686,0)),"")
</f>
        <v>Maya Kusuma</v>
      </c>
      <c r="E1594" s="6" t="str">
        <f t="array" ref="E1594">IFERROR(INDEX(user_table!$E$2:$E3686,MATCH(C1594,user_table!$B$2:$B3686,0)),"")
</f>
        <v>2, 3</v>
      </c>
      <c r="F1594" s="6" t="str">
        <f t="shared" si="2"/>
        <v>14251448</v>
      </c>
      <c r="G1594" s="16">
        <v>1.0</v>
      </c>
      <c r="H1594" s="17">
        <v>45230.0</v>
      </c>
      <c r="I1594" s="18" t="s">
        <v>1569</v>
      </c>
    </row>
    <row r="1595">
      <c r="A1595" s="5" t="str">
        <f t="array" ref="A1595">INDEX(event_table!$A$2:$A$69, RANDBETWEEN(1, COUNTA(event_table!$A$2:$A$69)))</f>
        <v>1639</v>
      </c>
      <c r="B1595" s="6">
        <f t="array" ref="B1595">IFERROR(INDEX(event_table!$E$1:$E3686,MATCH(A1595,event_table!$A$1:$A3686,0)),"")
</f>
        <v>6</v>
      </c>
      <c r="C1595" s="7">
        <f t="shared" si="1"/>
        <v>81</v>
      </c>
      <c r="D1595" s="6" t="str">
        <f t="array" ref="D1595">IFERROR(INDEX(user_table!$C$2:$C3686,MATCH(C1595,user_table!$B$2:$B3686,0)),"")
</f>
        <v>Lina Rahayu</v>
      </c>
      <c r="E1595" s="6" t="str">
        <f t="array" ref="E1595">IFERROR(INDEX(user_table!$E$2:$E3686,MATCH(C1595,user_table!$B$2:$B3686,0)),"")
</f>
        <v>2, 1</v>
      </c>
      <c r="F1595" s="6" t="str">
        <f t="shared" si="2"/>
        <v>16391681</v>
      </c>
      <c r="G1595" s="16">
        <v>1.0</v>
      </c>
      <c r="H1595" s="17">
        <v>45153.0</v>
      </c>
      <c r="I1595" s="18" t="s">
        <v>1570</v>
      </c>
    </row>
    <row r="1596">
      <c r="A1596" s="5" t="str">
        <f t="array" ref="A1596">INDEX(event_table!$A$2:$A$69, RANDBETWEEN(1, COUNTA(event_table!$A$2:$A$69)))</f>
        <v>3658</v>
      </c>
      <c r="B1596" s="6">
        <f t="array" ref="B1596">IFERROR(INDEX(event_table!$E$1:$E3686,MATCH(A1596,event_table!$A$1:$A3686,0)),"")
</f>
        <v>6</v>
      </c>
      <c r="C1596" s="7">
        <f t="shared" si="1"/>
        <v>83</v>
      </c>
      <c r="D1596" s="6" t="str">
        <f t="array" ref="D1596">IFERROR(INDEX(user_table!$C$2:$C3686,MATCH(C1596,user_table!$B$2:$B3686,0)),"")
</f>
        <v>Sinta Nurhayati</v>
      </c>
      <c r="E1596" s="6" t="str">
        <f t="array" ref="E1596">IFERROR(INDEX(user_table!$E$2:$E3686,MATCH(C1596,user_table!$B$2:$B3686,0)),"")
</f>
        <v>5, 5</v>
      </c>
      <c r="F1596" s="6" t="str">
        <f t="shared" si="2"/>
        <v>36581683</v>
      </c>
      <c r="G1596" s="16">
        <v>1.0</v>
      </c>
      <c r="H1596" s="17">
        <v>45152.0</v>
      </c>
      <c r="I1596" s="18" t="s">
        <v>1571</v>
      </c>
    </row>
    <row r="1597">
      <c r="A1597" s="5" t="str">
        <f t="array" ref="A1597">INDEX(event_table!$A$2:$A$69, RANDBETWEEN(1, COUNTA(event_table!$A$2:$A$69)))</f>
        <v>1652</v>
      </c>
      <c r="B1597" s="6">
        <f t="array" ref="B1597">IFERROR(INDEX(event_table!$E$1:$E3686,MATCH(A1597,event_table!$A$1:$A3686,0)),"")
</f>
        <v>6</v>
      </c>
      <c r="C1597" s="7">
        <f t="shared" si="1"/>
        <v>28</v>
      </c>
      <c r="D1597" s="6" t="str">
        <f t="array" ref="D1597">IFERROR(INDEX(user_table!$C$2:$C3686,MATCH(C1597,user_table!$B$2:$B3686,0)),"")
</f>
        <v>Fandi Putri</v>
      </c>
      <c r="E1597" s="6" t="str">
        <f t="array" ref="E1597">IFERROR(INDEX(user_table!$E$2:$E3686,MATCH(C1597,user_table!$B$2:$B3686,0)),"")
</f>
        <v>5, 1</v>
      </c>
      <c r="F1597" s="6" t="str">
        <f t="shared" si="2"/>
        <v>16521628</v>
      </c>
      <c r="G1597" s="16">
        <v>1.0</v>
      </c>
      <c r="H1597" s="17">
        <v>45144.0</v>
      </c>
      <c r="I1597" s="18" t="s">
        <v>1572</v>
      </c>
    </row>
    <row r="1598">
      <c r="A1598" s="5" t="str">
        <f t="array" ref="A1598">INDEX(event_table!$A$2:$A$69, RANDBETWEEN(1, COUNTA(event_table!$A$2:$A$69)))</f>
        <v>1529</v>
      </c>
      <c r="B1598" s="6">
        <f t="array" ref="B1598">IFERROR(INDEX(event_table!$E$1:$E3686,MATCH(A1598,event_table!$A$1:$A3686,0)),"")
</f>
        <v>5</v>
      </c>
      <c r="C1598" s="7">
        <f t="shared" si="1"/>
        <v>51</v>
      </c>
      <c r="D1598" s="6" t="str">
        <f t="array" ref="D1598">IFERROR(INDEX(user_table!$C$2:$C3686,MATCH(C1598,user_table!$B$2:$B3686,0)),"")
</f>
        <v>Fandi Pratama</v>
      </c>
      <c r="E1598" s="6" t="str">
        <f t="array" ref="E1598">IFERROR(INDEX(user_table!$E$2:$E3686,MATCH(C1598,user_table!$B$2:$B3686,0)),"")
</f>
        <v>2, 1</v>
      </c>
      <c r="F1598" s="6" t="str">
        <f t="shared" si="2"/>
        <v>15291551</v>
      </c>
      <c r="G1598" s="16">
        <v>1.0</v>
      </c>
      <c r="H1598" s="17">
        <v>45087.0</v>
      </c>
      <c r="I1598" s="18" t="s">
        <v>1573</v>
      </c>
    </row>
    <row r="1599">
      <c r="A1599" s="5" t="str">
        <f t="array" ref="A1599">INDEX(event_table!$A$2:$A$69, RANDBETWEEN(1, COUNTA(event_table!$A$2:$A$69)))</f>
        <v>1646</v>
      </c>
      <c r="B1599" s="6">
        <f t="array" ref="B1599">IFERROR(INDEX(event_table!$E$1:$E3686,MATCH(A1599,event_table!$A$1:$A3686,0)),"")
</f>
        <v>6</v>
      </c>
      <c r="C1599" s="7">
        <f t="shared" si="1"/>
        <v>31</v>
      </c>
      <c r="D1599" s="6" t="str">
        <f t="array" ref="D1599">IFERROR(INDEX(user_table!$C$2:$C3686,MATCH(C1599,user_table!$B$2:$B3686,0)),"")
</f>
        <v>Dian Hidayat</v>
      </c>
      <c r="E1599" s="6" t="str">
        <f t="array" ref="E1599">IFERROR(INDEX(user_table!$E$2:$E3686,MATCH(C1599,user_table!$B$2:$B3686,0)),"")
</f>
        <v>3, 5</v>
      </c>
      <c r="F1599" s="6" t="str">
        <f t="shared" si="2"/>
        <v>16461631</v>
      </c>
      <c r="G1599" s="16">
        <v>1.0</v>
      </c>
      <c r="H1599" s="17">
        <v>45073.0</v>
      </c>
      <c r="I1599" s="18" t="s">
        <v>1574</v>
      </c>
    </row>
    <row r="1600">
      <c r="A1600" s="5" t="str">
        <f t="array" ref="A1600">INDEX(event_table!$A$2:$A$69, RANDBETWEEN(1, COUNTA(event_table!$A$2:$A$69)))</f>
        <v>1641</v>
      </c>
      <c r="B1600" s="6">
        <f t="array" ref="B1600">IFERROR(INDEX(event_table!$E$1:$E3686,MATCH(A1600,event_table!$A$1:$A3686,0)),"")
</f>
        <v>6</v>
      </c>
      <c r="C1600" s="7">
        <f t="shared" si="1"/>
        <v>36</v>
      </c>
      <c r="D1600" s="6" t="str">
        <f t="array" ref="D1600">IFERROR(INDEX(user_table!$C$2:$C3686,MATCH(C1600,user_table!$B$2:$B3686,0)),"")
</f>
        <v>Arif Susanto</v>
      </c>
      <c r="E1600" s="6" t="str">
        <f t="array" ref="E1600">IFERROR(INDEX(user_table!$E$2:$E3686,MATCH(C1600,user_table!$B$2:$B3686,0)),"")
</f>
        <v>3, 5</v>
      </c>
      <c r="F1600" s="6" t="str">
        <f t="shared" si="2"/>
        <v>16411636</v>
      </c>
      <c r="G1600" s="16">
        <v>1.0</v>
      </c>
      <c r="H1600" s="17">
        <v>45073.0</v>
      </c>
      <c r="I1600" s="18" t="s">
        <v>1575</v>
      </c>
    </row>
    <row r="1601">
      <c r="A1601" s="5" t="str">
        <f t="array" ref="A1601">INDEX(event_table!$A$2:$A$69, RANDBETWEEN(1, COUNTA(event_table!$A$2:$A$69)))</f>
        <v>1334</v>
      </c>
      <c r="B1601" s="6">
        <f t="array" ref="B1601">IFERROR(INDEX(event_table!$E$1:$E3686,MATCH(A1601,event_table!$A$1:$A3686,0)),"")
</f>
        <v>3</v>
      </c>
      <c r="C1601" s="7">
        <f t="shared" si="1"/>
        <v>194</v>
      </c>
      <c r="D1601" s="6" t="str">
        <f t="array" ref="D1601">IFERROR(INDEX(user_table!$C$2:$C3686,MATCH(C1601,user_table!$B$2:$B3686,0)),"")
</f>
        <v>Andi Putri</v>
      </c>
      <c r="E1601" s="6" t="str">
        <f t="array" ref="E1601">IFERROR(INDEX(user_table!$E$2:$E3686,MATCH(C1601,user_table!$B$2:$B3686,0)),"")
</f>
        <v>4, 4</v>
      </c>
      <c r="F1601" s="6" t="str">
        <f t="shared" si="2"/>
        <v>133413194</v>
      </c>
      <c r="G1601" s="16">
        <v>1.0</v>
      </c>
      <c r="H1601" s="17">
        <v>45026.0</v>
      </c>
      <c r="I1601" s="18" t="s">
        <v>1576</v>
      </c>
    </row>
    <row r="1602">
      <c r="A1602" s="5" t="str">
        <f t="array" ref="A1602">INDEX(event_table!$A$2:$A$69, RANDBETWEEN(1, COUNTA(event_table!$A$2:$A$69)))</f>
        <v>1114</v>
      </c>
      <c r="B1602" s="6">
        <f t="array" ref="B1602">IFERROR(INDEX(event_table!$E$1:$E3686,MATCH(A1602,event_table!$A$1:$A3686,0)),"")
</f>
        <v>1</v>
      </c>
      <c r="C1602" s="7">
        <f t="shared" si="1"/>
        <v>116</v>
      </c>
      <c r="D1602" s="6" t="str">
        <f t="array" ref="D1602">IFERROR(INDEX(user_table!$C$2:$C3686,MATCH(C1602,user_table!$B$2:$B3686,0)),"")
</f>
        <v>Fandi Hartono</v>
      </c>
      <c r="E1602" s="6" t="str">
        <f t="array" ref="E1602">IFERROR(INDEX(user_table!$E$2:$E3686,MATCH(C1602,user_table!$B$2:$B3686,0)),"")
</f>
        <v>2, 1</v>
      </c>
      <c r="F1602" s="6" t="str">
        <f t="shared" si="2"/>
        <v>111411116</v>
      </c>
      <c r="G1602" s="16">
        <v>1.0</v>
      </c>
      <c r="H1602" s="17">
        <v>45021.0</v>
      </c>
      <c r="I1602" s="18" t="s">
        <v>1577</v>
      </c>
    </row>
    <row r="1603">
      <c r="A1603" s="5" t="str">
        <f t="array" ref="A1603">INDEX(event_table!$A$2:$A$69, RANDBETWEEN(1, COUNTA(event_table!$A$2:$A$69)))</f>
        <v>3169</v>
      </c>
      <c r="B1603" s="6">
        <f t="array" ref="B1603">IFERROR(INDEX(event_table!$E$1:$E3686,MATCH(A1603,event_table!$A$1:$A3686,0)),"")
</f>
        <v>1</v>
      </c>
      <c r="C1603" s="7">
        <f t="shared" si="1"/>
        <v>63</v>
      </c>
      <c r="D1603" s="6" t="str">
        <f t="array" ref="D1603">IFERROR(INDEX(user_table!$C$2:$C3686,MATCH(C1603,user_table!$B$2:$B3686,0)),"")
</f>
        <v>Desi Putri</v>
      </c>
      <c r="E1603" s="6" t="str">
        <f t="array" ref="E1603">IFERROR(INDEX(user_table!$E$2:$E3686,MATCH(C1603,user_table!$B$2:$B3686,0)),"")
</f>
        <v>2, 5</v>
      </c>
      <c r="F1603" s="6" t="str">
        <f t="shared" si="2"/>
        <v>31695163</v>
      </c>
      <c r="G1603" s="16">
        <v>5.0</v>
      </c>
      <c r="H1603" s="17">
        <v>44734.0</v>
      </c>
      <c r="I1603" s="18" t="s">
        <v>1578</v>
      </c>
    </row>
    <row r="1604">
      <c r="A1604" s="5" t="str">
        <f t="array" ref="A1604">INDEX(event_table!$A$2:$A$69, RANDBETWEEN(1, COUNTA(event_table!$A$2:$A$69)))</f>
        <v>1332</v>
      </c>
      <c r="B1604" s="6">
        <f t="array" ref="B1604">IFERROR(INDEX(event_table!$E$1:$E3686,MATCH(A1604,event_table!$A$1:$A3686,0)),"")
</f>
        <v>3</v>
      </c>
      <c r="C1604" s="7">
        <f t="shared" si="1"/>
        <v>146</v>
      </c>
      <c r="D1604" s="6" t="str">
        <f t="array" ref="D1604">IFERROR(INDEX(user_table!$C$2:$C3686,MATCH(C1604,user_table!$B$2:$B3686,0)),"")
</f>
        <v>Rudi Susanto</v>
      </c>
      <c r="E1604" s="6" t="str">
        <f t="array" ref="E1604">IFERROR(INDEX(user_table!$E$2:$E3686,MATCH(C1604,user_table!$B$2:$B3686,0)),"")
</f>
        <v>6, 1</v>
      </c>
      <c r="F1604" s="6" t="str">
        <f t="shared" si="2"/>
        <v>133253146</v>
      </c>
      <c r="G1604" s="16">
        <v>5.0</v>
      </c>
      <c r="H1604" s="17">
        <v>44733.0</v>
      </c>
      <c r="I1604" s="18" t="s">
        <v>1579</v>
      </c>
    </row>
    <row r="1605">
      <c r="A1605" s="5" t="str">
        <f t="array" ref="A1605">INDEX(event_table!$A$2:$A$69, RANDBETWEEN(1, COUNTA(event_table!$A$2:$A$69)))</f>
        <v>1334</v>
      </c>
      <c r="B1605" s="6">
        <f t="array" ref="B1605">IFERROR(INDEX(event_table!$E$1:$E3686,MATCH(A1605,event_table!$A$1:$A3686,0)),"")
</f>
        <v>3</v>
      </c>
      <c r="C1605" s="7">
        <f t="shared" si="1"/>
        <v>101</v>
      </c>
      <c r="D1605" s="6" t="str">
        <f t="array" ref="D1605">IFERROR(INDEX(user_table!$C$2:$C3686,MATCH(C1605,user_table!$B$2:$B3686,0)),"")
</f>
        <v>Maya Hadiwijaya</v>
      </c>
      <c r="E1605" s="6" t="str">
        <f t="array" ref="E1605">IFERROR(INDEX(user_table!$E$2:$E3686,MATCH(C1605,user_table!$B$2:$B3686,0)),"")
</f>
        <v>5, 4</v>
      </c>
      <c r="F1605" s="6" t="str">
        <f t="shared" si="2"/>
        <v>133453101</v>
      </c>
      <c r="G1605" s="16">
        <v>5.0</v>
      </c>
      <c r="H1605" s="17">
        <v>44732.0</v>
      </c>
      <c r="I1605" s="18" t="s">
        <v>1580</v>
      </c>
    </row>
    <row r="1606">
      <c r="A1606" s="5" t="str">
        <f t="array" ref="A1606">INDEX(event_table!$A$2:$A$69, RANDBETWEEN(1, COUNTA(event_table!$A$2:$A$69)))</f>
        <v>1639</v>
      </c>
      <c r="B1606" s="6">
        <f t="array" ref="B1606">IFERROR(INDEX(event_table!$E$1:$E3686,MATCH(A1606,event_table!$A$1:$A3686,0)),"")
</f>
        <v>6</v>
      </c>
      <c r="C1606" s="7">
        <f t="shared" si="1"/>
        <v>36</v>
      </c>
      <c r="D1606" s="6" t="str">
        <f t="array" ref="D1606">IFERROR(INDEX(user_table!$C$2:$C3686,MATCH(C1606,user_table!$B$2:$B3686,0)),"")
</f>
        <v>Arif Susanto</v>
      </c>
      <c r="E1606" s="6" t="str">
        <f t="array" ref="E1606">IFERROR(INDEX(user_table!$E$2:$E3686,MATCH(C1606,user_table!$B$2:$B3686,0)),"")
</f>
        <v>3, 5</v>
      </c>
      <c r="F1606" s="6" t="str">
        <f t="shared" si="2"/>
        <v>16395636</v>
      </c>
      <c r="G1606" s="16">
        <v>5.0</v>
      </c>
      <c r="H1606" s="17">
        <v>44708.0</v>
      </c>
      <c r="I1606" s="18" t="s">
        <v>1581</v>
      </c>
    </row>
    <row r="1607">
      <c r="A1607" s="5" t="str">
        <f t="array" ref="A1607">INDEX(event_table!$A$2:$A$69, RANDBETWEEN(1, COUNTA(event_table!$A$2:$A$69)))</f>
        <v>3169</v>
      </c>
      <c r="B1607" s="6">
        <f t="array" ref="B1607">IFERROR(INDEX(event_table!$E$1:$E3686,MATCH(A1607,event_table!$A$1:$A3686,0)),"")
</f>
        <v>1</v>
      </c>
      <c r="C1607" s="7">
        <f t="shared" si="1"/>
        <v>32</v>
      </c>
      <c r="D1607" s="6" t="str">
        <f t="array" ref="D1607">IFERROR(INDEX(user_table!$C$2:$C3686,MATCH(C1607,user_table!$B$2:$B3686,0)),"")
</f>
        <v>Ani Setiawan</v>
      </c>
      <c r="E1607" s="6" t="str">
        <f t="array" ref="E1607">IFERROR(INDEX(user_table!$E$2:$E3686,MATCH(C1607,user_table!$B$2:$B3686,0)),"")
</f>
        <v>6, 3</v>
      </c>
      <c r="F1607" s="6" t="str">
        <f t="shared" si="2"/>
        <v>31695132</v>
      </c>
      <c r="G1607" s="16">
        <v>5.0</v>
      </c>
      <c r="H1607" s="17">
        <v>44702.0</v>
      </c>
      <c r="I1607" s="18" t="s">
        <v>1582</v>
      </c>
    </row>
    <row r="1608">
      <c r="A1608" s="5" t="str">
        <f t="array" ref="A1608">INDEX(event_table!$A$2:$A$69, RANDBETWEEN(1, COUNTA(event_table!$A$2:$A$69)))</f>
        <v>1528</v>
      </c>
      <c r="B1608" s="6">
        <f t="array" ref="B1608">IFERROR(INDEX(event_table!$E$1:$E3686,MATCH(A1608,event_table!$A$1:$A3686,0)),"")
</f>
        <v>5</v>
      </c>
      <c r="C1608" s="7">
        <f t="shared" si="1"/>
        <v>5</v>
      </c>
      <c r="D1608" s="6" t="str">
        <f t="array" ref="D1608">IFERROR(INDEX(user_table!$C$2:$C3686,MATCH(C1608,user_table!$B$2:$B3686,0)),"")
</f>
        <v>Hadi Nurhayati</v>
      </c>
      <c r="E1608" s="6" t="str">
        <f t="array" ref="E1608">IFERROR(INDEX(user_table!$E$2:$E3686,MATCH(C1608,user_table!$B$2:$B3686,0)),"")
</f>
        <v>1, 5</v>
      </c>
      <c r="F1608" s="6" t="str">
        <f t="shared" si="2"/>
        <v>1528555</v>
      </c>
      <c r="G1608" s="16">
        <v>5.0</v>
      </c>
      <c r="H1608" s="17">
        <v>44681.0</v>
      </c>
      <c r="I1608" s="18" t="s">
        <v>1583</v>
      </c>
    </row>
    <row r="1609">
      <c r="A1609" s="5" t="str">
        <f t="array" ref="A1609">INDEX(event_table!$A$2:$A$69, RANDBETWEEN(1, COUNTA(event_table!$A$2:$A$69)))</f>
        <v>1647</v>
      </c>
      <c r="B1609" s="6">
        <f t="array" ref="B1609">IFERROR(INDEX(event_table!$E$1:$E3686,MATCH(A1609,event_table!$A$1:$A3686,0)),"")
</f>
        <v>6</v>
      </c>
      <c r="C1609" s="7">
        <f t="shared" si="1"/>
        <v>159</v>
      </c>
      <c r="D1609" s="6" t="str">
        <f t="array" ref="D1609">IFERROR(INDEX(user_table!$C$2:$C3686,MATCH(C1609,user_table!$B$2:$B3686,0)),"")
</f>
        <v>Rudi Santoso</v>
      </c>
      <c r="E1609" s="6" t="str">
        <f t="array" ref="E1609">IFERROR(INDEX(user_table!$E$2:$E3686,MATCH(C1609,user_table!$B$2:$B3686,0)),"")
</f>
        <v>5, 1</v>
      </c>
      <c r="F1609" s="6" t="str">
        <f t="shared" si="2"/>
        <v>164756159</v>
      </c>
      <c r="G1609" s="16">
        <v>5.0</v>
      </c>
      <c r="H1609" s="17">
        <v>45120.0</v>
      </c>
      <c r="I1609" s="18" t="s">
        <v>1584</v>
      </c>
    </row>
    <row r="1610">
      <c r="A1610" s="5" t="str">
        <f t="array" ref="A1610">INDEX(event_table!$A$2:$A$69, RANDBETWEEN(1, COUNTA(event_table!$A$2:$A$69)))</f>
        <v>3162</v>
      </c>
      <c r="B1610" s="6">
        <f t="array" ref="B1610">IFERROR(INDEX(event_table!$E$1:$E3686,MATCH(A1610,event_table!$A$1:$A3686,0)),"")
</f>
        <v>1</v>
      </c>
      <c r="C1610" s="7">
        <f t="shared" si="1"/>
        <v>158</v>
      </c>
      <c r="D1610" s="6" t="str">
        <f t="array" ref="D1610">IFERROR(INDEX(user_table!$C$2:$C3686,MATCH(C1610,user_table!$B$2:$B3686,0)),"")
</f>
        <v>Maya Wijaya</v>
      </c>
      <c r="E1610" s="6" t="str">
        <f t="array" ref="E1610">IFERROR(INDEX(user_table!$E$2:$E3686,MATCH(C1610,user_table!$B$2:$B3686,0)),"")
</f>
        <v>3, 4</v>
      </c>
      <c r="F1610" s="6" t="str">
        <f t="shared" si="2"/>
        <v>316251158</v>
      </c>
      <c r="G1610" s="16">
        <v>5.0</v>
      </c>
      <c r="H1610" s="17">
        <v>45081.0</v>
      </c>
      <c r="I1610" s="18" t="s">
        <v>1585</v>
      </c>
    </row>
    <row r="1611">
      <c r="A1611" s="5" t="str">
        <f t="array" ref="A1611">INDEX(event_table!$A$2:$A$69, RANDBETWEEN(1, COUNTA(event_table!$A$2:$A$69)))</f>
        <v>1530</v>
      </c>
      <c r="B1611" s="6">
        <f t="array" ref="B1611">IFERROR(INDEX(event_table!$E$1:$E3686,MATCH(A1611,event_table!$A$1:$A3686,0)),"")
</f>
        <v>5</v>
      </c>
      <c r="C1611" s="7">
        <f t="shared" si="1"/>
        <v>45</v>
      </c>
      <c r="D1611" s="6" t="str">
        <f t="array" ref="D1611">IFERROR(INDEX(user_table!$C$2:$C3686,MATCH(C1611,user_table!$B$2:$B3686,0)),"")
</f>
        <v>Siti Kurniawan</v>
      </c>
      <c r="E1611" s="6" t="str">
        <f t="array" ref="E1611">IFERROR(INDEX(user_table!$E$2:$E3686,MATCH(C1611,user_table!$B$2:$B3686,0)),"")
</f>
        <v>1, 1</v>
      </c>
      <c r="F1611" s="6" t="str">
        <f t="shared" si="2"/>
        <v>15305545</v>
      </c>
      <c r="G1611" s="16">
        <v>5.0</v>
      </c>
      <c r="H1611" s="17">
        <v>44885.0</v>
      </c>
      <c r="I1611" s="18" t="s">
        <v>1586</v>
      </c>
    </row>
    <row r="1612">
      <c r="A1612" s="5" t="str">
        <f t="array" ref="A1612">INDEX(event_table!$A$2:$A$69, RANDBETWEEN(1, COUNTA(event_table!$A$2:$A$69)))</f>
        <v>116</v>
      </c>
      <c r="B1612" s="6">
        <f t="array" ref="B1612">IFERROR(INDEX(event_table!$E$1:$E3686,MATCH(A1612,event_table!$A$1:$A3686,0)),"")
</f>
        <v>1</v>
      </c>
      <c r="C1612" s="7">
        <f t="shared" si="1"/>
        <v>192</v>
      </c>
      <c r="D1612" s="6" t="str">
        <f t="array" ref="D1612">IFERROR(INDEX(user_table!$C$2:$C3686,MATCH(C1612,user_table!$B$2:$B3686,0)),"")
</f>
        <v>Joko Hadiwijaya</v>
      </c>
      <c r="E1612" s="6" t="str">
        <f t="array" ref="E1612">IFERROR(INDEX(user_table!$E$2:$E3686,MATCH(C1612,user_table!$B$2:$B3686,0)),"")
</f>
        <v>1, 3</v>
      </c>
      <c r="F1612" s="6" t="str">
        <f t="shared" si="2"/>
        <v>11651192</v>
      </c>
      <c r="G1612" s="16">
        <v>5.0</v>
      </c>
      <c r="H1612" s="17">
        <v>44865.0</v>
      </c>
      <c r="I1612" s="18" t="s">
        <v>992</v>
      </c>
    </row>
    <row r="1613">
      <c r="A1613" s="5" t="str">
        <f t="array" ref="A1613">INDEX(event_table!$A$2:$A$69, RANDBETWEEN(1, COUNTA(event_table!$A$2:$A$69)))</f>
        <v>3657</v>
      </c>
      <c r="B1613" s="6">
        <f t="array" ref="B1613">IFERROR(INDEX(event_table!$E$1:$E3686,MATCH(A1613,event_table!$A$1:$A3686,0)),"")
</f>
        <v>6</v>
      </c>
      <c r="C1613" s="7">
        <f t="shared" si="1"/>
        <v>5</v>
      </c>
      <c r="D1613" s="6" t="str">
        <f t="array" ref="D1613">IFERROR(INDEX(user_table!$C$2:$C3686,MATCH(C1613,user_table!$B$2:$B3686,0)),"")
</f>
        <v>Hadi Nurhayati</v>
      </c>
      <c r="E1613" s="6" t="str">
        <f t="array" ref="E1613">IFERROR(INDEX(user_table!$E$2:$E3686,MATCH(C1613,user_table!$B$2:$B3686,0)),"")
</f>
        <v>1, 5</v>
      </c>
      <c r="F1613" s="6" t="str">
        <f t="shared" si="2"/>
        <v>3657565</v>
      </c>
      <c r="G1613" s="16">
        <v>5.0</v>
      </c>
      <c r="H1613" s="17">
        <v>44712.0</v>
      </c>
      <c r="I1613" s="18" t="s">
        <v>1587</v>
      </c>
    </row>
    <row r="1614">
      <c r="A1614" s="5" t="str">
        <f t="array" ref="A1614">INDEX(event_table!$A$2:$A$69, RANDBETWEEN(1, COUNTA(event_table!$A$2:$A$69)))</f>
        <v>122</v>
      </c>
      <c r="B1614" s="6">
        <f t="array" ref="B1614">IFERROR(INDEX(event_table!$E$1:$E3686,MATCH(A1614,event_table!$A$1:$A3686,0)),"")
</f>
        <v>2</v>
      </c>
      <c r="C1614" s="7">
        <f t="shared" si="1"/>
        <v>72</v>
      </c>
      <c r="D1614" s="6" t="str">
        <f t="array" ref="D1614">IFERROR(INDEX(user_table!$C$2:$C3686,MATCH(C1614,user_table!$B$2:$B3686,0)),"")
</f>
        <v>Wahyu Kurniawan</v>
      </c>
      <c r="E1614" s="6" t="str">
        <f t="array" ref="E1614">IFERROR(INDEX(user_table!$E$2:$E3686,MATCH(C1614,user_table!$B$2:$B3686,0)),"")
</f>
        <v>5, 3</v>
      </c>
      <c r="F1614" s="6" t="str">
        <f t="shared" si="2"/>
        <v>1225272</v>
      </c>
      <c r="G1614" s="16">
        <v>5.0</v>
      </c>
      <c r="H1614" s="17">
        <v>44710.0</v>
      </c>
      <c r="I1614" s="18" t="s">
        <v>1588</v>
      </c>
    </row>
    <row r="1615">
      <c r="A1615" s="5" t="str">
        <f t="array" ref="A1615">INDEX(event_table!$A$2:$A$69, RANDBETWEEN(1, COUNTA(event_table!$A$2:$A$69)))</f>
        <v>1114</v>
      </c>
      <c r="B1615" s="6">
        <f t="array" ref="B1615">IFERROR(INDEX(event_table!$E$1:$E3686,MATCH(A1615,event_table!$A$1:$A3686,0)),"")
</f>
        <v>1</v>
      </c>
      <c r="C1615" s="7">
        <f t="shared" si="1"/>
        <v>97</v>
      </c>
      <c r="D1615" s="6" t="str">
        <f t="array" ref="D1615">IFERROR(INDEX(user_table!$C$2:$C3686,MATCH(C1615,user_table!$B$2:$B3686,0)),"")
</f>
        <v>Dewi Hidayat</v>
      </c>
      <c r="E1615" s="6" t="str">
        <f t="array" ref="E1615">IFERROR(INDEX(user_table!$E$2:$E3686,MATCH(C1615,user_table!$B$2:$B3686,0)),"")
</f>
        <v>2, 2</v>
      </c>
      <c r="F1615" s="6" t="str">
        <f t="shared" si="2"/>
        <v>11144197</v>
      </c>
      <c r="G1615" s="16">
        <v>4.0</v>
      </c>
      <c r="H1615" s="17">
        <v>44757.0</v>
      </c>
      <c r="I1615" s="18" t="s">
        <v>1589</v>
      </c>
    </row>
    <row r="1616">
      <c r="A1616" s="5" t="str">
        <f t="array" ref="A1616">INDEX(event_table!$A$2:$A$69, RANDBETWEEN(1, COUNTA(event_table!$A$2:$A$69)))</f>
        <v>117</v>
      </c>
      <c r="B1616" s="6">
        <f t="array" ref="B1616">IFERROR(INDEX(event_table!$E$1:$E3686,MATCH(A1616,event_table!$A$1:$A3686,0)),"")
</f>
        <v>1</v>
      </c>
      <c r="C1616" s="7">
        <f t="shared" si="1"/>
        <v>30</v>
      </c>
      <c r="D1616" s="6" t="str">
        <f t="array" ref="D1616">IFERROR(INDEX(user_table!$C$2:$C3686,MATCH(C1616,user_table!$B$2:$B3686,0)),"")
</f>
        <v>Fajar Kurniawan</v>
      </c>
      <c r="E1616" s="6" t="str">
        <f t="array" ref="E1616">IFERROR(INDEX(user_table!$E$2:$E3686,MATCH(C1616,user_table!$B$2:$B3686,0)),"")
</f>
        <v>5, 3</v>
      </c>
      <c r="F1616" s="6" t="str">
        <f t="shared" si="2"/>
        <v>1174130</v>
      </c>
      <c r="G1616" s="16">
        <v>4.0</v>
      </c>
      <c r="H1616" s="17">
        <v>44721.0</v>
      </c>
      <c r="I1616" s="18" t="s">
        <v>1590</v>
      </c>
    </row>
    <row r="1617">
      <c r="A1617" s="5" t="str">
        <f t="array" ref="A1617">INDEX(event_table!$A$2:$A$69, RANDBETWEEN(1, COUNTA(event_table!$A$2:$A$69)))</f>
        <v>1313</v>
      </c>
      <c r="B1617" s="6">
        <f t="array" ref="B1617">IFERROR(INDEX(event_table!$E$1:$E3686,MATCH(A1617,event_table!$A$1:$A3686,0)),"")
</f>
        <v>3</v>
      </c>
      <c r="C1617" s="7">
        <f t="shared" si="1"/>
        <v>58</v>
      </c>
      <c r="D1617" s="6" t="str">
        <f t="array" ref="D1617">IFERROR(INDEX(user_table!$C$2:$C3686,MATCH(C1617,user_table!$B$2:$B3686,0)),"")
</f>
        <v>Joko Septiani</v>
      </c>
      <c r="E1617" s="6" t="str">
        <f t="array" ref="E1617">IFERROR(INDEX(user_table!$E$2:$E3686,MATCH(C1617,user_table!$B$2:$B3686,0)),"")
</f>
        <v>2, 5</v>
      </c>
      <c r="F1617" s="6" t="str">
        <f t="shared" si="2"/>
        <v>13134358</v>
      </c>
      <c r="G1617" s="16">
        <v>4.0</v>
      </c>
      <c r="H1617" s="17">
        <v>44794.0</v>
      </c>
      <c r="I1617" s="18" t="s">
        <v>1591</v>
      </c>
    </row>
    <row r="1618">
      <c r="A1618" s="5" t="str">
        <f t="array" ref="A1618">INDEX(event_table!$A$2:$A$69, RANDBETWEEN(1, COUNTA(event_table!$A$2:$A$69)))</f>
        <v>3454</v>
      </c>
      <c r="B1618" s="6">
        <f t="array" ref="B1618">IFERROR(INDEX(event_table!$E$1:$E3686,MATCH(A1618,event_table!$A$1:$A3686,0)),"")
</f>
        <v>4</v>
      </c>
      <c r="C1618" s="7">
        <f t="shared" si="1"/>
        <v>97</v>
      </c>
      <c r="D1618" s="6" t="str">
        <f t="array" ref="D1618">IFERROR(INDEX(user_table!$C$2:$C3686,MATCH(C1618,user_table!$B$2:$B3686,0)),"")
</f>
        <v>Dewi Hidayat</v>
      </c>
      <c r="E1618" s="6" t="str">
        <f t="array" ref="E1618">IFERROR(INDEX(user_table!$E$2:$E3686,MATCH(C1618,user_table!$B$2:$B3686,0)),"")
</f>
        <v>2, 2</v>
      </c>
      <c r="F1618" s="6" t="str">
        <f t="shared" si="2"/>
        <v>34544497</v>
      </c>
      <c r="G1618" s="16">
        <v>4.0</v>
      </c>
      <c r="H1618" s="17">
        <v>44759.0</v>
      </c>
      <c r="I1618" s="18" t="s">
        <v>1592</v>
      </c>
    </row>
    <row r="1619">
      <c r="A1619" s="5" t="str">
        <f t="array" ref="A1619">INDEX(event_table!$A$2:$A$69, RANDBETWEEN(1, COUNTA(event_table!$A$2:$A$69)))</f>
        <v>115</v>
      </c>
      <c r="B1619" s="6">
        <f t="array" ref="B1619">IFERROR(INDEX(event_table!$E$1:$E3686,MATCH(A1619,event_table!$A$1:$A3686,0)),"")
</f>
        <v>1</v>
      </c>
      <c r="C1619" s="7">
        <f t="shared" si="1"/>
        <v>161</v>
      </c>
      <c r="D1619" s="6" t="str">
        <f t="array" ref="D1619">IFERROR(INDEX(user_table!$C$2:$C3686,MATCH(C1619,user_table!$B$2:$B3686,0)),"")
</f>
        <v>Lina Nugroho</v>
      </c>
      <c r="E1619" s="6" t="str">
        <f t="array" ref="E1619">IFERROR(INDEX(user_table!$E$2:$E3686,MATCH(C1619,user_table!$B$2:$B3686,0)),"")
</f>
        <v>6, 5</v>
      </c>
      <c r="F1619" s="6" t="str">
        <f t="shared" si="2"/>
        <v>11531161</v>
      </c>
      <c r="G1619" s="16">
        <v>3.0</v>
      </c>
      <c r="H1619" s="17">
        <v>45255.0</v>
      </c>
      <c r="I1619" s="18" t="s">
        <v>1593</v>
      </c>
    </row>
    <row r="1620">
      <c r="A1620" s="5" t="str">
        <f t="array" ref="A1620">INDEX(event_table!$A$2:$A$69, RANDBETWEEN(1, COUNTA(event_table!$A$2:$A$69)))</f>
        <v>1644</v>
      </c>
      <c r="B1620" s="6">
        <f t="array" ref="B1620">IFERROR(INDEX(event_table!$E$1:$E3686,MATCH(A1620,event_table!$A$1:$A3686,0)),"")
</f>
        <v>6</v>
      </c>
      <c r="C1620" s="7">
        <f t="shared" si="1"/>
        <v>40</v>
      </c>
      <c r="D1620" s="6" t="str">
        <f t="array" ref="D1620">IFERROR(INDEX(user_table!$C$2:$C3686,MATCH(C1620,user_table!$B$2:$B3686,0)),"")
</f>
        <v>Joko Sari</v>
      </c>
      <c r="E1620" s="6" t="str">
        <f t="array" ref="E1620">IFERROR(INDEX(user_table!$E$2:$E3686,MATCH(C1620,user_table!$B$2:$B3686,0)),"")
</f>
        <v>5, 6</v>
      </c>
      <c r="F1620" s="6" t="str">
        <f t="shared" si="2"/>
        <v>16443640</v>
      </c>
      <c r="G1620" s="16">
        <v>3.0</v>
      </c>
      <c r="H1620" s="17">
        <v>45235.0</v>
      </c>
      <c r="I1620" s="18" t="s">
        <v>1594</v>
      </c>
    </row>
    <row r="1621">
      <c r="A1621" s="5" t="str">
        <f t="array" ref="A1621">INDEX(event_table!$A$2:$A$69, RANDBETWEEN(1, COUNTA(event_table!$A$2:$A$69)))</f>
        <v>1420</v>
      </c>
      <c r="B1621" s="6">
        <f t="array" ref="B1621">IFERROR(INDEX(event_table!$E$1:$E3686,MATCH(A1621,event_table!$A$1:$A3686,0)),"")
</f>
        <v>4</v>
      </c>
      <c r="C1621" s="7">
        <f t="shared" si="1"/>
        <v>144</v>
      </c>
      <c r="D1621" s="6" t="str">
        <f t="array" ref="D1621">IFERROR(INDEX(user_table!$C$2:$C3686,MATCH(C1621,user_table!$B$2:$B3686,0)),"")
</f>
        <v>Sinta Rahayu</v>
      </c>
      <c r="E1621" s="6" t="str">
        <f t="array" ref="E1621">IFERROR(INDEX(user_table!$E$2:$E3686,MATCH(C1621,user_table!$B$2:$B3686,0)),"")
</f>
        <v>6, 3</v>
      </c>
      <c r="F1621" s="6" t="str">
        <f t="shared" si="2"/>
        <v>142034144</v>
      </c>
      <c r="G1621" s="16">
        <v>3.0</v>
      </c>
      <c r="H1621" s="17">
        <v>45148.0</v>
      </c>
      <c r="I1621" s="18" t="s">
        <v>1595</v>
      </c>
    </row>
    <row r="1622">
      <c r="A1622" s="5" t="str">
        <f t="array" ref="A1622">INDEX(event_table!$A$2:$A$69, RANDBETWEEN(1, COUNTA(event_table!$A$2:$A$69)))</f>
        <v>1531</v>
      </c>
      <c r="B1622" s="6">
        <f t="array" ref="B1622">IFERROR(INDEX(event_table!$E$1:$E3686,MATCH(A1622,event_table!$A$1:$A3686,0)),"")
</f>
        <v>5</v>
      </c>
      <c r="C1622" s="7">
        <f t="shared" si="1"/>
        <v>78</v>
      </c>
      <c r="D1622" s="6" t="str">
        <f t="array" ref="D1622">IFERROR(INDEX(user_table!$C$2:$C3686,MATCH(C1622,user_table!$B$2:$B3686,0)),"")
</f>
        <v>Fandi Putri</v>
      </c>
      <c r="E1622" s="6" t="str">
        <f t="array" ref="E1622">IFERROR(INDEX(user_table!$E$2:$E3686,MATCH(C1622,user_table!$B$2:$B3686,0)),"")
</f>
        <v>3, 3</v>
      </c>
      <c r="F1622" s="6" t="str">
        <f t="shared" si="2"/>
        <v>15312578</v>
      </c>
      <c r="G1622" s="16">
        <v>2.0</v>
      </c>
      <c r="H1622" s="17">
        <v>44747.0</v>
      </c>
      <c r="I1622" s="18" t="s">
        <v>1596</v>
      </c>
    </row>
    <row r="1623">
      <c r="A1623" s="5" t="str">
        <f t="array" ref="A1623">INDEX(event_table!$A$2:$A$69, RANDBETWEEN(1, COUNTA(event_table!$A$2:$A$69)))</f>
        <v>3167</v>
      </c>
      <c r="B1623" s="6">
        <f t="array" ref="B1623">IFERROR(INDEX(event_table!$E$1:$E3686,MATCH(A1623,event_table!$A$1:$A3686,0)),"")
</f>
        <v>1</v>
      </c>
      <c r="C1623" s="7">
        <f t="shared" si="1"/>
        <v>6</v>
      </c>
      <c r="D1623" s="6" t="str">
        <f t="array" ref="D1623">IFERROR(INDEX(user_table!$C$2:$C3686,MATCH(C1623,user_table!$B$2:$B3686,0)),"")
</f>
        <v>Arif Putri</v>
      </c>
      <c r="E1623" s="6" t="str">
        <f t="array" ref="E1623">IFERROR(INDEX(user_table!$E$2:$E3686,MATCH(C1623,user_table!$B$2:$B3686,0)),"")
</f>
        <v>5, 2</v>
      </c>
      <c r="F1623" s="6" t="str">
        <f t="shared" si="2"/>
        <v>3167216</v>
      </c>
      <c r="G1623" s="16">
        <v>2.0</v>
      </c>
      <c r="H1623" s="17">
        <v>44746.0</v>
      </c>
      <c r="I1623" s="18" t="s">
        <v>1597</v>
      </c>
    </row>
    <row r="1624">
      <c r="A1624" s="5" t="str">
        <f t="array" ref="A1624">INDEX(event_table!$A$2:$A$69, RANDBETWEEN(1, COUNTA(event_table!$A$2:$A$69)))</f>
        <v>1420</v>
      </c>
      <c r="B1624" s="6">
        <f t="array" ref="B1624">IFERROR(INDEX(event_table!$E$1:$E3686,MATCH(A1624,event_table!$A$1:$A3686,0)),"")
</f>
        <v>4</v>
      </c>
      <c r="C1624" s="7">
        <f t="shared" si="1"/>
        <v>110</v>
      </c>
      <c r="D1624" s="6" t="str">
        <f t="array" ref="D1624">IFERROR(INDEX(user_table!$C$2:$C3686,MATCH(C1624,user_table!$B$2:$B3686,0)),"")
</f>
        <v>Fajar Wijaya</v>
      </c>
      <c r="E1624" s="6" t="str">
        <f t="array" ref="E1624">IFERROR(INDEX(user_table!$E$2:$E3686,MATCH(C1624,user_table!$B$2:$B3686,0)),"")
</f>
        <v>3, 6</v>
      </c>
      <c r="F1624" s="6" t="str">
        <f t="shared" si="2"/>
        <v>142024110</v>
      </c>
      <c r="G1624" s="16">
        <v>2.0</v>
      </c>
      <c r="H1624" s="17">
        <v>44628.0</v>
      </c>
      <c r="I1624" s="18" t="s">
        <v>1598</v>
      </c>
    </row>
    <row r="1625">
      <c r="A1625" s="5" t="str">
        <f t="array" ref="A1625">INDEX(event_table!$A$2:$A$69, RANDBETWEEN(1, COUNTA(event_table!$A$2:$A$69)))</f>
        <v>1420</v>
      </c>
      <c r="B1625" s="6">
        <f t="array" ref="B1625">IFERROR(INDEX(event_table!$E$1:$E3686,MATCH(A1625,event_table!$A$1:$A3686,0)),"")
</f>
        <v>4</v>
      </c>
      <c r="C1625" s="7">
        <f t="shared" si="1"/>
        <v>200</v>
      </c>
      <c r="D1625" s="6" t="str">
        <f t="array" ref="D1625">IFERROR(INDEX(user_table!$C$2:$C3686,MATCH(C1625,user_table!$B$2:$B3686,0)),"")
</f>
        <v>Dina Susanto</v>
      </c>
      <c r="E1625" s="6" t="str">
        <f t="array" ref="E1625">IFERROR(INDEX(user_table!$E$2:$E3686,MATCH(C1625,user_table!$B$2:$B3686,0)),"")
</f>
        <v>5, 4</v>
      </c>
      <c r="F1625" s="6" t="str">
        <f t="shared" si="2"/>
        <v>142024200</v>
      </c>
      <c r="G1625" s="16">
        <v>2.0</v>
      </c>
      <c r="H1625" s="17">
        <v>44555.0</v>
      </c>
      <c r="I1625" s="18" t="s">
        <v>1599</v>
      </c>
    </row>
    <row r="1626">
      <c r="A1626" s="5" t="str">
        <f t="array" ref="A1626">INDEX(event_table!$A$2:$A$69, RANDBETWEEN(1, COUNTA(event_table!$A$2:$A$69)))</f>
        <v>113</v>
      </c>
      <c r="B1626" s="6">
        <f t="array" ref="B1626">IFERROR(INDEX(event_table!$E$1:$E3686,MATCH(A1626,event_table!$A$1:$A3686,0)),"")
</f>
        <v>1</v>
      </c>
      <c r="C1626" s="7">
        <f t="shared" si="1"/>
        <v>6</v>
      </c>
      <c r="D1626" s="6" t="str">
        <f t="array" ref="D1626">IFERROR(INDEX(user_table!$C$2:$C3686,MATCH(C1626,user_table!$B$2:$B3686,0)),"")
</f>
        <v>Arif Putri</v>
      </c>
      <c r="E1626" s="6" t="str">
        <f t="array" ref="E1626">IFERROR(INDEX(user_table!$E$2:$E3686,MATCH(C1626,user_table!$B$2:$B3686,0)),"")
</f>
        <v>5, 2</v>
      </c>
      <c r="F1626" s="6" t="str">
        <f t="shared" si="2"/>
        <v>113216</v>
      </c>
      <c r="G1626" s="16">
        <v>2.0</v>
      </c>
      <c r="H1626" s="17">
        <v>45157.0</v>
      </c>
      <c r="I1626" s="18" t="s">
        <v>1600</v>
      </c>
    </row>
    <row r="1627">
      <c r="A1627" s="5" t="str">
        <f t="array" ref="A1627">INDEX(event_table!$A$2:$A$69, RANDBETWEEN(1, COUNTA(event_table!$A$2:$A$69)))</f>
        <v>1417</v>
      </c>
      <c r="B1627" s="6">
        <f t="array" ref="B1627">IFERROR(INDEX(event_table!$E$1:$E3686,MATCH(A1627,event_table!$A$1:$A3686,0)),"")
</f>
        <v>4</v>
      </c>
      <c r="C1627" s="7">
        <f t="shared" si="1"/>
        <v>81</v>
      </c>
      <c r="D1627" s="6" t="str">
        <f t="array" ref="D1627">IFERROR(INDEX(user_table!$C$2:$C3686,MATCH(C1627,user_table!$B$2:$B3686,0)),"")
</f>
        <v>Lina Rahayu</v>
      </c>
      <c r="E1627" s="6" t="str">
        <f t="array" ref="E1627">IFERROR(INDEX(user_table!$E$2:$E3686,MATCH(C1627,user_table!$B$2:$B3686,0)),"")
</f>
        <v>2, 1</v>
      </c>
      <c r="F1627" s="6" t="str">
        <f t="shared" si="2"/>
        <v>14172481</v>
      </c>
      <c r="G1627" s="16">
        <v>2.0</v>
      </c>
      <c r="H1627" s="17">
        <v>45099.0</v>
      </c>
      <c r="I1627" s="18" t="s">
        <v>1601</v>
      </c>
    </row>
    <row r="1628">
      <c r="A1628" s="5" t="str">
        <f t="array" ref="A1628">INDEX(event_table!$A$2:$A$69, RANDBETWEEN(1, COUNTA(event_table!$A$2:$A$69)))</f>
        <v>1651</v>
      </c>
      <c r="B1628" s="6">
        <f t="array" ref="B1628">IFERROR(INDEX(event_table!$E$1:$E3686,MATCH(A1628,event_table!$A$1:$A3686,0)),"")
</f>
        <v>6</v>
      </c>
      <c r="C1628" s="7">
        <f t="shared" si="1"/>
        <v>140</v>
      </c>
      <c r="D1628" s="6" t="str">
        <f t="array" ref="D1628">IFERROR(INDEX(user_table!$C$2:$C3686,MATCH(C1628,user_table!$B$2:$B3686,0)),"")
</f>
        <v>Maya Wijaya</v>
      </c>
      <c r="E1628" s="6" t="str">
        <f t="array" ref="E1628">IFERROR(INDEX(user_table!$E$2:$E3686,MATCH(C1628,user_table!$B$2:$B3686,0)),"")
</f>
        <v>3, 2</v>
      </c>
      <c r="F1628" s="6" t="str">
        <f t="shared" si="2"/>
        <v>165126140</v>
      </c>
      <c r="G1628" s="16">
        <v>2.0</v>
      </c>
      <c r="H1628" s="17">
        <v>45091.0</v>
      </c>
      <c r="I1628" s="18" t="s">
        <v>1602</v>
      </c>
    </row>
    <row r="1629">
      <c r="A1629" s="5" t="str">
        <f t="array" ref="A1629">INDEX(event_table!$A$2:$A$69, RANDBETWEEN(1, COUNTA(event_table!$A$2:$A$69)))</f>
        <v>3455</v>
      </c>
      <c r="B1629" s="6">
        <f t="array" ref="B1629">IFERROR(INDEX(event_table!$E$1:$E3686,MATCH(A1629,event_table!$A$1:$A3686,0)),"")
</f>
        <v>4</v>
      </c>
      <c r="C1629" s="7">
        <f t="shared" si="1"/>
        <v>190</v>
      </c>
      <c r="D1629" s="6" t="str">
        <f t="array" ref="D1629">IFERROR(INDEX(user_table!$C$2:$C3686,MATCH(C1629,user_table!$B$2:$B3686,0)),"")
</f>
        <v>Fajar Santoso</v>
      </c>
      <c r="E1629" s="6" t="str">
        <f t="array" ref="E1629">IFERROR(INDEX(user_table!$E$2:$E3686,MATCH(C1629,user_table!$B$2:$B3686,0)),"")
</f>
        <v>1, 3</v>
      </c>
      <c r="F1629" s="6" t="str">
        <f t="shared" si="2"/>
        <v>345524190</v>
      </c>
      <c r="G1629" s="16">
        <v>2.0</v>
      </c>
      <c r="H1629" s="17">
        <v>45076.0</v>
      </c>
      <c r="I1629" s="18" t="s">
        <v>1603</v>
      </c>
    </row>
    <row r="1630">
      <c r="A1630" s="5" t="str">
        <f t="array" ref="A1630">INDEX(event_table!$A$2:$A$69, RANDBETWEEN(1, COUNTA(event_table!$A$2:$A$69)))</f>
        <v>1334</v>
      </c>
      <c r="B1630" s="6">
        <f t="array" ref="B1630">IFERROR(INDEX(event_table!$E$1:$E3686,MATCH(A1630,event_table!$A$1:$A3686,0)),"")
</f>
        <v>3</v>
      </c>
      <c r="C1630" s="7">
        <f t="shared" si="1"/>
        <v>140</v>
      </c>
      <c r="D1630" s="6" t="str">
        <f t="array" ref="D1630">IFERROR(INDEX(user_table!$C$2:$C3686,MATCH(C1630,user_table!$B$2:$B3686,0)),"")
</f>
        <v>Maya Wijaya</v>
      </c>
      <c r="E1630" s="6" t="str">
        <f t="array" ref="E1630">IFERROR(INDEX(user_table!$E$2:$E3686,MATCH(C1630,user_table!$B$2:$B3686,0)),"")
</f>
        <v>3, 2</v>
      </c>
      <c r="F1630" s="6" t="str">
        <f t="shared" si="2"/>
        <v>133423140</v>
      </c>
      <c r="G1630" s="16">
        <v>2.0</v>
      </c>
      <c r="H1630" s="17">
        <v>45071.0</v>
      </c>
      <c r="I1630" s="18" t="s">
        <v>1604</v>
      </c>
    </row>
    <row r="1631">
      <c r="A1631" s="5" t="str">
        <f t="array" ref="A1631">INDEX(event_table!$A$2:$A$69, RANDBETWEEN(1, COUNTA(event_table!$A$2:$A$69)))</f>
        <v>3162</v>
      </c>
      <c r="B1631" s="6">
        <f t="array" ref="B1631">IFERROR(INDEX(event_table!$E$1:$E3686,MATCH(A1631,event_table!$A$1:$A3686,0)),"")
</f>
        <v>1</v>
      </c>
      <c r="C1631" s="7">
        <f t="shared" si="1"/>
        <v>175</v>
      </c>
      <c r="D1631" s="6" t="str">
        <f t="array" ref="D1631">IFERROR(INDEX(user_table!$C$2:$C3686,MATCH(C1631,user_table!$B$2:$B3686,0)),"")
</f>
        <v>Siti Septiani</v>
      </c>
      <c r="E1631" s="6" t="str">
        <f t="array" ref="E1631">IFERROR(INDEX(user_table!$E$2:$E3686,MATCH(C1631,user_table!$B$2:$B3686,0)),"")
</f>
        <v>2, 5</v>
      </c>
      <c r="F1631" s="6" t="str">
        <f t="shared" si="2"/>
        <v>316221175</v>
      </c>
      <c r="G1631" s="16">
        <v>2.0</v>
      </c>
      <c r="H1631" s="17">
        <v>45042.0</v>
      </c>
      <c r="I1631" s="18" t="s">
        <v>1605</v>
      </c>
    </row>
    <row r="1632">
      <c r="A1632" s="5" t="str">
        <f t="array" ref="A1632">INDEX(event_table!$A$2:$A$69, RANDBETWEEN(1, COUNTA(event_table!$A$2:$A$69)))</f>
        <v>1110</v>
      </c>
      <c r="B1632" s="6">
        <f t="array" ref="B1632">IFERROR(INDEX(event_table!$E$1:$E3686,MATCH(A1632,event_table!$A$1:$A3686,0)),"")
</f>
        <v>1</v>
      </c>
      <c r="C1632" s="7">
        <f t="shared" si="1"/>
        <v>112</v>
      </c>
      <c r="D1632" s="6" t="str">
        <f t="array" ref="D1632">IFERROR(INDEX(user_table!$C$2:$C3686,MATCH(C1632,user_table!$B$2:$B3686,0)),"")
</f>
        <v>Ani Hadiwijaya</v>
      </c>
      <c r="E1632" s="6" t="str">
        <f t="array" ref="E1632">IFERROR(INDEX(user_table!$E$2:$E3686,MATCH(C1632,user_table!$B$2:$B3686,0)),"")
</f>
        <v>3, 5</v>
      </c>
      <c r="F1632" s="6" t="str">
        <f t="shared" si="2"/>
        <v>111011112</v>
      </c>
      <c r="G1632" s="16">
        <v>1.0</v>
      </c>
      <c r="H1632" s="17">
        <v>45179.0</v>
      </c>
      <c r="I1632" s="18" t="s">
        <v>1606</v>
      </c>
    </row>
    <row r="1633">
      <c r="A1633" s="5" t="str">
        <f t="array" ref="A1633">INDEX(event_table!$A$2:$A$69, RANDBETWEEN(1, COUNTA(event_table!$A$2:$A$69)))</f>
        <v>116</v>
      </c>
      <c r="B1633" s="6">
        <f t="array" ref="B1633">IFERROR(INDEX(event_table!$E$1:$E3686,MATCH(A1633,event_table!$A$1:$A3686,0)),"")
</f>
        <v>1</v>
      </c>
      <c r="C1633" s="7">
        <f t="shared" si="1"/>
        <v>91</v>
      </c>
      <c r="D1633" s="6" t="str">
        <f t="array" ref="D1633">IFERROR(INDEX(user_table!$C$2:$C3686,MATCH(C1633,user_table!$B$2:$B3686,0)),"")
</f>
        <v>Bambang Wijaya</v>
      </c>
      <c r="E1633" s="6" t="str">
        <f t="array" ref="E1633">IFERROR(INDEX(user_table!$E$2:$E3686,MATCH(C1633,user_table!$B$2:$B3686,0)),"")
</f>
        <v>1, 2</v>
      </c>
      <c r="F1633" s="6" t="str">
        <f t="shared" si="2"/>
        <v>1161191</v>
      </c>
      <c r="G1633" s="16">
        <v>1.0</v>
      </c>
      <c r="H1633" s="17">
        <v>45176.0</v>
      </c>
      <c r="I1633" s="18" t="s">
        <v>1607</v>
      </c>
    </row>
    <row r="1634">
      <c r="A1634" s="5" t="str">
        <f t="array" ref="A1634">INDEX(event_table!$A$2:$A$69, RANDBETWEEN(1, COUNTA(event_table!$A$2:$A$69)))</f>
        <v>1212</v>
      </c>
      <c r="B1634" s="6">
        <f t="array" ref="B1634">IFERROR(INDEX(event_table!$E$1:$E3686,MATCH(A1634,event_table!$A$1:$A3686,0)),"")
</f>
        <v>2</v>
      </c>
      <c r="C1634" s="7">
        <f t="shared" si="1"/>
        <v>124</v>
      </c>
      <c r="D1634" s="6" t="str">
        <f t="array" ref="D1634">IFERROR(INDEX(user_table!$C$2:$C3686,MATCH(C1634,user_table!$B$2:$B3686,0)),"")
</f>
        <v>Fandi Setiawan</v>
      </c>
      <c r="E1634" s="6" t="str">
        <f t="array" ref="E1634">IFERROR(INDEX(user_table!$E$2:$E3686,MATCH(C1634,user_table!$B$2:$B3686,0)),"")
</f>
        <v>5, 4</v>
      </c>
      <c r="F1634" s="6" t="str">
        <f t="shared" si="2"/>
        <v>121212124</v>
      </c>
      <c r="G1634" s="16">
        <v>1.0</v>
      </c>
      <c r="H1634" s="17">
        <v>45145.0</v>
      </c>
      <c r="I1634" s="18" t="s">
        <v>1608</v>
      </c>
    </row>
    <row r="1635">
      <c r="A1635" s="5" t="str">
        <f t="array" ref="A1635">INDEX(event_table!$A$2:$A$69, RANDBETWEEN(1, COUNTA(event_table!$A$2:$A$69)))</f>
        <v>1425</v>
      </c>
      <c r="B1635" s="6">
        <f t="array" ref="B1635">IFERROR(INDEX(event_table!$E$1:$E3686,MATCH(A1635,event_table!$A$1:$A3686,0)),"")
</f>
        <v>4</v>
      </c>
      <c r="C1635" s="7">
        <f t="shared" si="1"/>
        <v>147</v>
      </c>
      <c r="D1635" s="6" t="str">
        <f t="array" ref="D1635">IFERROR(INDEX(user_table!$C$2:$C3686,MATCH(C1635,user_table!$B$2:$B3686,0)),"")
</f>
        <v>Fajar Saputra</v>
      </c>
      <c r="E1635" s="6" t="str">
        <f t="array" ref="E1635">IFERROR(INDEX(user_table!$E$2:$E3686,MATCH(C1635,user_table!$B$2:$B3686,0)),"")
</f>
        <v>6, 2</v>
      </c>
      <c r="F1635" s="6" t="str">
        <f t="shared" si="2"/>
        <v>142514147</v>
      </c>
      <c r="G1635" s="16">
        <v>1.0</v>
      </c>
      <c r="H1635" s="17">
        <v>45143.0</v>
      </c>
      <c r="I1635" s="18" t="s">
        <v>1609</v>
      </c>
    </row>
    <row r="1636">
      <c r="A1636" s="5" t="str">
        <f t="array" ref="A1636">INDEX(event_table!$A$2:$A$69, RANDBETWEEN(1, COUNTA(event_table!$A$2:$A$69)))</f>
        <v>1313</v>
      </c>
      <c r="B1636" s="6">
        <f t="array" ref="B1636">IFERROR(INDEX(event_table!$E$1:$E3686,MATCH(A1636,event_table!$A$1:$A3686,0)),"")
</f>
        <v>3</v>
      </c>
      <c r="C1636" s="7">
        <f t="shared" si="1"/>
        <v>68</v>
      </c>
      <c r="D1636" s="6" t="str">
        <f t="array" ref="D1636">IFERROR(INDEX(user_table!$C$2:$C3686,MATCH(C1636,user_table!$B$2:$B3686,0)),"")
</f>
        <v>Wahyu Wijaya</v>
      </c>
      <c r="E1636" s="6" t="str">
        <f t="array" ref="E1636">IFERROR(INDEX(user_table!$E$2:$E3686,MATCH(C1636,user_table!$B$2:$B3686,0)),"")
</f>
        <v>4, 6</v>
      </c>
      <c r="F1636" s="6" t="str">
        <f t="shared" si="2"/>
        <v>13131368</v>
      </c>
      <c r="G1636" s="16">
        <v>1.0</v>
      </c>
      <c r="H1636" s="17">
        <v>45122.0</v>
      </c>
      <c r="I1636" s="18" t="s">
        <v>1610</v>
      </c>
    </row>
    <row r="1637">
      <c r="A1637" s="5" t="str">
        <f t="array" ref="A1637">INDEX(event_table!$A$2:$A$69, RANDBETWEEN(1, COUNTA(event_table!$A$2:$A$69)))</f>
        <v>1212</v>
      </c>
      <c r="B1637" s="6">
        <f t="array" ref="B1637">IFERROR(INDEX(event_table!$E$1:$E3686,MATCH(A1637,event_table!$A$1:$A3686,0)),"")
</f>
        <v>2</v>
      </c>
      <c r="C1637" s="7">
        <f t="shared" si="1"/>
        <v>16</v>
      </c>
      <c r="D1637" s="6" t="str">
        <f t="array" ref="D1637">IFERROR(INDEX(user_table!$C$2:$C3686,MATCH(C1637,user_table!$B$2:$B3686,0)),"")
</f>
        <v>Siti Utami</v>
      </c>
      <c r="E1637" s="6" t="str">
        <f t="array" ref="E1637">IFERROR(INDEX(user_table!$E$2:$E3686,MATCH(C1637,user_table!$B$2:$B3686,0)),"")
</f>
        <v>1, 2</v>
      </c>
      <c r="F1637" s="6" t="str">
        <f t="shared" si="2"/>
        <v>12121216</v>
      </c>
      <c r="G1637" s="16">
        <v>1.0</v>
      </c>
      <c r="H1637" s="17">
        <v>45105.0</v>
      </c>
      <c r="I1637" s="18" t="s">
        <v>1611</v>
      </c>
    </row>
    <row r="1638">
      <c r="A1638" s="5" t="str">
        <f t="array" ref="A1638">INDEX(event_table!$A$2:$A$69, RANDBETWEEN(1, COUNTA(event_table!$A$2:$A$69)))</f>
        <v>1111</v>
      </c>
      <c r="B1638" s="6">
        <f t="array" ref="B1638">IFERROR(INDEX(event_table!$E$1:$E3686,MATCH(A1638,event_table!$A$1:$A3686,0)),"")
</f>
        <v>1</v>
      </c>
      <c r="C1638" s="7">
        <f t="shared" si="1"/>
        <v>169</v>
      </c>
      <c r="D1638" s="6" t="str">
        <f t="array" ref="D1638">IFERROR(INDEX(user_table!$C$2:$C3686,MATCH(C1638,user_table!$B$2:$B3686,0)),"")
</f>
        <v>Dian Saputra</v>
      </c>
      <c r="E1638" s="6" t="str">
        <f t="array" ref="E1638">IFERROR(INDEX(user_table!$E$2:$E3686,MATCH(C1638,user_table!$B$2:$B3686,0)),"")
</f>
        <v>6, 1</v>
      </c>
      <c r="F1638" s="6" t="str">
        <f t="shared" si="2"/>
        <v>111111169</v>
      </c>
      <c r="G1638" s="16">
        <v>1.0</v>
      </c>
      <c r="H1638" s="17">
        <v>45100.0</v>
      </c>
      <c r="I1638" s="18" t="s">
        <v>1612</v>
      </c>
    </row>
    <row r="1639">
      <c r="A1639" s="5" t="str">
        <f t="array" ref="A1639">INDEX(event_table!$A$2:$A$69, RANDBETWEEN(1, COUNTA(event_table!$A$2:$A$69)))</f>
        <v>1652</v>
      </c>
      <c r="B1639" s="6">
        <f t="array" ref="B1639">IFERROR(INDEX(event_table!$E$1:$E3686,MATCH(A1639,event_table!$A$1:$A3686,0)),"")
</f>
        <v>6</v>
      </c>
      <c r="C1639" s="7">
        <f t="shared" si="1"/>
        <v>75</v>
      </c>
      <c r="D1639" s="6" t="str">
        <f t="array" ref="D1639">IFERROR(INDEX(user_table!$C$2:$C3686,MATCH(C1639,user_table!$B$2:$B3686,0)),"")
</f>
        <v>Citra Sari</v>
      </c>
      <c r="E1639" s="6" t="str">
        <f t="array" ref="E1639">IFERROR(INDEX(user_table!$E$2:$E3686,MATCH(C1639,user_table!$B$2:$B3686,0)),"")
</f>
        <v>2, 5</v>
      </c>
      <c r="F1639" s="6" t="str">
        <f t="shared" si="2"/>
        <v>16521675</v>
      </c>
      <c r="G1639" s="16">
        <v>1.0</v>
      </c>
      <c r="H1639" s="17">
        <v>45099.0</v>
      </c>
      <c r="I1639" s="18" t="s">
        <v>1613</v>
      </c>
    </row>
    <row r="1640">
      <c r="A1640" s="5" t="str">
        <f t="array" ref="A1640">INDEX(event_table!$A$2:$A$69, RANDBETWEEN(1, COUNTA(event_table!$A$2:$A$69)))</f>
        <v>3356</v>
      </c>
      <c r="B1640" s="6">
        <f t="array" ref="B1640">IFERROR(INDEX(event_table!$E$1:$E3686,MATCH(A1640,event_table!$A$1:$A3686,0)),"")
</f>
        <v>3</v>
      </c>
      <c r="C1640" s="7">
        <f t="shared" si="1"/>
        <v>103</v>
      </c>
      <c r="D1640" s="6" t="str">
        <f t="array" ref="D1640">IFERROR(INDEX(user_table!$C$2:$C3686,MATCH(C1640,user_table!$B$2:$B3686,0)),"")
</f>
        <v>Hadi Sari</v>
      </c>
      <c r="E1640" s="6" t="str">
        <f t="array" ref="E1640">IFERROR(INDEX(user_table!$E$2:$E3686,MATCH(C1640,user_table!$B$2:$B3686,0)),"")
</f>
        <v>3, 1</v>
      </c>
      <c r="F1640" s="6" t="str">
        <f t="shared" si="2"/>
        <v>335613103</v>
      </c>
      <c r="G1640" s="16">
        <v>1.0</v>
      </c>
      <c r="H1640" s="17">
        <v>45040.0</v>
      </c>
      <c r="I1640" s="18" t="s">
        <v>1614</v>
      </c>
    </row>
    <row r="1641">
      <c r="A1641" s="5" t="str">
        <f t="array" ref="A1641">INDEX(event_table!$A$2:$A$69, RANDBETWEEN(1, COUNTA(event_table!$A$2:$A$69)))</f>
        <v>1649</v>
      </c>
      <c r="B1641" s="6">
        <f t="array" ref="B1641">IFERROR(INDEX(event_table!$E$1:$E3686,MATCH(A1641,event_table!$A$1:$A3686,0)),"")
</f>
        <v>6</v>
      </c>
      <c r="C1641" s="7">
        <f t="shared" si="1"/>
        <v>12</v>
      </c>
      <c r="D1641" s="6" t="str">
        <f t="array" ref="D1641">IFERROR(INDEX(user_table!$C$2:$C3686,MATCH(C1641,user_table!$B$2:$B3686,0)),"")
</f>
        <v>Joko Susanto</v>
      </c>
      <c r="E1641" s="6" t="str">
        <f t="array" ref="E1641">IFERROR(INDEX(user_table!$E$2:$E3686,MATCH(C1641,user_table!$B$2:$B3686,0)),"")
</f>
        <v>4, 2</v>
      </c>
      <c r="F1641" s="6" t="str">
        <f t="shared" si="2"/>
        <v>16495612</v>
      </c>
      <c r="G1641" s="16">
        <v>5.0</v>
      </c>
      <c r="H1641" s="17">
        <v>44733.0</v>
      </c>
      <c r="I1641" s="18" t="s">
        <v>1615</v>
      </c>
    </row>
    <row r="1642">
      <c r="A1642" s="5" t="str">
        <f t="array" ref="A1642">INDEX(event_table!$A$2:$A$69, RANDBETWEEN(1, COUNTA(event_table!$A$2:$A$69)))</f>
        <v>118</v>
      </c>
      <c r="B1642" s="6">
        <f t="array" ref="B1642">IFERROR(INDEX(event_table!$E$1:$E3686,MATCH(A1642,event_table!$A$1:$A3686,0)),"")
</f>
        <v>1</v>
      </c>
      <c r="C1642" s="7">
        <f t="shared" si="1"/>
        <v>187</v>
      </c>
      <c r="D1642" s="6" t="str">
        <f t="array" ref="D1642">IFERROR(INDEX(user_table!$C$2:$C3686,MATCH(C1642,user_table!$B$2:$B3686,0)),"")
</f>
        <v>Bambang Saputra</v>
      </c>
      <c r="E1642" s="6" t="str">
        <f t="array" ref="E1642">IFERROR(INDEX(user_table!$E$2:$E3686,MATCH(C1642,user_table!$B$2:$B3686,0)),"")
</f>
        <v>3, 1</v>
      </c>
      <c r="F1642" s="6" t="str">
        <f t="shared" si="2"/>
        <v>11851187</v>
      </c>
      <c r="G1642" s="16">
        <v>5.0</v>
      </c>
      <c r="H1642" s="17">
        <v>44727.0</v>
      </c>
      <c r="I1642" s="18" t="s">
        <v>1616</v>
      </c>
    </row>
    <row r="1643">
      <c r="A1643" s="5" t="str">
        <f t="array" ref="A1643">INDEX(event_table!$A$2:$A$69, RANDBETWEEN(1, COUNTA(event_table!$A$2:$A$69)))</f>
        <v>1424</v>
      </c>
      <c r="B1643" s="6">
        <f t="array" ref="B1643">IFERROR(INDEX(event_table!$E$1:$E3686,MATCH(A1643,event_table!$A$1:$A3686,0)),"")
</f>
        <v>4</v>
      </c>
      <c r="C1643" s="7">
        <f t="shared" si="1"/>
        <v>98</v>
      </c>
      <c r="D1643" s="6" t="str">
        <f t="array" ref="D1643">IFERROR(INDEX(user_table!$C$2:$C3686,MATCH(C1643,user_table!$B$2:$B3686,0)),"")
</f>
        <v>Agus Hidayat</v>
      </c>
      <c r="E1643" s="6" t="str">
        <f t="array" ref="E1643">IFERROR(INDEX(user_table!$E$2:$E3686,MATCH(C1643,user_table!$B$2:$B3686,0)),"")
</f>
        <v>3, 6</v>
      </c>
      <c r="F1643" s="6" t="str">
        <f t="shared" si="2"/>
        <v>14245498</v>
      </c>
      <c r="G1643" s="16">
        <v>5.0</v>
      </c>
      <c r="H1643" s="17">
        <v>44714.0</v>
      </c>
      <c r="I1643" s="18" t="s">
        <v>1617</v>
      </c>
    </row>
    <row r="1644">
      <c r="A1644" s="5" t="str">
        <f t="array" ref="A1644">INDEX(event_table!$A$2:$A$69, RANDBETWEEN(1, COUNTA(event_table!$A$2:$A$69)))</f>
        <v>3169</v>
      </c>
      <c r="B1644" s="6">
        <f t="array" ref="B1644">IFERROR(INDEX(event_table!$E$1:$E3686,MATCH(A1644,event_table!$A$1:$A3686,0)),"")
</f>
        <v>1</v>
      </c>
      <c r="C1644" s="7">
        <f t="shared" si="1"/>
        <v>17</v>
      </c>
      <c r="D1644" s="6" t="str">
        <f t="array" ref="D1644">IFERROR(INDEX(user_table!$C$2:$C3686,MATCH(C1644,user_table!$B$2:$B3686,0)),"")
</f>
        <v>Fajar Wijaya</v>
      </c>
      <c r="E1644" s="6" t="str">
        <f t="array" ref="E1644">IFERROR(INDEX(user_table!$E$2:$E3686,MATCH(C1644,user_table!$B$2:$B3686,0)),"")
</f>
        <v>1, 1</v>
      </c>
      <c r="F1644" s="6" t="str">
        <f t="shared" si="2"/>
        <v>31695117</v>
      </c>
      <c r="G1644" s="16">
        <v>5.0</v>
      </c>
      <c r="H1644" s="17">
        <v>44709.0</v>
      </c>
      <c r="I1644" s="18" t="s">
        <v>1618</v>
      </c>
    </row>
    <row r="1645">
      <c r="A1645" s="5" t="str">
        <f t="array" ref="A1645">INDEX(event_table!$A$2:$A$69, RANDBETWEEN(1, COUNTA(event_table!$A$2:$A$69)))</f>
        <v>1642</v>
      </c>
      <c r="B1645" s="6">
        <f t="array" ref="B1645">IFERROR(INDEX(event_table!$E$1:$E3686,MATCH(A1645,event_table!$A$1:$A3686,0)),"")
</f>
        <v>6</v>
      </c>
      <c r="C1645" s="7">
        <f t="shared" si="1"/>
        <v>164</v>
      </c>
      <c r="D1645" s="6" t="str">
        <f t="array" ref="D1645">IFERROR(INDEX(user_table!$C$2:$C3686,MATCH(C1645,user_table!$B$2:$B3686,0)),"")
</f>
        <v>Bambang Purnama</v>
      </c>
      <c r="E1645" s="6" t="str">
        <f t="array" ref="E1645">IFERROR(INDEX(user_table!$E$2:$E3686,MATCH(C1645,user_table!$B$2:$B3686,0)),"")
</f>
        <v>2, 3</v>
      </c>
      <c r="F1645" s="6" t="str">
        <f t="shared" si="2"/>
        <v>164256164</v>
      </c>
      <c r="G1645" s="16">
        <v>5.0</v>
      </c>
      <c r="H1645" s="17">
        <v>44704.0</v>
      </c>
      <c r="I1645" s="18" t="s">
        <v>1619</v>
      </c>
    </row>
    <row r="1646">
      <c r="A1646" s="5" t="str">
        <f t="array" ref="A1646">INDEX(event_table!$A$2:$A$69, RANDBETWEEN(1, COUNTA(event_table!$A$2:$A$69)))</f>
        <v>1648</v>
      </c>
      <c r="B1646" s="6">
        <f t="array" ref="B1646">IFERROR(INDEX(event_table!$E$1:$E3686,MATCH(A1646,event_table!$A$1:$A3686,0)),"")
</f>
        <v>6</v>
      </c>
      <c r="C1646" s="7">
        <f t="shared" si="1"/>
        <v>180</v>
      </c>
      <c r="D1646" s="6" t="str">
        <f t="array" ref="D1646">IFERROR(INDEX(user_table!$C$2:$C3686,MATCH(C1646,user_table!$B$2:$B3686,0)),"")
</f>
        <v>Andi Susanto</v>
      </c>
      <c r="E1646" s="6" t="str">
        <f t="array" ref="E1646">IFERROR(INDEX(user_table!$E$2:$E3686,MATCH(C1646,user_table!$B$2:$B3686,0)),"")
</f>
        <v>6, 5</v>
      </c>
      <c r="F1646" s="6" t="str">
        <f t="shared" si="2"/>
        <v>164856180</v>
      </c>
      <c r="G1646" s="16">
        <v>5.0</v>
      </c>
      <c r="H1646" s="17">
        <v>44704.0</v>
      </c>
      <c r="I1646" s="18" t="s">
        <v>1620</v>
      </c>
    </row>
    <row r="1647">
      <c r="A1647" s="5" t="str">
        <f t="array" ref="A1647">INDEX(event_table!$A$2:$A$69, RANDBETWEEN(1, COUNTA(event_table!$A$2:$A$69)))</f>
        <v>1335</v>
      </c>
      <c r="B1647" s="6">
        <f t="array" ref="B1647">IFERROR(INDEX(event_table!$E$1:$E3686,MATCH(A1647,event_table!$A$1:$A3686,0)),"")
</f>
        <v>3</v>
      </c>
      <c r="C1647" s="7">
        <f t="shared" si="1"/>
        <v>181</v>
      </c>
      <c r="D1647" s="6" t="str">
        <f t="array" ref="D1647">IFERROR(INDEX(user_table!$C$2:$C3686,MATCH(C1647,user_table!$B$2:$B3686,0)),"")
</f>
        <v>Andi Hadiwijaya</v>
      </c>
      <c r="E1647" s="6" t="str">
        <f t="array" ref="E1647">IFERROR(INDEX(user_table!$E$2:$E3686,MATCH(C1647,user_table!$B$2:$B3686,0)),"")
</f>
        <v>3, 2</v>
      </c>
      <c r="F1647" s="6" t="str">
        <f t="shared" si="2"/>
        <v>133553181</v>
      </c>
      <c r="G1647" s="16">
        <v>5.0</v>
      </c>
      <c r="H1647" s="17">
        <v>44702.0</v>
      </c>
      <c r="I1647" s="18" t="s">
        <v>1621</v>
      </c>
    </row>
    <row r="1648">
      <c r="A1648" s="5" t="str">
        <f t="array" ref="A1648">INDEX(event_table!$A$2:$A$69, RANDBETWEEN(1, COUNTA(event_table!$A$2:$A$69)))</f>
        <v>1649</v>
      </c>
      <c r="B1648" s="6">
        <f t="array" ref="B1648">IFERROR(INDEX(event_table!$E$1:$E3686,MATCH(A1648,event_table!$A$1:$A3686,0)),"")
</f>
        <v>6</v>
      </c>
      <c r="C1648" s="7">
        <f t="shared" si="1"/>
        <v>88</v>
      </c>
      <c r="D1648" s="6" t="str">
        <f t="array" ref="D1648">IFERROR(INDEX(user_table!$C$2:$C3686,MATCH(C1648,user_table!$B$2:$B3686,0)),"")
</f>
        <v>Fajar Hadiwijaya</v>
      </c>
      <c r="E1648" s="6" t="str">
        <f t="array" ref="E1648">IFERROR(INDEX(user_table!$E$2:$E3686,MATCH(C1648,user_table!$B$2:$B3686,0)),"")
</f>
        <v>2, 6</v>
      </c>
      <c r="F1648" s="6" t="str">
        <f t="shared" si="2"/>
        <v>16495688</v>
      </c>
      <c r="G1648" s="16">
        <v>5.0</v>
      </c>
      <c r="H1648" s="17">
        <v>44692.0</v>
      </c>
      <c r="I1648" s="18" t="s">
        <v>1622</v>
      </c>
    </row>
    <row r="1649">
      <c r="A1649" s="5" t="str">
        <f t="array" ref="A1649">INDEX(event_table!$A$2:$A$69, RANDBETWEEN(1, COUNTA(event_table!$A$2:$A$69)))</f>
        <v>1212</v>
      </c>
      <c r="B1649" s="6">
        <f t="array" ref="B1649">IFERROR(INDEX(event_table!$E$1:$E3686,MATCH(A1649,event_table!$A$1:$A3686,0)),"")
</f>
        <v>2</v>
      </c>
      <c r="C1649" s="7">
        <f t="shared" si="1"/>
        <v>31</v>
      </c>
      <c r="D1649" s="6" t="str">
        <f t="array" ref="D1649">IFERROR(INDEX(user_table!$C$2:$C3686,MATCH(C1649,user_table!$B$2:$B3686,0)),"")
</f>
        <v>Dian Hidayat</v>
      </c>
      <c r="E1649" s="6" t="str">
        <f t="array" ref="E1649">IFERROR(INDEX(user_table!$E$2:$E3686,MATCH(C1649,user_table!$B$2:$B3686,0)),"")
</f>
        <v>3, 5</v>
      </c>
      <c r="F1649" s="6" t="str">
        <f t="shared" si="2"/>
        <v>12125231</v>
      </c>
      <c r="G1649" s="16">
        <v>5.0</v>
      </c>
      <c r="H1649" s="17">
        <v>44689.0</v>
      </c>
      <c r="I1649" s="18" t="s">
        <v>1623</v>
      </c>
    </row>
    <row r="1650">
      <c r="A1650" s="5" t="str">
        <f t="array" ref="A1650">INDEX(event_table!$A$2:$A$69, RANDBETWEEN(1, COUNTA(event_table!$A$2:$A$69)))</f>
        <v>1110</v>
      </c>
      <c r="B1650" s="6">
        <f t="array" ref="B1650">IFERROR(INDEX(event_table!$E$1:$E3686,MATCH(A1650,event_table!$A$1:$A3686,0)),"")
</f>
        <v>1</v>
      </c>
      <c r="C1650" s="7">
        <f t="shared" si="1"/>
        <v>183</v>
      </c>
      <c r="D1650" s="6" t="str">
        <f t="array" ref="D1650">IFERROR(INDEX(user_table!$C$2:$C3686,MATCH(C1650,user_table!$B$2:$B3686,0)),"")
</f>
        <v>Siti Nugroho</v>
      </c>
      <c r="E1650" s="6" t="str">
        <f t="array" ref="E1650">IFERROR(INDEX(user_table!$E$2:$E3686,MATCH(C1650,user_table!$B$2:$B3686,0)),"")
</f>
        <v>4, 6</v>
      </c>
      <c r="F1650" s="6" t="str">
        <f t="shared" si="2"/>
        <v>111051183</v>
      </c>
      <c r="G1650" s="16">
        <v>5.0</v>
      </c>
      <c r="H1650" s="17">
        <v>44683.0</v>
      </c>
      <c r="I1650" s="18" t="s">
        <v>1624</v>
      </c>
    </row>
    <row r="1651">
      <c r="A1651" s="5" t="str">
        <f t="array" ref="A1651">INDEX(event_table!$A$2:$A$69, RANDBETWEEN(1, COUNTA(event_table!$A$2:$A$69)))</f>
        <v>119</v>
      </c>
      <c r="B1651" s="6">
        <f t="array" ref="B1651">IFERROR(INDEX(event_table!$E$1:$E3686,MATCH(A1651,event_table!$A$1:$A3686,0)),"")
</f>
        <v>1</v>
      </c>
      <c r="C1651" s="7">
        <f t="shared" si="1"/>
        <v>68</v>
      </c>
      <c r="D1651" s="6" t="str">
        <f t="array" ref="D1651">IFERROR(INDEX(user_table!$C$2:$C3686,MATCH(C1651,user_table!$B$2:$B3686,0)),"")
</f>
        <v>Wahyu Wijaya</v>
      </c>
      <c r="E1651" s="6" t="str">
        <f t="array" ref="E1651">IFERROR(INDEX(user_table!$E$2:$E3686,MATCH(C1651,user_table!$B$2:$B3686,0)),"")
</f>
        <v>4, 6</v>
      </c>
      <c r="F1651" s="6" t="str">
        <f t="shared" si="2"/>
        <v>1195168</v>
      </c>
      <c r="G1651" s="16">
        <v>5.0</v>
      </c>
      <c r="H1651" s="17">
        <v>44683.0</v>
      </c>
      <c r="I1651" s="18" t="s">
        <v>1625</v>
      </c>
    </row>
    <row r="1652">
      <c r="A1652" s="5" t="str">
        <f t="array" ref="A1652">INDEX(event_table!$A$2:$A$69, RANDBETWEEN(1, COUNTA(event_table!$A$2:$A$69)))</f>
        <v>1424</v>
      </c>
      <c r="B1652" s="6">
        <f t="array" ref="B1652">IFERROR(INDEX(event_table!$E$1:$E3686,MATCH(A1652,event_table!$A$1:$A3686,0)),"")
</f>
        <v>4</v>
      </c>
      <c r="C1652" s="7">
        <f t="shared" si="1"/>
        <v>20</v>
      </c>
      <c r="D1652" s="6" t="str">
        <f t="array" ref="D1652">IFERROR(INDEX(user_table!$C$2:$C3686,MATCH(C1652,user_table!$B$2:$B3686,0)),"")
</f>
        <v>Arif Septiani</v>
      </c>
      <c r="E1652" s="6" t="str">
        <f t="array" ref="E1652">IFERROR(INDEX(user_table!$E$2:$E3686,MATCH(C1652,user_table!$B$2:$B3686,0)),"")
</f>
        <v>6, 3</v>
      </c>
      <c r="F1652" s="6" t="str">
        <f t="shared" si="2"/>
        <v>14245420</v>
      </c>
      <c r="G1652" s="16">
        <v>5.0</v>
      </c>
      <c r="H1652" s="17">
        <v>45119.0</v>
      </c>
      <c r="I1652" s="18" t="s">
        <v>1626</v>
      </c>
    </row>
    <row r="1653">
      <c r="A1653" s="5" t="str">
        <f t="array" ref="A1653">INDEX(event_table!$A$2:$A$69, RANDBETWEEN(1, COUNTA(event_table!$A$2:$A$69)))</f>
        <v>3454</v>
      </c>
      <c r="B1653" s="6">
        <f t="array" ref="B1653">IFERROR(INDEX(event_table!$E$1:$E3686,MATCH(A1653,event_table!$A$1:$A3686,0)),"")
</f>
        <v>4</v>
      </c>
      <c r="C1653" s="7">
        <f t="shared" si="1"/>
        <v>52</v>
      </c>
      <c r="D1653" s="6" t="str">
        <f t="array" ref="D1653">IFERROR(INDEX(user_table!$C$2:$C3686,MATCH(C1653,user_table!$B$2:$B3686,0)),"")
</f>
        <v>Ani Nurhayati</v>
      </c>
      <c r="E1653" s="6" t="str">
        <f t="array" ref="E1653">IFERROR(INDEX(user_table!$E$2:$E3686,MATCH(C1653,user_table!$B$2:$B3686,0)),"")
</f>
        <v>2, 2</v>
      </c>
      <c r="F1653" s="6" t="str">
        <f t="shared" si="2"/>
        <v>34545452</v>
      </c>
      <c r="G1653" s="16">
        <v>5.0</v>
      </c>
      <c r="H1653" s="17">
        <v>45063.0</v>
      </c>
      <c r="I1653" s="18" t="s">
        <v>1627</v>
      </c>
    </row>
    <row r="1654">
      <c r="A1654" s="5" t="str">
        <f t="array" ref="A1654">INDEX(event_table!$A$2:$A$69, RANDBETWEEN(1, COUNTA(event_table!$A$2:$A$69)))</f>
        <v>1212</v>
      </c>
      <c r="B1654" s="6">
        <f t="array" ref="B1654">IFERROR(INDEX(event_table!$E$1:$E3686,MATCH(A1654,event_table!$A$1:$A3686,0)),"")
</f>
        <v>2</v>
      </c>
      <c r="C1654" s="7">
        <f t="shared" si="1"/>
        <v>117</v>
      </c>
      <c r="D1654" s="6" t="str">
        <f t="array" ref="D1654">IFERROR(INDEX(user_table!$C$2:$C3686,MATCH(C1654,user_table!$B$2:$B3686,0)),"")
</f>
        <v>Wahyu Sari</v>
      </c>
      <c r="E1654" s="6" t="str">
        <f t="array" ref="E1654">IFERROR(INDEX(user_table!$E$2:$E3686,MATCH(C1654,user_table!$B$2:$B3686,0)),"")
</f>
        <v>4, 2</v>
      </c>
      <c r="F1654" s="6" t="str">
        <f t="shared" si="2"/>
        <v>121252117</v>
      </c>
      <c r="G1654" s="16">
        <v>5.0</v>
      </c>
      <c r="H1654" s="17">
        <v>44845.0</v>
      </c>
      <c r="I1654" s="18" t="s">
        <v>1628</v>
      </c>
    </row>
    <row r="1655">
      <c r="A1655" s="5" t="str">
        <f t="array" ref="A1655">INDEX(event_table!$A$2:$A$69, RANDBETWEEN(1, COUNTA(event_table!$A$2:$A$69)))</f>
        <v>1645</v>
      </c>
      <c r="B1655" s="6">
        <f t="array" ref="B1655">IFERROR(INDEX(event_table!$E$1:$E3686,MATCH(A1655,event_table!$A$1:$A3686,0)),"")
</f>
        <v>6</v>
      </c>
      <c r="C1655" s="7">
        <f t="shared" si="1"/>
        <v>162</v>
      </c>
      <c r="D1655" s="6" t="str">
        <f t="array" ref="D1655">IFERROR(INDEX(user_table!$C$2:$C3686,MATCH(C1655,user_table!$B$2:$B3686,0)),"")
</f>
        <v>Dewi Nugroho</v>
      </c>
      <c r="E1655" s="6" t="str">
        <f t="array" ref="E1655">IFERROR(INDEX(user_table!$E$2:$E3686,MATCH(C1655,user_table!$B$2:$B3686,0)),"")
</f>
        <v>2, 5</v>
      </c>
      <c r="F1655" s="6" t="str">
        <f t="shared" si="2"/>
        <v>164556162</v>
      </c>
      <c r="G1655" s="16">
        <v>5.0</v>
      </c>
      <c r="H1655" s="17">
        <v>44792.0</v>
      </c>
      <c r="I1655" s="18" t="s">
        <v>1629</v>
      </c>
    </row>
    <row r="1656">
      <c r="A1656" s="5" t="str">
        <f t="array" ref="A1656">INDEX(event_table!$A$2:$A$69, RANDBETWEEN(1, COUNTA(event_table!$A$2:$A$69)))</f>
        <v>3658</v>
      </c>
      <c r="B1656" s="6">
        <f t="array" ref="B1656">IFERROR(INDEX(event_table!$E$1:$E3686,MATCH(A1656,event_table!$A$1:$A3686,0)),"")
</f>
        <v>6</v>
      </c>
      <c r="C1656" s="7">
        <f t="shared" si="1"/>
        <v>103</v>
      </c>
      <c r="D1656" s="6" t="str">
        <f t="array" ref="D1656">IFERROR(INDEX(user_table!$C$2:$C3686,MATCH(C1656,user_table!$B$2:$B3686,0)),"")
</f>
        <v>Hadi Sari</v>
      </c>
      <c r="E1656" s="6" t="str">
        <f t="array" ref="E1656">IFERROR(INDEX(user_table!$E$2:$E3686,MATCH(C1656,user_table!$B$2:$B3686,0)),"")
</f>
        <v>3, 1</v>
      </c>
      <c r="F1656" s="6" t="str">
        <f t="shared" si="2"/>
        <v>365856103</v>
      </c>
      <c r="G1656" s="16">
        <v>5.0</v>
      </c>
      <c r="H1656" s="17">
        <v>44730.0</v>
      </c>
      <c r="I1656" s="18" t="s">
        <v>1630</v>
      </c>
    </row>
    <row r="1657">
      <c r="A1657" s="5" t="str">
        <f t="array" ref="A1657">INDEX(event_table!$A$2:$A$69, RANDBETWEEN(1, COUNTA(event_table!$A$2:$A$69)))</f>
        <v>1553</v>
      </c>
      <c r="B1657" s="6">
        <f t="array" ref="B1657">IFERROR(INDEX(event_table!$E$1:$E3686,MATCH(A1657,event_table!$A$1:$A3686,0)),"")
</f>
        <v>5</v>
      </c>
      <c r="C1657" s="7">
        <f t="shared" si="1"/>
        <v>63</v>
      </c>
      <c r="D1657" s="6" t="str">
        <f t="array" ref="D1657">IFERROR(INDEX(user_table!$C$2:$C3686,MATCH(C1657,user_table!$B$2:$B3686,0)),"")
</f>
        <v>Desi Putri</v>
      </c>
      <c r="E1657" s="6" t="str">
        <f t="array" ref="E1657">IFERROR(INDEX(user_table!$E$2:$E3686,MATCH(C1657,user_table!$B$2:$B3686,0)),"")
</f>
        <v>2, 5</v>
      </c>
      <c r="F1657" s="6" t="str">
        <f t="shared" si="2"/>
        <v>15535563</v>
      </c>
      <c r="G1657" s="16">
        <v>5.0</v>
      </c>
      <c r="H1657" s="17">
        <v>44703.0</v>
      </c>
      <c r="I1657" s="18" t="s">
        <v>1631</v>
      </c>
    </row>
    <row r="1658">
      <c r="A1658" s="5" t="str">
        <f t="array" ref="A1658">INDEX(event_table!$A$2:$A$69, RANDBETWEEN(1, COUNTA(event_table!$A$2:$A$69)))</f>
        <v>3165</v>
      </c>
      <c r="B1658" s="6">
        <f t="array" ref="B1658">IFERROR(INDEX(event_table!$E$1:$E3686,MATCH(A1658,event_table!$A$1:$A3686,0)),"")
</f>
        <v>1</v>
      </c>
      <c r="C1658" s="7">
        <f t="shared" si="1"/>
        <v>97</v>
      </c>
      <c r="D1658" s="6" t="str">
        <f t="array" ref="D1658">IFERROR(INDEX(user_table!$C$2:$C3686,MATCH(C1658,user_table!$B$2:$B3686,0)),"")
</f>
        <v>Dewi Hidayat</v>
      </c>
      <c r="E1658" s="6" t="str">
        <f t="array" ref="E1658">IFERROR(INDEX(user_table!$E$2:$E3686,MATCH(C1658,user_table!$B$2:$B3686,0)),"")
</f>
        <v>2, 2</v>
      </c>
      <c r="F1658" s="6" t="str">
        <f t="shared" si="2"/>
        <v>31655197</v>
      </c>
      <c r="G1658" s="16">
        <v>5.0</v>
      </c>
      <c r="H1658" s="17">
        <v>44695.0</v>
      </c>
      <c r="I1658" s="18" t="s">
        <v>1632</v>
      </c>
    </row>
    <row r="1659">
      <c r="A1659" s="5" t="str">
        <f t="array" ref="A1659">INDEX(event_table!$A$2:$A$69, RANDBETWEEN(1, COUNTA(event_table!$A$2:$A$69)))</f>
        <v>1313</v>
      </c>
      <c r="B1659" s="6">
        <f t="array" ref="B1659">IFERROR(INDEX(event_table!$E$1:$E3686,MATCH(A1659,event_table!$A$1:$A3686,0)),"")
</f>
        <v>3</v>
      </c>
      <c r="C1659" s="7">
        <f t="shared" si="1"/>
        <v>16</v>
      </c>
      <c r="D1659" s="6" t="str">
        <f t="array" ref="D1659">IFERROR(INDEX(user_table!$C$2:$C3686,MATCH(C1659,user_table!$B$2:$B3686,0)),"")
</f>
        <v>Siti Utami</v>
      </c>
      <c r="E1659" s="6" t="str">
        <f t="array" ref="E1659">IFERROR(INDEX(user_table!$E$2:$E3686,MATCH(C1659,user_table!$B$2:$B3686,0)),"")
</f>
        <v>1, 2</v>
      </c>
      <c r="F1659" s="6" t="str">
        <f t="shared" si="2"/>
        <v>13134316</v>
      </c>
      <c r="G1659" s="16">
        <v>4.0</v>
      </c>
      <c r="H1659" s="17">
        <v>44734.0</v>
      </c>
      <c r="I1659" s="18" t="s">
        <v>1633</v>
      </c>
    </row>
    <row r="1660">
      <c r="A1660" s="5" t="str">
        <f t="array" ref="A1660">INDEX(event_table!$A$2:$A$69, RANDBETWEEN(1, COUNTA(event_table!$A$2:$A$69)))</f>
        <v>1417</v>
      </c>
      <c r="B1660" s="6">
        <f t="array" ref="B1660">IFERROR(INDEX(event_table!$E$1:$E3686,MATCH(A1660,event_table!$A$1:$A3686,0)),"")
</f>
        <v>4</v>
      </c>
      <c r="C1660" s="7">
        <f t="shared" si="1"/>
        <v>65</v>
      </c>
      <c r="D1660" s="6" t="str">
        <f t="array" ref="D1660">IFERROR(INDEX(user_table!$C$2:$C3686,MATCH(C1660,user_table!$B$2:$B3686,0)),"")
</f>
        <v>Siti Pratama</v>
      </c>
      <c r="E1660" s="6" t="str">
        <f t="array" ref="E1660">IFERROR(INDEX(user_table!$E$2:$E3686,MATCH(C1660,user_table!$B$2:$B3686,0)),"")
</f>
        <v>5, 6</v>
      </c>
      <c r="F1660" s="6" t="str">
        <f t="shared" si="2"/>
        <v>14174465</v>
      </c>
      <c r="G1660" s="16">
        <v>4.0</v>
      </c>
      <c r="H1660" s="17">
        <v>44731.0</v>
      </c>
      <c r="I1660" s="18" t="s">
        <v>1634</v>
      </c>
    </row>
    <row r="1661">
      <c r="A1661" s="5" t="str">
        <f t="array" ref="A1661">INDEX(event_table!$A$2:$A$69, RANDBETWEEN(1, COUNTA(event_table!$A$2:$A$69)))</f>
        <v>1528</v>
      </c>
      <c r="B1661" s="6">
        <f t="array" ref="B1661">IFERROR(INDEX(event_table!$E$1:$E3686,MATCH(A1661,event_table!$A$1:$A3686,0)),"")
</f>
        <v>5</v>
      </c>
      <c r="C1661" s="7">
        <f t="shared" si="1"/>
        <v>173</v>
      </c>
      <c r="D1661" s="6" t="str">
        <f t="array" ref="D1661">IFERROR(INDEX(user_table!$C$2:$C3686,MATCH(C1661,user_table!$B$2:$B3686,0)),"")
</f>
        <v>Fajar Putri</v>
      </c>
      <c r="E1661" s="6" t="str">
        <f t="array" ref="E1661">IFERROR(INDEX(user_table!$E$2:$E3686,MATCH(C1661,user_table!$B$2:$B3686,0)),"")
</f>
        <v>2, 6</v>
      </c>
      <c r="F1661" s="6" t="str">
        <f t="shared" si="2"/>
        <v>152845173</v>
      </c>
      <c r="G1661" s="16">
        <v>4.0</v>
      </c>
      <c r="H1661" s="17">
        <v>44794.0</v>
      </c>
      <c r="I1661" s="18" t="s">
        <v>1635</v>
      </c>
    </row>
    <row r="1662">
      <c r="A1662" s="5" t="str">
        <f t="array" ref="A1662">INDEX(event_table!$A$2:$A$69, RANDBETWEEN(1, COUNTA(event_table!$A$2:$A$69)))</f>
        <v>1648</v>
      </c>
      <c r="B1662" s="6">
        <f t="array" ref="B1662">IFERROR(INDEX(event_table!$E$1:$E3686,MATCH(A1662,event_table!$A$1:$A3686,0)),"")
</f>
        <v>6</v>
      </c>
      <c r="C1662" s="7">
        <f t="shared" si="1"/>
        <v>21</v>
      </c>
      <c r="D1662" s="6" t="str">
        <f t="array" ref="D1662">IFERROR(INDEX(user_table!$C$2:$C3686,MATCH(C1662,user_table!$B$2:$B3686,0)),"")
</f>
        <v>Budi Santoso</v>
      </c>
      <c r="E1662" s="6" t="str">
        <f t="array" ref="E1662">IFERROR(INDEX(user_table!$E$2:$E3686,MATCH(C1662,user_table!$B$2:$B3686,0)),"")
</f>
        <v>6, 1</v>
      </c>
      <c r="F1662" s="6" t="str">
        <f t="shared" si="2"/>
        <v>16484621</v>
      </c>
      <c r="G1662" s="16">
        <v>4.0</v>
      </c>
      <c r="H1662" s="17">
        <v>44780.0</v>
      </c>
      <c r="I1662" s="18" t="s">
        <v>1636</v>
      </c>
    </row>
    <row r="1663">
      <c r="A1663" s="5" t="str">
        <f t="array" ref="A1663">INDEX(event_table!$A$2:$A$69, RANDBETWEEN(1, COUNTA(event_table!$A$2:$A$69)))</f>
        <v>118</v>
      </c>
      <c r="B1663" s="6">
        <f t="array" ref="B1663">IFERROR(INDEX(event_table!$E$1:$E3686,MATCH(A1663,event_table!$A$1:$A3686,0)),"")
</f>
        <v>1</v>
      </c>
      <c r="C1663" s="7">
        <f t="shared" si="1"/>
        <v>100</v>
      </c>
      <c r="D1663" s="6" t="str">
        <f t="array" ref="D1663">IFERROR(INDEX(user_table!$C$2:$C3686,MATCH(C1663,user_table!$B$2:$B3686,0)),"")
</f>
        <v>Lina Rahayu</v>
      </c>
      <c r="E1663" s="6" t="str">
        <f t="array" ref="E1663">IFERROR(INDEX(user_table!$E$2:$E3686,MATCH(C1663,user_table!$B$2:$B3686,0)),"")
</f>
        <v>6, 2</v>
      </c>
      <c r="F1663" s="6" t="str">
        <f t="shared" si="2"/>
        <v>11841100</v>
      </c>
      <c r="G1663" s="16">
        <v>4.0</v>
      </c>
      <c r="H1663" s="17">
        <v>44780.0</v>
      </c>
      <c r="I1663" s="18" t="s">
        <v>1637</v>
      </c>
    </row>
    <row r="1664">
      <c r="A1664" s="5" t="str">
        <f t="array" ref="A1664">INDEX(event_table!$A$2:$A$69, RANDBETWEEN(1, COUNTA(event_table!$A$2:$A$69)))</f>
        <v>1519</v>
      </c>
      <c r="B1664" s="6">
        <f t="array" ref="B1664">IFERROR(INDEX(event_table!$E$1:$E3686,MATCH(A1664,event_table!$A$1:$A3686,0)),"")
</f>
        <v>5</v>
      </c>
      <c r="C1664" s="7">
        <f t="shared" si="1"/>
        <v>67</v>
      </c>
      <c r="D1664" s="6" t="str">
        <f t="array" ref="D1664">IFERROR(INDEX(user_table!$C$2:$C3686,MATCH(C1664,user_table!$B$2:$B3686,0)),"")
</f>
        <v>Joko Pratama</v>
      </c>
      <c r="E1664" s="6" t="str">
        <f t="array" ref="E1664">IFERROR(INDEX(user_table!$E$2:$E3686,MATCH(C1664,user_table!$B$2:$B3686,0)),"")
</f>
        <v>1, 3</v>
      </c>
      <c r="F1664" s="6" t="str">
        <f t="shared" si="2"/>
        <v>15194567</v>
      </c>
      <c r="G1664" s="16">
        <v>4.0</v>
      </c>
      <c r="H1664" s="17">
        <v>44745.0</v>
      </c>
      <c r="I1664" s="18" t="s">
        <v>1638</v>
      </c>
    </row>
    <row r="1665">
      <c r="A1665" s="5" t="str">
        <f t="array" ref="A1665">INDEX(event_table!$A$2:$A$69, RANDBETWEEN(1, COUNTA(event_table!$A$2:$A$69)))</f>
        <v>3657</v>
      </c>
      <c r="B1665" s="6">
        <f t="array" ref="B1665">IFERROR(INDEX(event_table!$E$1:$E3686,MATCH(A1665,event_table!$A$1:$A3686,0)),"")
</f>
        <v>6</v>
      </c>
      <c r="C1665" s="7">
        <f t="shared" si="1"/>
        <v>88</v>
      </c>
      <c r="D1665" s="6" t="str">
        <f t="array" ref="D1665">IFERROR(INDEX(user_table!$C$2:$C3686,MATCH(C1665,user_table!$B$2:$B3686,0)),"")
</f>
        <v>Fajar Hadiwijaya</v>
      </c>
      <c r="E1665" s="6" t="str">
        <f t="array" ref="E1665">IFERROR(INDEX(user_table!$E$2:$E3686,MATCH(C1665,user_table!$B$2:$B3686,0)),"")
</f>
        <v>2, 6</v>
      </c>
      <c r="F1665" s="6" t="str">
        <f t="shared" si="2"/>
        <v>36574688</v>
      </c>
      <c r="G1665" s="16">
        <v>4.0</v>
      </c>
      <c r="H1665" s="17">
        <v>44734.0</v>
      </c>
      <c r="I1665" s="18" t="s">
        <v>1639</v>
      </c>
    </row>
    <row r="1666">
      <c r="A1666" s="5" t="str">
        <f t="array" ref="A1666">INDEX(event_table!$A$2:$A$69, RANDBETWEEN(1, COUNTA(event_table!$A$2:$A$69)))</f>
        <v>119</v>
      </c>
      <c r="B1666" s="6">
        <f t="array" ref="B1666">IFERROR(INDEX(event_table!$E$1:$E3686,MATCH(A1666,event_table!$A$1:$A3686,0)),"")
</f>
        <v>1</v>
      </c>
      <c r="C1666" s="7">
        <f t="shared" si="1"/>
        <v>61</v>
      </c>
      <c r="D1666" s="6" t="str">
        <f t="array" ref="D1666">IFERROR(INDEX(user_table!$C$2:$C3686,MATCH(C1666,user_table!$B$2:$B3686,0)),"")
</f>
        <v>Agus Setiawan</v>
      </c>
      <c r="E1666" s="6" t="str">
        <f t="array" ref="E1666">IFERROR(INDEX(user_table!$E$2:$E3686,MATCH(C1666,user_table!$B$2:$B3686,0)),"")
</f>
        <v>4, 5</v>
      </c>
      <c r="F1666" s="6" t="str">
        <f t="shared" si="2"/>
        <v>1194161</v>
      </c>
      <c r="G1666" s="16">
        <v>4.0</v>
      </c>
      <c r="H1666" s="17">
        <v>44687.0</v>
      </c>
      <c r="I1666" s="18" t="s">
        <v>949</v>
      </c>
    </row>
    <row r="1667">
      <c r="A1667" s="5" t="str">
        <f t="array" ref="A1667">INDEX(event_table!$A$2:$A$69, RANDBETWEEN(1, COUNTA(event_table!$A$2:$A$69)))</f>
        <v>1651</v>
      </c>
      <c r="B1667" s="6">
        <f t="array" ref="B1667">IFERROR(INDEX(event_table!$E$1:$E3686,MATCH(A1667,event_table!$A$1:$A3686,0)),"")
</f>
        <v>6</v>
      </c>
      <c r="C1667" s="7">
        <f t="shared" si="1"/>
        <v>181</v>
      </c>
      <c r="D1667" s="6" t="str">
        <f t="array" ref="D1667">IFERROR(INDEX(user_table!$C$2:$C3686,MATCH(C1667,user_table!$B$2:$B3686,0)),"")
</f>
        <v>Andi Hadiwijaya</v>
      </c>
      <c r="E1667" s="6" t="str">
        <f t="array" ref="E1667">IFERROR(INDEX(user_table!$E$2:$E3686,MATCH(C1667,user_table!$B$2:$B3686,0)),"")
</f>
        <v>3, 2</v>
      </c>
      <c r="F1667" s="6" t="str">
        <f t="shared" si="2"/>
        <v>165136181</v>
      </c>
      <c r="G1667" s="16">
        <v>3.0</v>
      </c>
      <c r="H1667" s="17">
        <v>44850.0</v>
      </c>
      <c r="I1667" s="18" t="s">
        <v>1640</v>
      </c>
    </row>
    <row r="1668">
      <c r="A1668" s="5" t="str">
        <f t="array" ref="A1668">INDEX(event_table!$A$2:$A$69, RANDBETWEEN(1, COUNTA(event_table!$A$2:$A$69)))</f>
        <v>1427</v>
      </c>
      <c r="B1668" s="6">
        <f t="array" ref="B1668">IFERROR(INDEX(event_table!$E$1:$E3686,MATCH(A1668,event_table!$A$1:$A3686,0)),"")
</f>
        <v>4</v>
      </c>
      <c r="C1668" s="7">
        <f t="shared" si="1"/>
        <v>149</v>
      </c>
      <c r="D1668" s="6" t="str">
        <f t="array" ref="D1668">IFERROR(INDEX(user_table!$C$2:$C3686,MATCH(C1668,user_table!$B$2:$B3686,0)),"")
</f>
        <v>Dian Setiawan</v>
      </c>
      <c r="E1668" s="6" t="str">
        <f t="array" ref="E1668">IFERROR(INDEX(user_table!$E$2:$E3686,MATCH(C1668,user_table!$B$2:$B3686,0)),"")
</f>
        <v>2, 4</v>
      </c>
      <c r="F1668" s="6" t="str">
        <f t="shared" si="2"/>
        <v>142734149</v>
      </c>
      <c r="G1668" s="16">
        <v>3.0</v>
      </c>
      <c r="H1668" s="17">
        <v>44848.0</v>
      </c>
      <c r="I1668" s="18" t="s">
        <v>1641</v>
      </c>
    </row>
    <row r="1669">
      <c r="A1669" s="5" t="str">
        <f t="array" ref="A1669">INDEX(event_table!$A$2:$A$69, RANDBETWEEN(1, COUNTA(event_table!$A$2:$A$69)))</f>
        <v>117</v>
      </c>
      <c r="B1669" s="6">
        <f t="array" ref="B1669">IFERROR(INDEX(event_table!$E$1:$E3686,MATCH(A1669,event_table!$A$1:$A3686,0)),"")
</f>
        <v>1</v>
      </c>
      <c r="C1669" s="7">
        <f t="shared" si="1"/>
        <v>194</v>
      </c>
      <c r="D1669" s="6" t="str">
        <f t="array" ref="D1669">IFERROR(INDEX(user_table!$C$2:$C3686,MATCH(C1669,user_table!$B$2:$B3686,0)),"")
</f>
        <v>Andi Putri</v>
      </c>
      <c r="E1669" s="6" t="str">
        <f t="array" ref="E1669">IFERROR(INDEX(user_table!$E$2:$E3686,MATCH(C1669,user_table!$B$2:$B3686,0)),"")
</f>
        <v>4, 4</v>
      </c>
      <c r="F1669" s="6" t="str">
        <f t="shared" si="2"/>
        <v>11731194</v>
      </c>
      <c r="G1669" s="16">
        <v>3.0</v>
      </c>
      <c r="H1669" s="17">
        <v>45104.0</v>
      </c>
      <c r="I1669" s="18" t="s">
        <v>1642</v>
      </c>
    </row>
    <row r="1670">
      <c r="A1670" s="5" t="str">
        <f t="array" ref="A1670">INDEX(event_table!$A$2:$A$69, RANDBETWEEN(1, COUNTA(event_table!$A$2:$A$69)))</f>
        <v>3169</v>
      </c>
      <c r="B1670" s="6">
        <f t="array" ref="B1670">IFERROR(INDEX(event_table!$E$1:$E3686,MATCH(A1670,event_table!$A$1:$A3686,0)),"")
</f>
        <v>1</v>
      </c>
      <c r="C1670" s="7">
        <f t="shared" si="1"/>
        <v>176</v>
      </c>
      <c r="D1670" s="6" t="str">
        <f t="array" ref="D1670">IFERROR(INDEX(user_table!$C$2:$C3686,MATCH(C1670,user_table!$B$2:$B3686,0)),"")
</f>
        <v>Ani Hartono</v>
      </c>
      <c r="E1670" s="6" t="str">
        <f t="array" ref="E1670">IFERROR(INDEX(user_table!$E$2:$E3686,MATCH(C1670,user_table!$B$2:$B3686,0)),"")
</f>
        <v>2, 3</v>
      </c>
      <c r="F1670" s="6" t="str">
        <f t="shared" si="2"/>
        <v>316931176</v>
      </c>
      <c r="G1670" s="16">
        <v>3.0</v>
      </c>
      <c r="H1670" s="17">
        <v>44777.0</v>
      </c>
      <c r="I1670" s="18" t="s">
        <v>1643</v>
      </c>
    </row>
    <row r="1671">
      <c r="A1671" s="5" t="str">
        <f t="array" ref="A1671">INDEX(event_table!$A$2:$A$69, RANDBETWEEN(1, COUNTA(event_table!$A$2:$A$69)))</f>
        <v>1529</v>
      </c>
      <c r="B1671" s="6">
        <f t="array" ref="B1671">IFERROR(INDEX(event_table!$E$1:$E3686,MATCH(A1671,event_table!$A$1:$A3686,0)),"")
</f>
        <v>5</v>
      </c>
      <c r="C1671" s="7">
        <f t="shared" si="1"/>
        <v>134</v>
      </c>
      <c r="D1671" s="6" t="str">
        <f t="array" ref="D1671">IFERROR(INDEX(user_table!$C$2:$C3686,MATCH(C1671,user_table!$B$2:$B3686,0)),"")
</f>
        <v>Maya Septiani</v>
      </c>
      <c r="E1671" s="6" t="str">
        <f t="array" ref="E1671">IFERROR(INDEX(user_table!$E$2:$E3686,MATCH(C1671,user_table!$B$2:$B3686,0)),"")
</f>
        <v>2, 4</v>
      </c>
      <c r="F1671" s="6" t="str">
        <f t="shared" si="2"/>
        <v>152935134</v>
      </c>
      <c r="G1671" s="16">
        <v>3.0</v>
      </c>
      <c r="H1671" s="17">
        <v>45259.0</v>
      </c>
      <c r="I1671" s="18" t="s">
        <v>1644</v>
      </c>
    </row>
    <row r="1672">
      <c r="A1672" s="5" t="str">
        <f t="array" ref="A1672">INDEX(event_table!$A$2:$A$69, RANDBETWEEN(1, COUNTA(event_table!$A$2:$A$69)))</f>
        <v>1636</v>
      </c>
      <c r="B1672" s="6">
        <f t="array" ref="B1672">IFERROR(INDEX(event_table!$E$1:$E3686,MATCH(A1672,event_table!$A$1:$A3686,0)),"")
</f>
        <v>6</v>
      </c>
      <c r="C1672" s="7">
        <f t="shared" si="1"/>
        <v>45</v>
      </c>
      <c r="D1672" s="6" t="str">
        <f t="array" ref="D1672">IFERROR(INDEX(user_table!$C$2:$C3686,MATCH(C1672,user_table!$B$2:$B3686,0)),"")
</f>
        <v>Siti Kurniawan</v>
      </c>
      <c r="E1672" s="6" t="str">
        <f t="array" ref="E1672">IFERROR(INDEX(user_table!$E$2:$E3686,MATCH(C1672,user_table!$B$2:$B3686,0)),"")
</f>
        <v>1, 1</v>
      </c>
      <c r="F1672" s="6" t="str">
        <f t="shared" si="2"/>
        <v>16363645</v>
      </c>
      <c r="G1672" s="16">
        <v>3.0</v>
      </c>
      <c r="H1672" s="17">
        <v>45214.0</v>
      </c>
      <c r="I1672" s="18" t="s">
        <v>1645</v>
      </c>
    </row>
    <row r="1673">
      <c r="A1673" s="5" t="str">
        <f t="array" ref="A1673">INDEX(event_table!$A$2:$A$69, RANDBETWEEN(1, COUNTA(event_table!$A$2:$A$69)))</f>
        <v>1111</v>
      </c>
      <c r="B1673" s="6">
        <f t="array" ref="B1673">IFERROR(INDEX(event_table!$E$1:$E3686,MATCH(A1673,event_table!$A$1:$A3686,0)),"")
</f>
        <v>1</v>
      </c>
      <c r="C1673" s="7">
        <f t="shared" si="1"/>
        <v>27</v>
      </c>
      <c r="D1673" s="6" t="str">
        <f t="array" ref="D1673">IFERROR(INDEX(user_table!$C$2:$C3686,MATCH(C1673,user_table!$B$2:$B3686,0)),"")
</f>
        <v>Fandi Purnama</v>
      </c>
      <c r="E1673" s="6" t="str">
        <f t="array" ref="E1673">IFERROR(INDEX(user_table!$E$2:$E3686,MATCH(C1673,user_table!$B$2:$B3686,0)),"")
</f>
        <v>4, 6</v>
      </c>
      <c r="F1673" s="6" t="str">
        <f t="shared" si="2"/>
        <v>11113127</v>
      </c>
      <c r="G1673" s="16">
        <v>3.0</v>
      </c>
      <c r="H1673" s="17">
        <v>45183.0</v>
      </c>
      <c r="I1673" s="18" t="s">
        <v>1646</v>
      </c>
    </row>
    <row r="1674">
      <c r="A1674" s="5" t="str">
        <f t="array" ref="A1674">INDEX(event_table!$A$2:$A$69, RANDBETWEEN(1, COUNTA(event_table!$A$2:$A$69)))</f>
        <v>118</v>
      </c>
      <c r="B1674" s="6">
        <f t="array" ref="B1674">IFERROR(INDEX(event_table!$E$1:$E3686,MATCH(A1674,event_table!$A$1:$A3686,0)),"")
</f>
        <v>1</v>
      </c>
      <c r="C1674" s="7">
        <f t="shared" si="1"/>
        <v>169</v>
      </c>
      <c r="D1674" s="6" t="str">
        <f t="array" ref="D1674">IFERROR(INDEX(user_table!$C$2:$C3686,MATCH(C1674,user_table!$B$2:$B3686,0)),"")
</f>
        <v>Dian Saputra</v>
      </c>
      <c r="E1674" s="6" t="str">
        <f t="array" ref="E1674">IFERROR(INDEX(user_table!$E$2:$E3686,MATCH(C1674,user_table!$B$2:$B3686,0)),"")
</f>
        <v>6, 1</v>
      </c>
      <c r="F1674" s="6" t="str">
        <f t="shared" si="2"/>
        <v>11831169</v>
      </c>
      <c r="G1674" s="16">
        <v>3.0</v>
      </c>
      <c r="H1674" s="17">
        <v>45172.0</v>
      </c>
      <c r="I1674" s="18" t="s">
        <v>1647</v>
      </c>
    </row>
    <row r="1675">
      <c r="A1675" s="5" t="str">
        <f t="array" ref="A1675">INDEX(event_table!$A$2:$A$69, RANDBETWEEN(1, COUNTA(event_table!$A$2:$A$69)))</f>
        <v>1424</v>
      </c>
      <c r="B1675" s="6">
        <f t="array" ref="B1675">IFERROR(INDEX(event_table!$E$1:$E3686,MATCH(A1675,event_table!$A$1:$A3686,0)),"")
</f>
        <v>4</v>
      </c>
      <c r="C1675" s="7">
        <f t="shared" si="1"/>
        <v>192</v>
      </c>
      <c r="D1675" s="6" t="str">
        <f t="array" ref="D1675">IFERROR(INDEX(user_table!$C$2:$C3686,MATCH(C1675,user_table!$B$2:$B3686,0)),"")
</f>
        <v>Joko Hadiwijaya</v>
      </c>
      <c r="E1675" s="6" t="str">
        <f t="array" ref="E1675">IFERROR(INDEX(user_table!$E$2:$E3686,MATCH(C1675,user_table!$B$2:$B3686,0)),"")
</f>
        <v>1, 3</v>
      </c>
      <c r="F1675" s="6" t="str">
        <f t="shared" si="2"/>
        <v>142424192</v>
      </c>
      <c r="G1675" s="16">
        <v>2.0</v>
      </c>
      <c r="H1675" s="17">
        <v>44746.0</v>
      </c>
      <c r="I1675" s="18" t="s">
        <v>1648</v>
      </c>
    </row>
    <row r="1676">
      <c r="A1676" s="5" t="str">
        <f t="array" ref="A1676">INDEX(event_table!$A$2:$A$69, RANDBETWEEN(1, COUNTA(event_table!$A$2:$A$69)))</f>
        <v>3168</v>
      </c>
      <c r="B1676" s="6">
        <f t="array" ref="B1676">IFERROR(INDEX(event_table!$E$1:$E3686,MATCH(A1676,event_table!$A$1:$A3686,0)),"")
</f>
        <v>1</v>
      </c>
      <c r="C1676" s="7">
        <f t="shared" si="1"/>
        <v>118</v>
      </c>
      <c r="D1676" s="6" t="str">
        <f t="array" ref="D1676">IFERROR(INDEX(user_table!$C$2:$C3686,MATCH(C1676,user_table!$B$2:$B3686,0)),"")
</f>
        <v>Ani Santoso</v>
      </c>
      <c r="E1676" s="6" t="str">
        <f t="array" ref="E1676">IFERROR(INDEX(user_table!$E$2:$E3686,MATCH(C1676,user_table!$B$2:$B3686,0)),"")
</f>
        <v>6, 1</v>
      </c>
      <c r="F1676" s="6" t="str">
        <f t="shared" si="2"/>
        <v>316821118</v>
      </c>
      <c r="G1676" s="16">
        <v>2.0</v>
      </c>
      <c r="H1676" s="17">
        <v>45161.0</v>
      </c>
      <c r="I1676" s="18" t="s">
        <v>1649</v>
      </c>
    </row>
    <row r="1677">
      <c r="A1677" s="5" t="str">
        <f t="array" ref="A1677">INDEX(event_table!$A$2:$A$69, RANDBETWEEN(1, COUNTA(event_table!$A$2:$A$69)))</f>
        <v>1422</v>
      </c>
      <c r="B1677" s="6">
        <f t="array" ref="B1677">IFERROR(INDEX(event_table!$E$1:$E3686,MATCH(A1677,event_table!$A$1:$A3686,0)),"")
</f>
        <v>4</v>
      </c>
      <c r="C1677" s="7">
        <f t="shared" si="1"/>
        <v>126</v>
      </c>
      <c r="D1677" s="6" t="str">
        <f t="array" ref="D1677">IFERROR(INDEX(user_table!$C$2:$C3686,MATCH(C1677,user_table!$B$2:$B3686,0)),"")
</f>
        <v>Agus Santoso</v>
      </c>
      <c r="E1677" s="6" t="str">
        <f t="array" ref="E1677">IFERROR(INDEX(user_table!$E$2:$E3686,MATCH(C1677,user_table!$B$2:$B3686,0)),"")
</f>
        <v>3, 6</v>
      </c>
      <c r="F1677" s="6" t="str">
        <f t="shared" si="2"/>
        <v>142224126</v>
      </c>
      <c r="G1677" s="16">
        <v>2.0</v>
      </c>
      <c r="H1677" s="17">
        <v>44661.0</v>
      </c>
      <c r="I1677" s="18" t="s">
        <v>1650</v>
      </c>
    </row>
    <row r="1678">
      <c r="A1678" s="5" t="str">
        <f t="array" ref="A1678">INDEX(event_table!$A$2:$A$69, RANDBETWEEN(1, COUNTA(event_table!$A$2:$A$69)))</f>
        <v>3356</v>
      </c>
      <c r="B1678" s="6">
        <f t="array" ref="B1678">IFERROR(INDEX(event_table!$E$1:$E3686,MATCH(A1678,event_table!$A$1:$A3686,0)),"")
</f>
        <v>3</v>
      </c>
      <c r="C1678" s="7">
        <f t="shared" si="1"/>
        <v>123</v>
      </c>
      <c r="D1678" s="6" t="str">
        <f t="array" ref="D1678">IFERROR(INDEX(user_table!$C$2:$C3686,MATCH(C1678,user_table!$B$2:$B3686,0)),"")
</f>
        <v>Lina Hartono</v>
      </c>
      <c r="E1678" s="6" t="str">
        <f t="array" ref="E1678">IFERROR(INDEX(user_table!$E$2:$E3686,MATCH(C1678,user_table!$B$2:$B3686,0)),"")
</f>
        <v>6, 5</v>
      </c>
      <c r="F1678" s="6" t="str">
        <f t="shared" si="2"/>
        <v>335623123</v>
      </c>
      <c r="G1678" s="16">
        <v>2.0</v>
      </c>
      <c r="H1678" s="17">
        <v>44647.0</v>
      </c>
      <c r="I1678" s="18" t="s">
        <v>1651</v>
      </c>
    </row>
    <row r="1679">
      <c r="A1679" s="5" t="str">
        <f t="array" ref="A1679">INDEX(event_table!$A$2:$A$69, RANDBETWEEN(1, COUNTA(event_table!$A$2:$A$69)))</f>
        <v>3166</v>
      </c>
      <c r="B1679" s="6">
        <f t="array" ref="B1679">IFERROR(INDEX(event_table!$E$1:$E3686,MATCH(A1679,event_table!$A$1:$A3686,0)),"")
</f>
        <v>1</v>
      </c>
      <c r="C1679" s="7">
        <f t="shared" si="1"/>
        <v>21</v>
      </c>
      <c r="D1679" s="6" t="str">
        <f t="array" ref="D1679">IFERROR(INDEX(user_table!$C$2:$C3686,MATCH(C1679,user_table!$B$2:$B3686,0)),"")
</f>
        <v>Budi Santoso</v>
      </c>
      <c r="E1679" s="6" t="str">
        <f t="array" ref="E1679">IFERROR(INDEX(user_table!$E$2:$E3686,MATCH(C1679,user_table!$B$2:$B3686,0)),"")
</f>
        <v>6, 1</v>
      </c>
      <c r="F1679" s="6" t="str">
        <f t="shared" si="2"/>
        <v>31662121</v>
      </c>
      <c r="G1679" s="16">
        <v>2.0</v>
      </c>
      <c r="H1679" s="17">
        <v>44460.0</v>
      </c>
      <c r="I1679" s="18" t="s">
        <v>1652</v>
      </c>
    </row>
    <row r="1680">
      <c r="A1680" s="5" t="str">
        <f t="array" ref="A1680">INDEX(event_table!$A$2:$A$69, RANDBETWEEN(1, COUNTA(event_table!$A$2:$A$69)))</f>
        <v>1423</v>
      </c>
      <c r="B1680" s="6">
        <f t="array" ref="B1680">IFERROR(INDEX(event_table!$E$1:$E3686,MATCH(A1680,event_table!$A$1:$A3686,0)),"")
</f>
        <v>4</v>
      </c>
      <c r="C1680" s="7">
        <f t="shared" si="1"/>
        <v>13</v>
      </c>
      <c r="D1680" s="6" t="str">
        <f t="array" ref="D1680">IFERROR(INDEX(user_table!$C$2:$C3686,MATCH(C1680,user_table!$B$2:$B3686,0)),"")
</f>
        <v>Hadi Kurniawan</v>
      </c>
      <c r="E1680" s="6" t="str">
        <f t="array" ref="E1680">IFERROR(INDEX(user_table!$E$2:$E3686,MATCH(C1680,user_table!$B$2:$B3686,0)),"")
</f>
        <v>4, 3</v>
      </c>
      <c r="F1680" s="6" t="str">
        <f t="shared" si="2"/>
        <v>14232413</v>
      </c>
      <c r="G1680" s="16">
        <v>2.0</v>
      </c>
      <c r="H1680" s="17">
        <v>44445.0</v>
      </c>
      <c r="I1680" s="18" t="s">
        <v>1653</v>
      </c>
    </row>
    <row r="1681">
      <c r="A1681" s="5" t="str">
        <f t="array" ref="A1681">INDEX(event_table!$A$2:$A$69, RANDBETWEEN(1, COUNTA(event_table!$A$2:$A$69)))</f>
        <v>1528</v>
      </c>
      <c r="B1681" s="6">
        <f t="array" ref="B1681">IFERROR(INDEX(event_table!$E$1:$E3686,MATCH(A1681,event_table!$A$1:$A3686,0)),"")
</f>
        <v>5</v>
      </c>
      <c r="C1681" s="7">
        <f t="shared" si="1"/>
        <v>93</v>
      </c>
      <c r="D1681" s="6" t="str">
        <f t="array" ref="D1681">IFERROR(INDEX(user_table!$C$2:$C3686,MATCH(C1681,user_table!$B$2:$B3686,0)),"")
</f>
        <v>Hadi Putri</v>
      </c>
      <c r="E1681" s="6" t="str">
        <f t="array" ref="E1681">IFERROR(INDEX(user_table!$E$2:$E3686,MATCH(C1681,user_table!$B$2:$B3686,0)),"")
</f>
        <v>5, 6</v>
      </c>
      <c r="F1681" s="6" t="str">
        <f t="shared" si="2"/>
        <v>15282593</v>
      </c>
      <c r="G1681" s="16">
        <v>2.0</v>
      </c>
      <c r="H1681" s="17">
        <v>44442.0</v>
      </c>
      <c r="I1681" s="18" t="s">
        <v>1654</v>
      </c>
    </row>
    <row r="1682">
      <c r="A1682" s="5" t="str">
        <f t="array" ref="A1682">INDEX(event_table!$A$2:$A$69, RANDBETWEEN(1, COUNTA(event_table!$A$2:$A$69)))</f>
        <v>1334</v>
      </c>
      <c r="B1682" s="6">
        <f t="array" ref="B1682">IFERROR(INDEX(event_table!$E$1:$E3686,MATCH(A1682,event_table!$A$1:$A3686,0)),"")
</f>
        <v>3</v>
      </c>
      <c r="C1682" s="7">
        <f t="shared" si="1"/>
        <v>72</v>
      </c>
      <c r="D1682" s="6" t="str">
        <f t="array" ref="D1682">IFERROR(INDEX(user_table!$C$2:$C3686,MATCH(C1682,user_table!$B$2:$B3686,0)),"")
</f>
        <v>Wahyu Kurniawan</v>
      </c>
      <c r="E1682" s="6" t="str">
        <f t="array" ref="E1682">IFERROR(INDEX(user_table!$E$2:$E3686,MATCH(C1682,user_table!$B$2:$B3686,0)),"")
</f>
        <v>5, 3</v>
      </c>
      <c r="F1682" s="6" t="str">
        <f t="shared" si="2"/>
        <v>13342372</v>
      </c>
      <c r="G1682" s="16">
        <v>2.0</v>
      </c>
      <c r="H1682" s="17">
        <v>44430.0</v>
      </c>
      <c r="I1682" s="18" t="s">
        <v>1655</v>
      </c>
    </row>
    <row r="1683">
      <c r="A1683" s="5" t="str">
        <f t="array" ref="A1683">INDEX(event_table!$A$2:$A$69, RANDBETWEEN(1, COUNTA(event_table!$A$2:$A$69)))</f>
        <v>1652</v>
      </c>
      <c r="B1683" s="6">
        <f t="array" ref="B1683">IFERROR(INDEX(event_table!$E$1:$E3686,MATCH(A1683,event_table!$A$1:$A3686,0)),"")
</f>
        <v>6</v>
      </c>
      <c r="C1683" s="7">
        <f t="shared" si="1"/>
        <v>147</v>
      </c>
      <c r="D1683" s="6" t="str">
        <f t="array" ref="D1683">IFERROR(INDEX(user_table!$C$2:$C3686,MATCH(C1683,user_table!$B$2:$B3686,0)),"")
</f>
        <v>Fajar Saputra</v>
      </c>
      <c r="E1683" s="6" t="str">
        <f t="array" ref="E1683">IFERROR(INDEX(user_table!$E$2:$E3686,MATCH(C1683,user_table!$B$2:$B3686,0)),"")
</f>
        <v>6, 2</v>
      </c>
      <c r="F1683" s="6" t="str">
        <f t="shared" si="2"/>
        <v>165226147</v>
      </c>
      <c r="G1683" s="16">
        <v>2.0</v>
      </c>
      <c r="H1683" s="17">
        <v>44405.0</v>
      </c>
      <c r="I1683" s="18" t="s">
        <v>1656</v>
      </c>
    </row>
    <row r="1684">
      <c r="A1684" s="5" t="str">
        <f t="array" ref="A1684">INDEX(event_table!$A$2:$A$69, RANDBETWEEN(1, COUNTA(event_table!$A$2:$A$69)))</f>
        <v>1421</v>
      </c>
      <c r="B1684" s="6">
        <f t="array" ref="B1684">IFERROR(INDEX(event_table!$E$1:$E3686,MATCH(A1684,event_table!$A$1:$A3686,0)),"")
</f>
        <v>4</v>
      </c>
      <c r="C1684" s="7">
        <f t="shared" si="1"/>
        <v>54</v>
      </c>
      <c r="D1684" s="6" t="str">
        <f t="array" ref="D1684">IFERROR(INDEX(user_table!$C$2:$C3686,MATCH(C1684,user_table!$B$2:$B3686,0)),"")
</f>
        <v>Andi Kurniawan</v>
      </c>
      <c r="E1684" s="6" t="str">
        <f t="array" ref="E1684">IFERROR(INDEX(user_table!$E$2:$E3686,MATCH(C1684,user_table!$B$2:$B3686,0)),"")
</f>
        <v>4, 4</v>
      </c>
      <c r="F1684" s="6" t="str">
        <f t="shared" si="2"/>
        <v>14212454</v>
      </c>
      <c r="G1684" s="16">
        <v>2.0</v>
      </c>
      <c r="H1684" s="17">
        <v>45166.0</v>
      </c>
      <c r="I1684" s="18" t="s">
        <v>1657</v>
      </c>
    </row>
    <row r="1685">
      <c r="A1685" s="5" t="str">
        <f t="array" ref="A1685">INDEX(event_table!$A$2:$A$69, RANDBETWEEN(1, COUNTA(event_table!$A$2:$A$69)))</f>
        <v>1526</v>
      </c>
      <c r="B1685" s="6">
        <f t="array" ref="B1685">IFERROR(INDEX(event_table!$E$1:$E3686,MATCH(A1685,event_table!$A$1:$A3686,0)),"")
</f>
        <v>5</v>
      </c>
      <c r="C1685" s="7">
        <f t="shared" si="1"/>
        <v>147</v>
      </c>
      <c r="D1685" s="6" t="str">
        <f t="array" ref="D1685">IFERROR(INDEX(user_table!$C$2:$C3686,MATCH(C1685,user_table!$B$2:$B3686,0)),"")
</f>
        <v>Fajar Saputra</v>
      </c>
      <c r="E1685" s="6" t="str">
        <f t="array" ref="E1685">IFERROR(INDEX(user_table!$E$2:$E3686,MATCH(C1685,user_table!$B$2:$B3686,0)),"")
</f>
        <v>6, 2</v>
      </c>
      <c r="F1685" s="6" t="str">
        <f t="shared" si="2"/>
        <v>152625147</v>
      </c>
      <c r="G1685" s="16">
        <v>2.0</v>
      </c>
      <c r="H1685" s="17">
        <v>45158.0</v>
      </c>
      <c r="I1685" s="18" t="s">
        <v>1658</v>
      </c>
    </row>
    <row r="1686">
      <c r="A1686" s="5" t="str">
        <f t="array" ref="A1686">INDEX(event_table!$A$2:$A$69, RANDBETWEEN(1, COUNTA(event_table!$A$2:$A$69)))</f>
        <v>1637</v>
      </c>
      <c r="B1686" s="6">
        <f t="array" ref="B1686">IFERROR(INDEX(event_table!$E$1:$E3686,MATCH(A1686,event_table!$A$1:$A3686,0)),"")
</f>
        <v>6</v>
      </c>
      <c r="C1686" s="7">
        <f t="shared" si="1"/>
        <v>76</v>
      </c>
      <c r="D1686" s="6" t="str">
        <f t="array" ref="D1686">IFERROR(INDEX(user_table!$C$2:$C3686,MATCH(C1686,user_table!$B$2:$B3686,0)),"")
</f>
        <v>Sinta Hidayat</v>
      </c>
      <c r="E1686" s="6" t="str">
        <f t="array" ref="E1686">IFERROR(INDEX(user_table!$E$2:$E3686,MATCH(C1686,user_table!$B$2:$B3686,0)),"")
</f>
        <v>3, 2</v>
      </c>
      <c r="F1686" s="6" t="str">
        <f t="shared" si="2"/>
        <v>16372676</v>
      </c>
      <c r="G1686" s="16">
        <v>2.0</v>
      </c>
      <c r="H1686" s="17">
        <v>45111.0</v>
      </c>
      <c r="I1686" s="18" t="s">
        <v>1659</v>
      </c>
    </row>
    <row r="1687">
      <c r="A1687" s="5" t="str">
        <f t="array" ref="A1687">INDEX(event_table!$A$2:$A$69, RANDBETWEEN(1, COUNTA(event_table!$A$2:$A$69)))</f>
        <v>1420</v>
      </c>
      <c r="B1687" s="6">
        <f t="array" ref="B1687">IFERROR(INDEX(event_table!$E$1:$E3686,MATCH(A1687,event_table!$A$1:$A3686,0)),"")
</f>
        <v>4</v>
      </c>
      <c r="C1687" s="7">
        <f t="shared" si="1"/>
        <v>111</v>
      </c>
      <c r="D1687" s="6" t="str">
        <f t="array" ref="D1687">IFERROR(INDEX(user_table!$C$2:$C3686,MATCH(C1687,user_table!$B$2:$B3686,0)),"")
</f>
        <v>Hadi Kurniawan</v>
      </c>
      <c r="E1687" s="6" t="str">
        <f t="array" ref="E1687">IFERROR(INDEX(user_table!$E$2:$E3686,MATCH(C1687,user_table!$B$2:$B3686,0)),"")
</f>
        <v>3, 4</v>
      </c>
      <c r="F1687" s="6" t="str">
        <f t="shared" si="2"/>
        <v>142014111</v>
      </c>
      <c r="G1687" s="16">
        <v>1.0</v>
      </c>
      <c r="H1687" s="17">
        <v>45202.0</v>
      </c>
      <c r="I1687" s="18" t="s">
        <v>1660</v>
      </c>
    </row>
    <row r="1688">
      <c r="A1688" s="5" t="str">
        <f t="array" ref="A1688">INDEX(event_table!$A$2:$A$69, RANDBETWEEN(1, COUNTA(event_table!$A$2:$A$69)))</f>
        <v>1425</v>
      </c>
      <c r="B1688" s="6">
        <f t="array" ref="B1688">IFERROR(INDEX(event_table!$E$1:$E3686,MATCH(A1688,event_table!$A$1:$A3686,0)),"")
</f>
        <v>4</v>
      </c>
      <c r="C1688" s="7">
        <f t="shared" si="1"/>
        <v>93</v>
      </c>
      <c r="D1688" s="6" t="str">
        <f t="array" ref="D1688">IFERROR(INDEX(user_table!$C$2:$C3686,MATCH(C1688,user_table!$B$2:$B3686,0)),"")
</f>
        <v>Hadi Putri</v>
      </c>
      <c r="E1688" s="6" t="str">
        <f t="array" ref="E1688">IFERROR(INDEX(user_table!$E$2:$E3686,MATCH(C1688,user_table!$B$2:$B3686,0)),"")
</f>
        <v>5, 6</v>
      </c>
      <c r="F1688" s="6" t="str">
        <f t="shared" si="2"/>
        <v>14251493</v>
      </c>
      <c r="G1688" s="16">
        <v>1.0</v>
      </c>
      <c r="H1688" s="17">
        <v>45203.0</v>
      </c>
      <c r="I1688" s="18" t="s">
        <v>1661</v>
      </c>
    </row>
    <row r="1689">
      <c r="A1689" s="5" t="str">
        <f t="array" ref="A1689">INDEX(event_table!$A$2:$A$69, RANDBETWEEN(1, COUNTA(event_table!$A$2:$A$69)))</f>
        <v>1422</v>
      </c>
      <c r="B1689" s="6">
        <f t="array" ref="B1689">IFERROR(INDEX(event_table!$E$1:$E3686,MATCH(A1689,event_table!$A$1:$A3686,0)),"")
</f>
        <v>4</v>
      </c>
      <c r="C1689" s="7">
        <f t="shared" si="1"/>
        <v>13</v>
      </c>
      <c r="D1689" s="6" t="str">
        <f t="array" ref="D1689">IFERROR(INDEX(user_table!$C$2:$C3686,MATCH(C1689,user_table!$B$2:$B3686,0)),"")
</f>
        <v>Hadi Kurniawan</v>
      </c>
      <c r="E1689" s="6" t="str">
        <f t="array" ref="E1689">IFERROR(INDEX(user_table!$E$2:$E3686,MATCH(C1689,user_table!$B$2:$B3686,0)),"")
</f>
        <v>4, 3</v>
      </c>
      <c r="F1689" s="6" t="str">
        <f t="shared" si="2"/>
        <v>14221413</v>
      </c>
      <c r="G1689" s="16">
        <v>1.0</v>
      </c>
      <c r="H1689" s="17">
        <v>45120.0</v>
      </c>
      <c r="I1689" s="18" t="s">
        <v>1662</v>
      </c>
    </row>
    <row r="1690">
      <c r="A1690" s="5" t="str">
        <f t="array" ref="A1690">INDEX(event_table!$A$2:$A$69, RANDBETWEEN(1, COUNTA(event_table!$A$2:$A$69)))</f>
        <v>1652</v>
      </c>
      <c r="B1690" s="6">
        <f t="array" ref="B1690">IFERROR(INDEX(event_table!$E$1:$E3686,MATCH(A1690,event_table!$A$1:$A3686,0)),"")
</f>
        <v>6</v>
      </c>
      <c r="C1690" s="7">
        <f t="shared" si="1"/>
        <v>116</v>
      </c>
      <c r="D1690" s="6" t="str">
        <f t="array" ref="D1690">IFERROR(INDEX(user_table!$C$2:$C3686,MATCH(C1690,user_table!$B$2:$B3686,0)),"")
</f>
        <v>Fandi Hartono</v>
      </c>
      <c r="E1690" s="6" t="str">
        <f t="array" ref="E1690">IFERROR(INDEX(user_table!$E$2:$E3686,MATCH(C1690,user_table!$B$2:$B3686,0)),"")
</f>
        <v>2, 1</v>
      </c>
      <c r="F1690" s="6" t="str">
        <f t="shared" si="2"/>
        <v>165216116</v>
      </c>
      <c r="G1690" s="16">
        <v>1.0</v>
      </c>
      <c r="H1690" s="17">
        <v>45229.0</v>
      </c>
      <c r="I1690" s="18" t="s">
        <v>1663</v>
      </c>
    </row>
    <row r="1691">
      <c r="A1691" s="5" t="str">
        <f t="array" ref="A1691">INDEX(event_table!$A$2:$A$69, RANDBETWEEN(1, COUNTA(event_table!$A$2:$A$69)))</f>
        <v>1641</v>
      </c>
      <c r="B1691" s="6">
        <f t="array" ref="B1691">IFERROR(INDEX(event_table!$E$1:$E3686,MATCH(A1691,event_table!$A$1:$A3686,0)),"")
</f>
        <v>6</v>
      </c>
      <c r="C1691" s="7">
        <f t="shared" si="1"/>
        <v>193</v>
      </c>
      <c r="D1691" s="6" t="str">
        <f t="array" ref="D1691">IFERROR(INDEX(user_table!$C$2:$C3686,MATCH(C1691,user_table!$B$2:$B3686,0)),"")
</f>
        <v>Dina Wijaya</v>
      </c>
      <c r="E1691" s="6" t="str">
        <f t="array" ref="E1691">IFERROR(INDEX(user_table!$E$2:$E3686,MATCH(C1691,user_table!$B$2:$B3686,0)),"")
</f>
        <v>4, 5</v>
      </c>
      <c r="F1691" s="6" t="str">
        <f t="shared" si="2"/>
        <v>164116193</v>
      </c>
      <c r="G1691" s="16">
        <v>1.0</v>
      </c>
      <c r="H1691" s="17">
        <v>45231.0</v>
      </c>
      <c r="I1691" s="18" t="s">
        <v>1664</v>
      </c>
    </row>
    <row r="1692">
      <c r="A1692" s="5" t="str">
        <f t="array" ref="A1692">INDEX(event_table!$A$2:$A$69, RANDBETWEEN(1, COUNTA(event_table!$A$2:$A$69)))</f>
        <v>1526</v>
      </c>
      <c r="B1692" s="6">
        <f t="array" ref="B1692">IFERROR(INDEX(event_table!$E$1:$E3686,MATCH(A1692,event_table!$A$1:$A3686,0)),"")
</f>
        <v>5</v>
      </c>
      <c r="C1692" s="7">
        <f t="shared" si="1"/>
        <v>149</v>
      </c>
      <c r="D1692" s="6" t="str">
        <f t="array" ref="D1692">IFERROR(INDEX(user_table!$C$2:$C3686,MATCH(C1692,user_table!$B$2:$B3686,0)),"")
</f>
        <v>Dian Setiawan</v>
      </c>
      <c r="E1692" s="6" t="str">
        <f t="array" ref="E1692">IFERROR(INDEX(user_table!$E$2:$E3686,MATCH(C1692,user_table!$B$2:$B3686,0)),"")
</f>
        <v>2, 4</v>
      </c>
      <c r="F1692" s="6" t="str">
        <f t="shared" si="2"/>
        <v>152615149</v>
      </c>
      <c r="G1692" s="16">
        <v>1.0</v>
      </c>
      <c r="H1692" s="17">
        <v>45189.0</v>
      </c>
      <c r="I1692" s="18" t="s">
        <v>1665</v>
      </c>
    </row>
    <row r="1693">
      <c r="A1693" s="5" t="str">
        <f t="array" ref="A1693">INDEX(event_table!$A$2:$A$69, RANDBETWEEN(1, COUNTA(event_table!$A$2:$A$69)))</f>
        <v>3659</v>
      </c>
      <c r="B1693" s="6">
        <f t="array" ref="B1693">IFERROR(INDEX(event_table!$E$1:$E3686,MATCH(A1693,event_table!$A$1:$A3686,0)),"")
</f>
        <v>6</v>
      </c>
      <c r="C1693" s="7">
        <f t="shared" si="1"/>
        <v>155</v>
      </c>
      <c r="D1693" s="6" t="str">
        <f t="array" ref="D1693">IFERROR(INDEX(user_table!$C$2:$C3686,MATCH(C1693,user_table!$B$2:$B3686,0)),"")
</f>
        <v>Sinta Saputra</v>
      </c>
      <c r="E1693" s="6" t="str">
        <f t="array" ref="E1693">IFERROR(INDEX(user_table!$E$2:$E3686,MATCH(C1693,user_table!$B$2:$B3686,0)),"")
</f>
        <v>5, 2</v>
      </c>
      <c r="F1693" s="6" t="str">
        <f t="shared" si="2"/>
        <v>365916155</v>
      </c>
      <c r="G1693" s="16">
        <v>1.0</v>
      </c>
      <c r="H1693" s="17">
        <v>45145.0</v>
      </c>
      <c r="I1693" s="18" t="s">
        <v>1666</v>
      </c>
    </row>
    <row r="1694">
      <c r="A1694" s="5" t="str">
        <f t="array" ref="A1694">INDEX(event_table!$A$2:$A$69, RANDBETWEEN(1, COUNTA(event_table!$A$2:$A$69)))</f>
        <v>1650</v>
      </c>
      <c r="B1694" s="6">
        <f t="array" ref="B1694">IFERROR(INDEX(event_table!$E$1:$E3686,MATCH(A1694,event_table!$A$1:$A3686,0)),"")
</f>
        <v>6</v>
      </c>
      <c r="C1694" s="7">
        <f t="shared" si="1"/>
        <v>138</v>
      </c>
      <c r="D1694" s="6" t="str">
        <f t="array" ref="D1694">IFERROR(INDEX(user_table!$C$2:$C3686,MATCH(C1694,user_table!$B$2:$B3686,0)),"")
</f>
        <v>Joko Hermawan</v>
      </c>
      <c r="E1694" s="6" t="str">
        <f t="array" ref="E1694">IFERROR(INDEX(user_table!$E$2:$E3686,MATCH(C1694,user_table!$B$2:$B3686,0)),"")
</f>
        <v>4, 1</v>
      </c>
      <c r="F1694" s="6" t="str">
        <f t="shared" si="2"/>
        <v>165016138</v>
      </c>
      <c r="G1694" s="16">
        <v>1.0</v>
      </c>
      <c r="H1694" s="17">
        <v>45143.0</v>
      </c>
      <c r="I1694" s="18" t="s">
        <v>1667</v>
      </c>
    </row>
    <row r="1695">
      <c r="A1695" s="5" t="str">
        <f t="array" ref="A1695">INDEX(event_table!$A$2:$A$69, RANDBETWEEN(1, COUNTA(event_table!$A$2:$A$69)))</f>
        <v>1636</v>
      </c>
      <c r="B1695" s="6">
        <f t="array" ref="B1695">IFERROR(INDEX(event_table!$E$1:$E3686,MATCH(A1695,event_table!$A$1:$A3686,0)),"")
</f>
        <v>6</v>
      </c>
      <c r="C1695" s="7">
        <f t="shared" si="1"/>
        <v>131</v>
      </c>
      <c r="D1695" s="6" t="str">
        <f t="array" ref="D1695">IFERROR(INDEX(user_table!$C$2:$C3686,MATCH(C1695,user_table!$B$2:$B3686,0)),"")
</f>
        <v>Dian Purnama</v>
      </c>
      <c r="E1695" s="6" t="str">
        <f t="array" ref="E1695">IFERROR(INDEX(user_table!$E$2:$E3686,MATCH(C1695,user_table!$B$2:$B3686,0)),"")
</f>
        <v>3, 5</v>
      </c>
      <c r="F1695" s="6" t="str">
        <f t="shared" si="2"/>
        <v>163616131</v>
      </c>
      <c r="G1695" s="16">
        <v>1.0</v>
      </c>
      <c r="H1695" s="17">
        <v>45143.0</v>
      </c>
      <c r="I1695" s="18" t="s">
        <v>1668</v>
      </c>
    </row>
    <row r="1696">
      <c r="A1696" s="5" t="str">
        <f t="array" ref="A1696">INDEX(event_table!$A$2:$A$69, RANDBETWEEN(1, COUNTA(event_table!$A$2:$A$69)))</f>
        <v>1421</v>
      </c>
      <c r="B1696" s="6">
        <f t="array" ref="B1696">IFERROR(INDEX(event_table!$E$1:$E3686,MATCH(A1696,event_table!$A$1:$A3686,0)),"")
</f>
        <v>4</v>
      </c>
      <c r="C1696" s="7">
        <f t="shared" si="1"/>
        <v>41</v>
      </c>
      <c r="D1696" s="6" t="str">
        <f t="array" ref="D1696">IFERROR(INDEX(user_table!$C$2:$C3686,MATCH(C1696,user_table!$B$2:$B3686,0)),"")
</f>
        <v>Wahyu Susanto</v>
      </c>
      <c r="E1696" s="6" t="str">
        <f t="array" ref="E1696">IFERROR(INDEX(user_table!$E$2:$E3686,MATCH(C1696,user_table!$B$2:$B3686,0)),"")
</f>
        <v>5, 4</v>
      </c>
      <c r="F1696" s="6" t="str">
        <f t="shared" si="2"/>
        <v>14211441</v>
      </c>
      <c r="G1696" s="16">
        <v>1.0</v>
      </c>
      <c r="H1696" s="17">
        <v>45069.0</v>
      </c>
      <c r="I1696" s="18" t="s">
        <v>1669</v>
      </c>
    </row>
    <row r="1697">
      <c r="A1697" s="5" t="str">
        <f t="array" ref="A1697">INDEX(event_table!$A$2:$A$69, RANDBETWEEN(1, COUNTA(event_table!$A$2:$A$69)))</f>
        <v>1637</v>
      </c>
      <c r="B1697" s="6">
        <f t="array" ref="B1697">IFERROR(INDEX(event_table!$E$1:$E3686,MATCH(A1697,event_table!$A$1:$A3686,0)),"")
</f>
        <v>6</v>
      </c>
      <c r="C1697" s="7">
        <f t="shared" si="1"/>
        <v>33</v>
      </c>
      <c r="D1697" s="6" t="str">
        <f t="array" ref="D1697">IFERROR(INDEX(user_table!$C$2:$C3686,MATCH(C1697,user_table!$B$2:$B3686,0)),"")
</f>
        <v>Dewi Wijaya</v>
      </c>
      <c r="E1697" s="6" t="str">
        <f t="array" ref="E1697">IFERROR(INDEX(user_table!$E$2:$E3686,MATCH(C1697,user_table!$B$2:$B3686,0)),"")
</f>
        <v>4, 2</v>
      </c>
      <c r="F1697" s="6" t="str">
        <f t="shared" si="2"/>
        <v>16371633</v>
      </c>
      <c r="G1697" s="16">
        <v>1.0</v>
      </c>
      <c r="H1697" s="17">
        <v>45046.0</v>
      </c>
      <c r="I1697" s="18" t="s">
        <v>1670</v>
      </c>
    </row>
    <row r="1698">
      <c r="A1698" s="5" t="str">
        <f t="array" ref="A1698">INDEX(event_table!$A$2:$A$69, RANDBETWEEN(1, COUNTA(event_table!$A$2:$A$69)))</f>
        <v>1422</v>
      </c>
      <c r="B1698" s="6">
        <f t="array" ref="B1698">IFERROR(INDEX(event_table!$E$1:$E3686,MATCH(A1698,event_table!$A$1:$A3686,0)),"")
</f>
        <v>4</v>
      </c>
      <c r="C1698" s="7">
        <f t="shared" si="1"/>
        <v>40</v>
      </c>
      <c r="D1698" s="6" t="str">
        <f t="array" ref="D1698">IFERROR(INDEX(user_table!$C$2:$C3686,MATCH(C1698,user_table!$B$2:$B3686,0)),"")
</f>
        <v>Joko Sari</v>
      </c>
      <c r="E1698" s="6" t="str">
        <f t="array" ref="E1698">IFERROR(INDEX(user_table!$E$2:$E3686,MATCH(C1698,user_table!$B$2:$B3686,0)),"")
</f>
        <v>5, 6</v>
      </c>
      <c r="F1698" s="6" t="str">
        <f t="shared" si="2"/>
        <v>14225440</v>
      </c>
      <c r="G1698" s="16">
        <v>5.0</v>
      </c>
      <c r="H1698" s="17">
        <v>44713.0</v>
      </c>
      <c r="I1698" s="18" t="s">
        <v>1671</v>
      </c>
    </row>
    <row r="1699">
      <c r="A1699" s="5" t="str">
        <f t="array" ref="A1699">INDEX(event_table!$A$2:$A$69, RANDBETWEEN(1, COUNTA(event_table!$A$2:$A$69)))</f>
        <v>111</v>
      </c>
      <c r="B1699" s="6">
        <f t="array" ref="B1699">IFERROR(INDEX(event_table!$E$1:$E3686,MATCH(A1699,event_table!$A$1:$A3686,0)),"")
</f>
        <v>1</v>
      </c>
      <c r="C1699" s="7">
        <f t="shared" si="1"/>
        <v>5</v>
      </c>
      <c r="D1699" s="6" t="str">
        <f t="array" ref="D1699">IFERROR(INDEX(user_table!$C$2:$C3686,MATCH(C1699,user_table!$B$2:$B3686,0)),"")
</f>
        <v>Hadi Nurhayati</v>
      </c>
      <c r="E1699" s="6" t="str">
        <f t="array" ref="E1699">IFERROR(INDEX(user_table!$E$2:$E3686,MATCH(C1699,user_table!$B$2:$B3686,0)),"")
</f>
        <v>1, 5</v>
      </c>
      <c r="F1699" s="6" t="str">
        <f t="shared" si="2"/>
        <v>111515</v>
      </c>
      <c r="G1699" s="16">
        <v>5.0</v>
      </c>
      <c r="H1699" s="17">
        <v>44711.0</v>
      </c>
      <c r="I1699" s="18" t="s">
        <v>1672</v>
      </c>
    </row>
    <row r="1700">
      <c r="A1700" s="5" t="str">
        <f t="array" ref="A1700">INDEX(event_table!$A$2:$A$69, RANDBETWEEN(1, COUNTA(event_table!$A$2:$A$69)))</f>
        <v>3657</v>
      </c>
      <c r="B1700" s="6">
        <f t="array" ref="B1700">IFERROR(INDEX(event_table!$E$1:$E3686,MATCH(A1700,event_table!$A$1:$A3686,0)),"")
</f>
        <v>6</v>
      </c>
      <c r="C1700" s="7">
        <f t="shared" si="1"/>
        <v>123</v>
      </c>
      <c r="D1700" s="6" t="str">
        <f t="array" ref="D1700">IFERROR(INDEX(user_table!$C$2:$C3686,MATCH(C1700,user_table!$B$2:$B3686,0)),"")
</f>
        <v>Lina Hartono</v>
      </c>
      <c r="E1700" s="6" t="str">
        <f t="array" ref="E1700">IFERROR(INDEX(user_table!$E$2:$E3686,MATCH(C1700,user_table!$B$2:$B3686,0)),"")
</f>
        <v>6, 5</v>
      </c>
      <c r="F1700" s="6" t="str">
        <f t="shared" si="2"/>
        <v>365756123</v>
      </c>
      <c r="G1700" s="16">
        <v>5.0</v>
      </c>
      <c r="H1700" s="17">
        <v>44708.0</v>
      </c>
      <c r="I1700" s="18" t="s">
        <v>1673</v>
      </c>
    </row>
    <row r="1701">
      <c r="A1701" s="5" t="str">
        <f t="array" ref="A1701">INDEX(event_table!$A$2:$A$69, RANDBETWEEN(1, COUNTA(event_table!$A$2:$A$69)))</f>
        <v>114</v>
      </c>
      <c r="B1701" s="6">
        <f t="array" ref="B1701">IFERROR(INDEX(event_table!$E$1:$E3686,MATCH(A1701,event_table!$A$1:$A3686,0)),"")
</f>
        <v>1</v>
      </c>
      <c r="C1701" s="7">
        <f t="shared" si="1"/>
        <v>151</v>
      </c>
      <c r="D1701" s="6" t="str">
        <f t="array" ref="D1701">IFERROR(INDEX(user_table!$C$2:$C3686,MATCH(C1701,user_table!$B$2:$B3686,0)),"")
</f>
        <v>Maya Hidayat</v>
      </c>
      <c r="E1701" s="6" t="str">
        <f t="array" ref="E1701">IFERROR(INDEX(user_table!$E$2:$E3686,MATCH(C1701,user_table!$B$2:$B3686,0)),"")
</f>
        <v>2, 3</v>
      </c>
      <c r="F1701" s="6" t="str">
        <f t="shared" si="2"/>
        <v>11451151</v>
      </c>
      <c r="G1701" s="16">
        <v>5.0</v>
      </c>
      <c r="H1701" s="17">
        <v>44694.0</v>
      </c>
      <c r="I1701" s="18" t="s">
        <v>1674</v>
      </c>
    </row>
    <row r="1702">
      <c r="A1702" s="5" t="str">
        <f t="array" ref="A1702">INDEX(event_table!$A$2:$A$69, RANDBETWEEN(1, COUNTA(event_table!$A$2:$A$69)))</f>
        <v>1424</v>
      </c>
      <c r="B1702" s="6">
        <f t="array" ref="B1702">IFERROR(INDEX(event_table!$E$1:$E3686,MATCH(A1702,event_table!$A$1:$A3686,0)),"")
</f>
        <v>4</v>
      </c>
      <c r="C1702" s="7">
        <f t="shared" si="1"/>
        <v>139</v>
      </c>
      <c r="D1702" s="6" t="str">
        <f t="array" ref="D1702">IFERROR(INDEX(user_table!$C$2:$C3686,MATCH(C1702,user_table!$B$2:$B3686,0)),"")
</f>
        <v>Sinta Kurniawan</v>
      </c>
      <c r="E1702" s="6" t="str">
        <f t="array" ref="E1702">IFERROR(INDEX(user_table!$E$2:$E3686,MATCH(C1702,user_table!$B$2:$B3686,0)),"")
</f>
        <v>4, 6</v>
      </c>
      <c r="F1702" s="6" t="str">
        <f t="shared" si="2"/>
        <v>142454139</v>
      </c>
      <c r="G1702" s="16">
        <v>5.0</v>
      </c>
      <c r="H1702" s="17">
        <v>44693.0</v>
      </c>
      <c r="I1702" s="18" t="s">
        <v>1675</v>
      </c>
    </row>
    <row r="1703">
      <c r="A1703" s="5" t="str">
        <f t="array" ref="A1703">INDEX(event_table!$A$2:$A$69, RANDBETWEEN(1, COUNTA(event_table!$A$2:$A$69)))</f>
        <v>1421</v>
      </c>
      <c r="B1703" s="6">
        <f t="array" ref="B1703">IFERROR(INDEX(event_table!$E$1:$E3686,MATCH(A1703,event_table!$A$1:$A3686,0)),"")
</f>
        <v>4</v>
      </c>
      <c r="C1703" s="7">
        <f t="shared" si="1"/>
        <v>175</v>
      </c>
      <c r="D1703" s="6" t="str">
        <f t="array" ref="D1703">IFERROR(INDEX(user_table!$C$2:$C3686,MATCH(C1703,user_table!$B$2:$B3686,0)),"")
</f>
        <v>Siti Septiani</v>
      </c>
      <c r="E1703" s="6" t="str">
        <f t="array" ref="E1703">IFERROR(INDEX(user_table!$E$2:$E3686,MATCH(C1703,user_table!$B$2:$B3686,0)),"")
</f>
        <v>2, 5</v>
      </c>
      <c r="F1703" s="6" t="str">
        <f t="shared" si="2"/>
        <v>142154175</v>
      </c>
      <c r="G1703" s="16">
        <v>5.0</v>
      </c>
      <c r="H1703" s="17">
        <v>44684.0</v>
      </c>
      <c r="I1703" s="18" t="s">
        <v>1676</v>
      </c>
    </row>
    <row r="1704">
      <c r="A1704" s="5" t="str">
        <f t="array" ref="A1704">INDEX(event_table!$A$2:$A$69, RANDBETWEEN(1, COUNTA(event_table!$A$2:$A$69)))</f>
        <v>3165</v>
      </c>
      <c r="B1704" s="6">
        <f t="array" ref="B1704">IFERROR(INDEX(event_table!$E$1:$E3686,MATCH(A1704,event_table!$A$1:$A3686,0)),"")
</f>
        <v>1</v>
      </c>
      <c r="C1704" s="7">
        <f t="shared" si="1"/>
        <v>50</v>
      </c>
      <c r="D1704" s="6" t="str">
        <f t="array" ref="D1704">IFERROR(INDEX(user_table!$C$2:$C3686,MATCH(C1704,user_table!$B$2:$B3686,0)),"")
</f>
        <v>Hadi Santoso</v>
      </c>
      <c r="E1704" s="6" t="str">
        <f t="array" ref="E1704">IFERROR(INDEX(user_table!$E$2:$E3686,MATCH(C1704,user_table!$B$2:$B3686,0)),"")
</f>
        <v>5, 4</v>
      </c>
      <c r="F1704" s="6" t="str">
        <f t="shared" si="2"/>
        <v>31655150</v>
      </c>
      <c r="G1704" s="16">
        <v>5.0</v>
      </c>
      <c r="H1704" s="17">
        <v>45137.0</v>
      </c>
      <c r="I1704" s="18" t="s">
        <v>1677</v>
      </c>
    </row>
    <row r="1705">
      <c r="A1705" s="5" t="str">
        <f t="array" ref="A1705">INDEX(event_table!$A$2:$A$69, RANDBETWEEN(1, COUNTA(event_table!$A$2:$A$69)))</f>
        <v>1424</v>
      </c>
      <c r="B1705" s="6">
        <f t="array" ref="B1705">IFERROR(INDEX(event_table!$E$1:$E3686,MATCH(A1705,event_table!$A$1:$A3686,0)),"")
</f>
        <v>4</v>
      </c>
      <c r="C1705" s="7">
        <f t="shared" si="1"/>
        <v>21</v>
      </c>
      <c r="D1705" s="6" t="str">
        <f t="array" ref="D1705">IFERROR(INDEX(user_table!$C$2:$C3686,MATCH(C1705,user_table!$B$2:$B3686,0)),"")
</f>
        <v>Budi Santoso</v>
      </c>
      <c r="E1705" s="6" t="str">
        <f t="array" ref="E1705">IFERROR(INDEX(user_table!$E$2:$E3686,MATCH(C1705,user_table!$B$2:$B3686,0)),"")
</f>
        <v>6, 1</v>
      </c>
      <c r="F1705" s="6" t="str">
        <f t="shared" si="2"/>
        <v>14245421</v>
      </c>
      <c r="G1705" s="16">
        <v>5.0</v>
      </c>
      <c r="H1705" s="17">
        <v>45131.0</v>
      </c>
      <c r="I1705" s="18" t="s">
        <v>1678</v>
      </c>
    </row>
    <row r="1706">
      <c r="A1706" s="5" t="str">
        <f t="array" ref="A1706">INDEX(event_table!$A$2:$A$69, RANDBETWEEN(1, COUNTA(event_table!$A$2:$A$69)))</f>
        <v>1427</v>
      </c>
      <c r="B1706" s="6">
        <f t="array" ref="B1706">IFERROR(INDEX(event_table!$E$1:$E3686,MATCH(A1706,event_table!$A$1:$A3686,0)),"")
</f>
        <v>4</v>
      </c>
      <c r="C1706" s="7">
        <f t="shared" si="1"/>
        <v>86</v>
      </c>
      <c r="D1706" s="6" t="str">
        <f t="array" ref="D1706">IFERROR(INDEX(user_table!$C$2:$C3686,MATCH(C1706,user_table!$B$2:$B3686,0)),"")
</f>
        <v>Lina Santoso</v>
      </c>
      <c r="E1706" s="6" t="str">
        <f t="array" ref="E1706">IFERROR(INDEX(user_table!$E$2:$E3686,MATCH(C1706,user_table!$B$2:$B3686,0)),"")
</f>
        <v>4, 3</v>
      </c>
      <c r="F1706" s="6" t="str">
        <f t="shared" si="2"/>
        <v>14275486</v>
      </c>
      <c r="G1706" s="16">
        <v>5.0</v>
      </c>
      <c r="H1706" s="17">
        <v>45089.0</v>
      </c>
      <c r="I1706" s="18" t="s">
        <v>1679</v>
      </c>
    </row>
    <row r="1707">
      <c r="A1707" s="5" t="str">
        <f t="array" ref="A1707">INDEX(event_table!$A$2:$A$69, RANDBETWEEN(1, COUNTA(event_table!$A$2:$A$69)))</f>
        <v>1423</v>
      </c>
      <c r="B1707" s="6">
        <f t="array" ref="B1707">IFERROR(INDEX(event_table!$E$1:$E3686,MATCH(A1707,event_table!$A$1:$A3686,0)),"")
</f>
        <v>4</v>
      </c>
      <c r="C1707" s="7">
        <f t="shared" si="1"/>
        <v>10</v>
      </c>
      <c r="D1707" s="6" t="str">
        <f t="array" ref="D1707">IFERROR(INDEX(user_table!$C$2:$C3686,MATCH(C1707,user_table!$B$2:$B3686,0)),"")
</f>
        <v>Dina Susanto</v>
      </c>
      <c r="E1707" s="6" t="str">
        <f t="array" ref="E1707">IFERROR(INDEX(user_table!$E$2:$E3686,MATCH(C1707,user_table!$B$2:$B3686,0)),"")
</f>
        <v>4, 5</v>
      </c>
      <c r="F1707" s="6" t="str">
        <f t="shared" si="2"/>
        <v>14235410</v>
      </c>
      <c r="G1707" s="16">
        <v>5.0</v>
      </c>
      <c r="H1707" s="17">
        <v>44946.0</v>
      </c>
      <c r="I1707" s="18" t="s">
        <v>1680</v>
      </c>
    </row>
    <row r="1708">
      <c r="A1708" s="5" t="str">
        <f t="array" ref="A1708">INDEX(event_table!$A$2:$A$69, RANDBETWEEN(1, COUNTA(event_table!$A$2:$A$69)))</f>
        <v>3165</v>
      </c>
      <c r="B1708" s="6">
        <f t="array" ref="B1708">IFERROR(INDEX(event_table!$E$1:$E3686,MATCH(A1708,event_table!$A$1:$A3686,0)),"")
</f>
        <v>1</v>
      </c>
      <c r="C1708" s="7">
        <f t="shared" si="1"/>
        <v>42</v>
      </c>
      <c r="D1708" s="6" t="str">
        <f t="array" ref="D1708">IFERROR(INDEX(user_table!$C$2:$C3686,MATCH(C1708,user_table!$B$2:$B3686,0)),"")
</f>
        <v>Desi Putri</v>
      </c>
      <c r="E1708" s="6" t="str">
        <f t="array" ref="E1708">IFERROR(INDEX(user_table!$E$2:$E3686,MATCH(C1708,user_table!$B$2:$B3686,0)),"")
</f>
        <v>4, 6</v>
      </c>
      <c r="F1708" s="6" t="str">
        <f t="shared" si="2"/>
        <v>31655142</v>
      </c>
      <c r="G1708" s="16">
        <v>5.0</v>
      </c>
      <c r="H1708" s="17">
        <v>44770.0</v>
      </c>
      <c r="I1708" s="18" t="s">
        <v>1681</v>
      </c>
    </row>
    <row r="1709">
      <c r="A1709" s="5" t="str">
        <f t="array" ref="A1709">INDEX(event_table!$A$2:$A$69, RANDBETWEEN(1, COUNTA(event_table!$A$2:$A$69)))</f>
        <v>1418</v>
      </c>
      <c r="B1709" s="6">
        <f t="array" ref="B1709">IFERROR(INDEX(event_table!$E$1:$E3686,MATCH(A1709,event_table!$A$1:$A3686,0)),"")
</f>
        <v>4</v>
      </c>
      <c r="C1709" s="7">
        <f t="shared" si="1"/>
        <v>8</v>
      </c>
      <c r="D1709" s="6" t="str">
        <f t="array" ref="D1709">IFERROR(INDEX(user_table!$C$2:$C3686,MATCH(C1709,user_table!$B$2:$B3686,0)),"")
</f>
        <v>Bambang Kurniawan</v>
      </c>
      <c r="E1709" s="6" t="str">
        <f t="array" ref="E1709">IFERROR(INDEX(user_table!$E$2:$E3686,MATCH(C1709,user_table!$B$2:$B3686,0)),"")
</f>
        <v>2, 1</v>
      </c>
      <c r="F1709" s="6" t="str">
        <f t="shared" si="2"/>
        <v>1418548</v>
      </c>
      <c r="G1709" s="16">
        <v>5.0</v>
      </c>
      <c r="H1709" s="17">
        <v>44751.0</v>
      </c>
      <c r="I1709" s="18" t="s">
        <v>1682</v>
      </c>
    </row>
    <row r="1710">
      <c r="A1710" s="5" t="str">
        <f t="array" ref="A1710">INDEX(event_table!$A$2:$A$69, RANDBETWEEN(1, COUNTA(event_table!$A$2:$A$69)))</f>
        <v>1334</v>
      </c>
      <c r="B1710" s="6">
        <f t="array" ref="B1710">IFERROR(INDEX(event_table!$E$1:$E3686,MATCH(A1710,event_table!$A$1:$A3686,0)),"")
</f>
        <v>3</v>
      </c>
      <c r="C1710" s="7">
        <f t="shared" si="1"/>
        <v>5</v>
      </c>
      <c r="D1710" s="6" t="str">
        <f t="array" ref="D1710">IFERROR(INDEX(user_table!$C$2:$C3686,MATCH(C1710,user_table!$B$2:$B3686,0)),"")
</f>
        <v>Hadi Nurhayati</v>
      </c>
      <c r="E1710" s="6" t="str">
        <f t="array" ref="E1710">IFERROR(INDEX(user_table!$E$2:$E3686,MATCH(C1710,user_table!$B$2:$B3686,0)),"")
</f>
        <v>1, 5</v>
      </c>
      <c r="F1710" s="6" t="str">
        <f t="shared" si="2"/>
        <v>1334535</v>
      </c>
      <c r="G1710" s="16">
        <v>5.0</v>
      </c>
      <c r="H1710" s="17">
        <v>44701.0</v>
      </c>
      <c r="I1710" s="18" t="s">
        <v>1683</v>
      </c>
    </row>
    <row r="1711">
      <c r="A1711" s="5" t="str">
        <f t="array" ref="A1711">INDEX(event_table!$A$2:$A$69, RANDBETWEEN(1, COUNTA(event_table!$A$2:$A$69)))</f>
        <v>1530</v>
      </c>
      <c r="B1711" s="6">
        <f t="array" ref="B1711">IFERROR(INDEX(event_table!$E$1:$E3686,MATCH(A1711,event_table!$A$1:$A3686,0)),"")
</f>
        <v>5</v>
      </c>
      <c r="C1711" s="7">
        <f t="shared" si="1"/>
        <v>180</v>
      </c>
      <c r="D1711" s="6" t="str">
        <f t="array" ref="D1711">IFERROR(INDEX(user_table!$C$2:$C3686,MATCH(C1711,user_table!$B$2:$B3686,0)),"")
</f>
        <v>Andi Susanto</v>
      </c>
      <c r="E1711" s="6" t="str">
        <f t="array" ref="E1711">IFERROR(INDEX(user_table!$E$2:$E3686,MATCH(C1711,user_table!$B$2:$B3686,0)),"")
</f>
        <v>6, 5</v>
      </c>
      <c r="F1711" s="6" t="str">
        <f t="shared" si="2"/>
        <v>153055180</v>
      </c>
      <c r="G1711" s="16">
        <v>5.0</v>
      </c>
      <c r="H1711" s="17">
        <v>44693.0</v>
      </c>
      <c r="I1711" s="18" t="s">
        <v>1684</v>
      </c>
    </row>
    <row r="1712">
      <c r="A1712" s="5" t="str">
        <f t="array" ref="A1712">INDEX(event_table!$A$2:$A$69, RANDBETWEEN(1, COUNTA(event_table!$A$2:$A$69)))</f>
        <v>3167</v>
      </c>
      <c r="B1712" s="6">
        <f t="array" ref="B1712">IFERROR(INDEX(event_table!$E$1:$E3686,MATCH(A1712,event_table!$A$1:$A3686,0)),"")
</f>
        <v>1</v>
      </c>
      <c r="C1712" s="7">
        <f t="shared" si="1"/>
        <v>164</v>
      </c>
      <c r="D1712" s="6" t="str">
        <f t="array" ref="D1712">IFERROR(INDEX(user_table!$C$2:$C3686,MATCH(C1712,user_table!$B$2:$B3686,0)),"")
</f>
        <v>Bambang Purnama</v>
      </c>
      <c r="E1712" s="6" t="str">
        <f t="array" ref="E1712">IFERROR(INDEX(user_table!$E$2:$E3686,MATCH(C1712,user_table!$B$2:$B3686,0)),"")
</f>
        <v>2, 3</v>
      </c>
      <c r="F1712" s="6" t="str">
        <f t="shared" si="2"/>
        <v>316751164</v>
      </c>
      <c r="G1712" s="16">
        <v>5.0</v>
      </c>
      <c r="H1712" s="17">
        <v>44688.0</v>
      </c>
      <c r="I1712" s="18" t="s">
        <v>1685</v>
      </c>
    </row>
    <row r="1713">
      <c r="A1713" s="5" t="str">
        <f t="array" ref="A1713">INDEX(event_table!$A$2:$A$69, RANDBETWEEN(1, COUNTA(event_table!$A$2:$A$69)))</f>
        <v>1647</v>
      </c>
      <c r="B1713" s="6">
        <f t="array" ref="B1713">IFERROR(INDEX(event_table!$E$1:$E3686,MATCH(A1713,event_table!$A$1:$A3686,0)),"")
</f>
        <v>6</v>
      </c>
      <c r="C1713" s="7">
        <f t="shared" si="1"/>
        <v>54</v>
      </c>
      <c r="D1713" s="6" t="str">
        <f t="array" ref="D1713">IFERROR(INDEX(user_table!$C$2:$C3686,MATCH(C1713,user_table!$B$2:$B3686,0)),"")
</f>
        <v>Andi Kurniawan</v>
      </c>
      <c r="E1713" s="6" t="str">
        <f t="array" ref="E1713">IFERROR(INDEX(user_table!$E$2:$E3686,MATCH(C1713,user_table!$B$2:$B3686,0)),"")
</f>
        <v>4, 4</v>
      </c>
      <c r="F1713" s="6" t="str">
        <f t="shared" si="2"/>
        <v>16474654</v>
      </c>
      <c r="G1713" s="16">
        <v>4.0</v>
      </c>
      <c r="H1713" s="17">
        <v>44890.0</v>
      </c>
      <c r="I1713" s="18" t="s">
        <v>1686</v>
      </c>
    </row>
    <row r="1714">
      <c r="A1714" s="5" t="str">
        <f t="array" ref="A1714">INDEX(event_table!$A$2:$A$69, RANDBETWEEN(1, COUNTA(event_table!$A$2:$A$69)))</f>
        <v>3163</v>
      </c>
      <c r="B1714" s="6">
        <f t="array" ref="B1714">IFERROR(INDEX(event_table!$E$1:$E3686,MATCH(A1714,event_table!$A$1:$A3686,0)),"")
</f>
        <v>1</v>
      </c>
      <c r="C1714" s="7">
        <f t="shared" si="1"/>
        <v>48</v>
      </c>
      <c r="D1714" s="6" t="str">
        <f t="array" ref="D1714">IFERROR(INDEX(user_table!$C$2:$C3686,MATCH(C1714,user_table!$B$2:$B3686,0)),"")
</f>
        <v>Maya Kusuma</v>
      </c>
      <c r="E1714" s="6" t="str">
        <f t="array" ref="E1714">IFERROR(INDEX(user_table!$E$2:$E3686,MATCH(C1714,user_table!$B$2:$B3686,0)),"")
</f>
        <v>2, 3</v>
      </c>
      <c r="F1714" s="6" t="str">
        <f t="shared" si="2"/>
        <v>31634148</v>
      </c>
      <c r="G1714" s="16">
        <v>4.0</v>
      </c>
      <c r="H1714" s="17">
        <v>45147.0</v>
      </c>
      <c r="I1714" s="18" t="s">
        <v>1687</v>
      </c>
    </row>
    <row r="1715">
      <c r="A1715" s="5" t="str">
        <f t="array" ref="A1715">INDEX(event_table!$A$2:$A$69, RANDBETWEEN(1, COUNTA(event_table!$A$2:$A$69)))</f>
        <v>1638</v>
      </c>
      <c r="B1715" s="6">
        <f t="array" ref="B1715">IFERROR(INDEX(event_table!$E$1:$E3686,MATCH(A1715,event_table!$A$1:$A3686,0)),"")
</f>
        <v>6</v>
      </c>
      <c r="C1715" s="7">
        <f t="shared" si="1"/>
        <v>44</v>
      </c>
      <c r="D1715" s="6" t="str">
        <f t="array" ref="D1715">IFERROR(INDEX(user_table!$C$2:$C3686,MATCH(C1715,user_table!$B$2:$B3686,0)),"")
</f>
        <v>Arif Sari</v>
      </c>
      <c r="E1715" s="6" t="str">
        <f t="array" ref="E1715">IFERROR(INDEX(user_table!$E$2:$E3686,MATCH(C1715,user_table!$B$2:$B3686,0)),"")
</f>
        <v>2, 4</v>
      </c>
      <c r="F1715" s="6" t="str">
        <f t="shared" si="2"/>
        <v>16384644</v>
      </c>
      <c r="G1715" s="16">
        <v>4.0</v>
      </c>
      <c r="H1715" s="17">
        <v>45144.0</v>
      </c>
      <c r="I1715" s="18" t="s">
        <v>1688</v>
      </c>
    </row>
    <row r="1716">
      <c r="A1716" s="5" t="str">
        <f t="array" ref="A1716">INDEX(event_table!$A$2:$A$69, RANDBETWEEN(1, COUNTA(event_table!$A$2:$A$69)))</f>
        <v>1333</v>
      </c>
      <c r="B1716" s="6">
        <f t="array" ref="B1716">IFERROR(INDEX(event_table!$E$1:$E3686,MATCH(A1716,event_table!$A$1:$A3686,0)),"")
</f>
        <v>3</v>
      </c>
      <c r="C1716" s="7">
        <f t="shared" si="1"/>
        <v>60</v>
      </c>
      <c r="D1716" s="6" t="str">
        <f t="array" ref="D1716">IFERROR(INDEX(user_table!$C$2:$C3686,MATCH(C1716,user_table!$B$2:$B3686,0)),"")
</f>
        <v>Rudi Septiani</v>
      </c>
      <c r="E1716" s="6" t="str">
        <f t="array" ref="E1716">IFERROR(INDEX(user_table!$E$2:$E3686,MATCH(C1716,user_table!$B$2:$B3686,0)),"")
</f>
        <v>6, 2</v>
      </c>
      <c r="F1716" s="6" t="str">
        <f t="shared" si="2"/>
        <v>13334360</v>
      </c>
      <c r="G1716" s="16">
        <v>4.0</v>
      </c>
      <c r="H1716" s="17">
        <v>44872.0</v>
      </c>
      <c r="I1716" s="18" t="s">
        <v>1689</v>
      </c>
    </row>
    <row r="1717">
      <c r="A1717" s="5" t="str">
        <f t="array" ref="A1717">INDEX(event_table!$A$2:$A$69, RANDBETWEEN(1, COUNTA(event_table!$A$2:$A$69)))</f>
        <v>3455</v>
      </c>
      <c r="B1717" s="6">
        <f t="array" ref="B1717">IFERROR(INDEX(event_table!$E$1:$E3686,MATCH(A1717,event_table!$A$1:$A3686,0)),"")
</f>
        <v>4</v>
      </c>
      <c r="C1717" s="7">
        <f t="shared" si="1"/>
        <v>40</v>
      </c>
      <c r="D1717" s="6" t="str">
        <f t="array" ref="D1717">IFERROR(INDEX(user_table!$C$2:$C3686,MATCH(C1717,user_table!$B$2:$B3686,0)),"")
</f>
        <v>Joko Sari</v>
      </c>
      <c r="E1717" s="6" t="str">
        <f t="array" ref="E1717">IFERROR(INDEX(user_table!$E$2:$E3686,MATCH(C1717,user_table!$B$2:$B3686,0)),"")
</f>
        <v>5, 6</v>
      </c>
      <c r="F1717" s="6" t="str">
        <f t="shared" si="2"/>
        <v>34554440</v>
      </c>
      <c r="G1717" s="16">
        <v>4.0</v>
      </c>
      <c r="H1717" s="17">
        <v>44766.0</v>
      </c>
      <c r="I1717" s="18" t="s">
        <v>1690</v>
      </c>
    </row>
    <row r="1718">
      <c r="A1718" s="5" t="str">
        <f t="array" ref="A1718">INDEX(event_table!$A$2:$A$69, RANDBETWEEN(1, COUNTA(event_table!$A$2:$A$69)))</f>
        <v>1422</v>
      </c>
      <c r="B1718" s="6">
        <f t="array" ref="B1718">IFERROR(INDEX(event_table!$E$1:$E3686,MATCH(A1718,event_table!$A$1:$A3686,0)),"")
</f>
        <v>4</v>
      </c>
      <c r="C1718" s="7">
        <f t="shared" si="1"/>
        <v>176</v>
      </c>
      <c r="D1718" s="6" t="str">
        <f t="array" ref="D1718">IFERROR(INDEX(user_table!$C$2:$C3686,MATCH(C1718,user_table!$B$2:$B3686,0)),"")
</f>
        <v>Ani Hartono</v>
      </c>
      <c r="E1718" s="6" t="str">
        <f t="array" ref="E1718">IFERROR(INDEX(user_table!$E$2:$E3686,MATCH(C1718,user_table!$B$2:$B3686,0)),"")
</f>
        <v>2, 3</v>
      </c>
      <c r="F1718" s="6" t="str">
        <f t="shared" si="2"/>
        <v>142244176</v>
      </c>
      <c r="G1718" s="16">
        <v>4.0</v>
      </c>
      <c r="H1718" s="17">
        <v>44756.0</v>
      </c>
      <c r="I1718" s="18" t="s">
        <v>1691</v>
      </c>
    </row>
    <row r="1719">
      <c r="A1719" s="5" t="str">
        <f t="array" ref="A1719">INDEX(event_table!$A$2:$A$69, RANDBETWEEN(1, COUNTA(event_table!$A$2:$A$69)))</f>
        <v>1332</v>
      </c>
      <c r="B1719" s="6">
        <f t="array" ref="B1719">IFERROR(INDEX(event_table!$E$1:$E3686,MATCH(A1719,event_table!$A$1:$A3686,0)),"")
</f>
        <v>3</v>
      </c>
      <c r="C1719" s="7">
        <f t="shared" si="1"/>
        <v>6</v>
      </c>
      <c r="D1719" s="6" t="str">
        <f t="array" ref="D1719">IFERROR(INDEX(user_table!$C$2:$C3686,MATCH(C1719,user_table!$B$2:$B3686,0)),"")
</f>
        <v>Arif Putri</v>
      </c>
      <c r="E1719" s="6" t="str">
        <f t="array" ref="E1719">IFERROR(INDEX(user_table!$E$2:$E3686,MATCH(C1719,user_table!$B$2:$B3686,0)),"")
</f>
        <v>5, 2</v>
      </c>
      <c r="F1719" s="6" t="str">
        <f t="shared" si="2"/>
        <v>1332436</v>
      </c>
      <c r="G1719" s="16">
        <v>4.0</v>
      </c>
      <c r="H1719" s="17">
        <v>44694.0</v>
      </c>
      <c r="I1719" s="18" t="s">
        <v>1692</v>
      </c>
    </row>
    <row r="1720">
      <c r="A1720" s="5" t="str">
        <f t="array" ref="A1720">INDEX(event_table!$A$2:$A$69, RANDBETWEEN(1, COUNTA(event_table!$A$2:$A$69)))</f>
        <v>1427</v>
      </c>
      <c r="B1720" s="6">
        <f t="array" ref="B1720">IFERROR(INDEX(event_table!$E$1:$E3686,MATCH(A1720,event_table!$A$1:$A3686,0)),"")
</f>
        <v>4</v>
      </c>
      <c r="C1720" s="7">
        <f t="shared" si="1"/>
        <v>57</v>
      </c>
      <c r="D1720" s="6" t="str">
        <f t="array" ref="D1720">IFERROR(INDEX(user_table!$C$2:$C3686,MATCH(C1720,user_table!$B$2:$B3686,0)),"")
</f>
        <v>Hadi Sari</v>
      </c>
      <c r="E1720" s="6" t="str">
        <f t="array" ref="E1720">IFERROR(INDEX(user_table!$E$2:$E3686,MATCH(C1720,user_table!$B$2:$B3686,0)),"")
</f>
        <v>2, 4</v>
      </c>
      <c r="F1720" s="6" t="str">
        <f t="shared" si="2"/>
        <v>14274457</v>
      </c>
      <c r="G1720" s="16">
        <v>4.0</v>
      </c>
      <c r="H1720" s="17">
        <v>45251.0</v>
      </c>
      <c r="I1720" s="18" t="s">
        <v>318</v>
      </c>
    </row>
    <row r="1721">
      <c r="A1721" s="5" t="str">
        <f t="array" ref="A1721">INDEX(event_table!$A$2:$A$69, RANDBETWEEN(1, COUNTA(event_table!$A$2:$A$69)))</f>
        <v>1114</v>
      </c>
      <c r="B1721" s="6">
        <f t="array" ref="B1721">IFERROR(INDEX(event_table!$E$1:$E3686,MATCH(A1721,event_table!$A$1:$A3686,0)),"")
</f>
        <v>1</v>
      </c>
      <c r="C1721" s="7">
        <f t="shared" si="1"/>
        <v>124</v>
      </c>
      <c r="D1721" s="6" t="str">
        <f t="array" ref="D1721">IFERROR(INDEX(user_table!$C$2:$C3686,MATCH(C1721,user_table!$B$2:$B3686,0)),"")
</f>
        <v>Fandi Setiawan</v>
      </c>
      <c r="E1721" s="6" t="str">
        <f t="array" ref="E1721">IFERROR(INDEX(user_table!$E$2:$E3686,MATCH(C1721,user_table!$B$2:$B3686,0)),"")
</f>
        <v>5, 4</v>
      </c>
      <c r="F1721" s="6" t="str">
        <f t="shared" si="2"/>
        <v>111441124</v>
      </c>
      <c r="G1721" s="16">
        <v>4.0</v>
      </c>
      <c r="H1721" s="17">
        <v>45191.0</v>
      </c>
      <c r="I1721" s="18" t="s">
        <v>1693</v>
      </c>
    </row>
    <row r="1722">
      <c r="A1722" s="5" t="str">
        <f t="array" ref="A1722">INDEX(event_table!$A$2:$A$69, RANDBETWEEN(1, COUNTA(event_table!$A$2:$A$69)))</f>
        <v>117</v>
      </c>
      <c r="B1722" s="6">
        <f t="array" ref="B1722">IFERROR(INDEX(event_table!$E$1:$E3686,MATCH(A1722,event_table!$A$1:$A3686,0)),"")
</f>
        <v>1</v>
      </c>
      <c r="C1722" s="7">
        <f t="shared" si="1"/>
        <v>17</v>
      </c>
      <c r="D1722" s="6" t="str">
        <f t="array" ref="D1722">IFERROR(INDEX(user_table!$C$2:$C3686,MATCH(C1722,user_table!$B$2:$B3686,0)),"")
</f>
        <v>Fajar Wijaya</v>
      </c>
      <c r="E1722" s="6" t="str">
        <f t="array" ref="E1722">IFERROR(INDEX(user_table!$E$2:$E3686,MATCH(C1722,user_table!$B$2:$B3686,0)),"")
</f>
        <v>1, 1</v>
      </c>
      <c r="F1722" s="6" t="str">
        <f t="shared" si="2"/>
        <v>1174117</v>
      </c>
      <c r="G1722" s="16">
        <v>4.0</v>
      </c>
      <c r="H1722" s="17">
        <v>44746.0</v>
      </c>
      <c r="I1722" s="18" t="s">
        <v>1694</v>
      </c>
    </row>
    <row r="1723">
      <c r="A1723" s="5" t="str">
        <f t="array" ref="A1723">INDEX(event_table!$A$2:$A$69, RANDBETWEEN(1, COUNTA(event_table!$A$2:$A$69)))</f>
        <v>122</v>
      </c>
      <c r="B1723" s="6">
        <f t="array" ref="B1723">IFERROR(INDEX(event_table!$E$1:$E3686,MATCH(A1723,event_table!$A$1:$A3686,0)),"")
</f>
        <v>2</v>
      </c>
      <c r="C1723" s="7">
        <f t="shared" si="1"/>
        <v>200</v>
      </c>
      <c r="D1723" s="6" t="str">
        <f t="array" ref="D1723">IFERROR(INDEX(user_table!$C$2:$C3686,MATCH(C1723,user_table!$B$2:$B3686,0)),"")
</f>
        <v>Dina Susanto</v>
      </c>
      <c r="E1723" s="6" t="str">
        <f t="array" ref="E1723">IFERROR(INDEX(user_table!$E$2:$E3686,MATCH(C1723,user_table!$B$2:$B3686,0)),"")
</f>
        <v>5, 4</v>
      </c>
      <c r="F1723" s="6" t="str">
        <f t="shared" si="2"/>
        <v>12242200</v>
      </c>
      <c r="G1723" s="16">
        <v>4.0</v>
      </c>
      <c r="H1723" s="17">
        <v>44739.0</v>
      </c>
      <c r="I1723" s="18" t="s">
        <v>1695</v>
      </c>
    </row>
    <row r="1724">
      <c r="A1724" s="5" t="str">
        <f t="array" ref="A1724">INDEX(event_table!$A$2:$A$69, RANDBETWEEN(1, COUNTA(event_table!$A$2:$A$69)))</f>
        <v>3163</v>
      </c>
      <c r="B1724" s="6">
        <f t="array" ref="B1724">IFERROR(INDEX(event_table!$E$1:$E3686,MATCH(A1724,event_table!$A$1:$A3686,0)),"")
</f>
        <v>1</v>
      </c>
      <c r="C1724" s="7">
        <f t="shared" si="1"/>
        <v>87</v>
      </c>
      <c r="D1724" s="6" t="str">
        <f t="array" ref="D1724">IFERROR(INDEX(user_table!$C$2:$C3686,MATCH(C1724,user_table!$B$2:$B3686,0)),"")
</f>
        <v>Budi Setiawan</v>
      </c>
      <c r="E1724" s="6" t="str">
        <f t="array" ref="E1724">IFERROR(INDEX(user_table!$E$2:$E3686,MATCH(C1724,user_table!$B$2:$B3686,0)),"")
</f>
        <v>3, 5</v>
      </c>
      <c r="F1724" s="6" t="str">
        <f t="shared" si="2"/>
        <v>31634187</v>
      </c>
      <c r="G1724" s="16">
        <v>4.0</v>
      </c>
      <c r="H1724" s="17">
        <v>44699.0</v>
      </c>
      <c r="I1724" s="18" t="s">
        <v>1696</v>
      </c>
    </row>
    <row r="1725">
      <c r="A1725" s="5" t="str">
        <f t="array" ref="A1725">INDEX(event_table!$A$2:$A$69, RANDBETWEEN(1, COUNTA(event_table!$A$2:$A$69)))</f>
        <v>1531</v>
      </c>
      <c r="B1725" s="6">
        <f t="array" ref="B1725">IFERROR(INDEX(event_table!$E$1:$E3686,MATCH(A1725,event_table!$A$1:$A3686,0)),"")
</f>
        <v>5</v>
      </c>
      <c r="C1725" s="7">
        <f t="shared" si="1"/>
        <v>11</v>
      </c>
      <c r="D1725" s="6" t="str">
        <f t="array" ref="D1725">IFERROR(INDEX(user_table!$C$2:$C3686,MATCH(C1725,user_table!$B$2:$B3686,0)),"")
</f>
        <v>Arif Sari</v>
      </c>
      <c r="E1725" s="6" t="str">
        <f t="array" ref="E1725">IFERROR(INDEX(user_table!$E$2:$E3686,MATCH(C1725,user_table!$B$2:$B3686,0)),"")
</f>
        <v>5, 2</v>
      </c>
      <c r="F1725" s="6" t="str">
        <f t="shared" si="2"/>
        <v>15314511</v>
      </c>
      <c r="G1725" s="16">
        <v>4.0</v>
      </c>
      <c r="H1725" s="17">
        <v>44697.0</v>
      </c>
      <c r="I1725" s="18" t="s">
        <v>1697</v>
      </c>
    </row>
    <row r="1726">
      <c r="A1726" s="5" t="str">
        <f t="array" ref="A1726">INDEX(event_table!$A$2:$A$69, RANDBETWEEN(1, COUNTA(event_table!$A$2:$A$69)))</f>
        <v>1640</v>
      </c>
      <c r="B1726" s="6">
        <f t="array" ref="B1726">IFERROR(INDEX(event_table!$E$1:$E3686,MATCH(A1726,event_table!$A$1:$A3686,0)),"")
</f>
        <v>6</v>
      </c>
      <c r="C1726" s="7">
        <f t="shared" si="1"/>
        <v>76</v>
      </c>
      <c r="D1726" s="6" t="str">
        <f t="array" ref="D1726">IFERROR(INDEX(user_table!$C$2:$C3686,MATCH(C1726,user_table!$B$2:$B3686,0)),"")
</f>
        <v>Sinta Hidayat</v>
      </c>
      <c r="E1726" s="6" t="str">
        <f t="array" ref="E1726">IFERROR(INDEX(user_table!$E$2:$E3686,MATCH(C1726,user_table!$B$2:$B3686,0)),"")
</f>
        <v>3, 2</v>
      </c>
      <c r="F1726" s="6" t="str">
        <f t="shared" si="2"/>
        <v>16403676</v>
      </c>
      <c r="G1726" s="16">
        <v>3.0</v>
      </c>
      <c r="H1726" s="17">
        <v>44711.0</v>
      </c>
      <c r="I1726" s="18" t="s">
        <v>1698</v>
      </c>
    </row>
    <row r="1727">
      <c r="A1727" s="5" t="str">
        <f t="array" ref="A1727">INDEX(event_table!$A$2:$A$69, RANDBETWEEN(1, COUNTA(event_table!$A$2:$A$69)))</f>
        <v>3170</v>
      </c>
      <c r="B1727" s="6">
        <f t="array" ref="B1727">IFERROR(INDEX(event_table!$E$1:$E3686,MATCH(A1727,event_table!$A$1:$A3686,0)),"")
</f>
        <v>1</v>
      </c>
      <c r="C1727" s="7">
        <f t="shared" si="1"/>
        <v>97</v>
      </c>
      <c r="D1727" s="6" t="str">
        <f t="array" ref="D1727">IFERROR(INDEX(user_table!$C$2:$C3686,MATCH(C1727,user_table!$B$2:$B3686,0)),"")
</f>
        <v>Dewi Hidayat</v>
      </c>
      <c r="E1727" s="6" t="str">
        <f t="array" ref="E1727">IFERROR(INDEX(user_table!$E$2:$E3686,MATCH(C1727,user_table!$B$2:$B3686,0)),"")
</f>
        <v>2, 2</v>
      </c>
      <c r="F1727" s="6" t="str">
        <f t="shared" si="2"/>
        <v>31703197</v>
      </c>
      <c r="G1727" s="16">
        <v>3.0</v>
      </c>
      <c r="H1727" s="17">
        <v>45148.0</v>
      </c>
      <c r="I1727" s="18" t="s">
        <v>1699</v>
      </c>
    </row>
    <row r="1728">
      <c r="A1728" s="5" t="str">
        <f t="array" ref="A1728">INDEX(event_table!$A$2:$A$69, RANDBETWEEN(1, COUNTA(event_table!$A$2:$A$69)))</f>
        <v>1422</v>
      </c>
      <c r="B1728" s="6">
        <f t="array" ref="B1728">IFERROR(INDEX(event_table!$E$1:$E3686,MATCH(A1728,event_table!$A$1:$A3686,0)),"")
</f>
        <v>4</v>
      </c>
      <c r="C1728" s="7">
        <f t="shared" si="1"/>
        <v>175</v>
      </c>
      <c r="D1728" s="6" t="str">
        <f t="array" ref="D1728">IFERROR(INDEX(user_table!$C$2:$C3686,MATCH(C1728,user_table!$B$2:$B3686,0)),"")
</f>
        <v>Siti Septiani</v>
      </c>
      <c r="E1728" s="6" t="str">
        <f t="array" ref="E1728">IFERROR(INDEX(user_table!$E$2:$E3686,MATCH(C1728,user_table!$B$2:$B3686,0)),"")
</f>
        <v>2, 5</v>
      </c>
      <c r="F1728" s="6" t="str">
        <f t="shared" si="2"/>
        <v>142234175</v>
      </c>
      <c r="G1728" s="16">
        <v>3.0</v>
      </c>
      <c r="H1728" s="17">
        <v>45118.0</v>
      </c>
      <c r="I1728" s="18" t="s">
        <v>1700</v>
      </c>
    </row>
    <row r="1729">
      <c r="A1729" s="5" t="str">
        <f t="array" ref="A1729">INDEX(event_table!$A$2:$A$69, RANDBETWEEN(1, COUNTA(event_table!$A$2:$A$69)))</f>
        <v>1215</v>
      </c>
      <c r="B1729" s="6">
        <f t="array" ref="B1729">IFERROR(INDEX(event_table!$E$1:$E3686,MATCH(A1729,event_table!$A$1:$A3686,0)),"")
</f>
        <v>2</v>
      </c>
      <c r="C1729" s="7">
        <f t="shared" si="1"/>
        <v>42</v>
      </c>
      <c r="D1729" s="6" t="str">
        <f t="array" ref="D1729">IFERROR(INDEX(user_table!$C$2:$C3686,MATCH(C1729,user_table!$B$2:$B3686,0)),"")
</f>
        <v>Desi Putri</v>
      </c>
      <c r="E1729" s="6" t="str">
        <f t="array" ref="E1729">IFERROR(INDEX(user_table!$E$2:$E3686,MATCH(C1729,user_table!$B$2:$B3686,0)),"")
</f>
        <v>4, 6</v>
      </c>
      <c r="F1729" s="6" t="str">
        <f t="shared" si="2"/>
        <v>12152242</v>
      </c>
      <c r="G1729" s="16">
        <v>2.0</v>
      </c>
      <c r="H1729" s="17">
        <v>44939.0</v>
      </c>
      <c r="I1729" s="18" t="s">
        <v>1701</v>
      </c>
    </row>
    <row r="1730">
      <c r="A1730" s="5" t="str">
        <f t="array" ref="A1730">INDEX(event_table!$A$2:$A$69, RANDBETWEEN(1, COUNTA(event_table!$A$2:$A$69)))</f>
        <v>1641</v>
      </c>
      <c r="B1730" s="6">
        <f t="array" ref="B1730">IFERROR(INDEX(event_table!$E$1:$E3686,MATCH(A1730,event_table!$A$1:$A3686,0)),"")
</f>
        <v>6</v>
      </c>
      <c r="C1730" s="7">
        <f t="shared" si="1"/>
        <v>31</v>
      </c>
      <c r="D1730" s="6" t="str">
        <f t="array" ref="D1730">IFERROR(INDEX(user_table!$C$2:$C3686,MATCH(C1730,user_table!$B$2:$B3686,0)),"")
</f>
        <v>Dian Hidayat</v>
      </c>
      <c r="E1730" s="6" t="str">
        <f t="array" ref="E1730">IFERROR(INDEX(user_table!$E$2:$E3686,MATCH(C1730,user_table!$B$2:$B3686,0)),"")
</f>
        <v>3, 5</v>
      </c>
      <c r="F1730" s="6" t="str">
        <f t="shared" si="2"/>
        <v>16412631</v>
      </c>
      <c r="G1730" s="16">
        <v>2.0</v>
      </c>
      <c r="H1730" s="17">
        <v>44592.0</v>
      </c>
      <c r="I1730" s="18" t="s">
        <v>1702</v>
      </c>
    </row>
    <row r="1731">
      <c r="A1731" s="5" t="str">
        <f t="array" ref="A1731">INDEX(event_table!$A$2:$A$69, RANDBETWEEN(1, COUNTA(event_table!$A$2:$A$69)))</f>
        <v>3454</v>
      </c>
      <c r="B1731" s="6">
        <f t="array" ref="B1731">IFERROR(INDEX(event_table!$E$1:$E3686,MATCH(A1731,event_table!$A$1:$A3686,0)),"")
</f>
        <v>4</v>
      </c>
      <c r="C1731" s="7">
        <f t="shared" si="1"/>
        <v>49</v>
      </c>
      <c r="D1731" s="6" t="str">
        <f t="array" ref="D1731">IFERROR(INDEX(user_table!$C$2:$C3686,MATCH(C1731,user_table!$B$2:$B3686,0)),"")
</f>
        <v>Fajar Hidayat</v>
      </c>
      <c r="E1731" s="6" t="str">
        <f t="array" ref="E1731">IFERROR(INDEX(user_table!$E$2:$E3686,MATCH(C1731,user_table!$B$2:$B3686,0)),"")
</f>
        <v>3, 1</v>
      </c>
      <c r="F1731" s="6" t="str">
        <f t="shared" si="2"/>
        <v>34542449</v>
      </c>
      <c r="G1731" s="16">
        <v>2.0</v>
      </c>
      <c r="H1731" s="17">
        <v>44572.0</v>
      </c>
      <c r="I1731" s="18" t="s">
        <v>1703</v>
      </c>
    </row>
    <row r="1732">
      <c r="A1732" s="5" t="str">
        <f t="array" ref="A1732">INDEX(event_table!$A$2:$A$69, RANDBETWEEN(1, COUNTA(event_table!$A$2:$A$69)))</f>
        <v>3454</v>
      </c>
      <c r="B1732" s="6">
        <f t="array" ref="B1732">IFERROR(INDEX(event_table!$E$1:$E3686,MATCH(A1732,event_table!$A$1:$A3686,0)),"")
</f>
        <v>4</v>
      </c>
      <c r="C1732" s="7">
        <f t="shared" si="1"/>
        <v>167</v>
      </c>
      <c r="D1732" s="6" t="str">
        <f t="array" ref="D1732">IFERROR(INDEX(user_table!$C$2:$C3686,MATCH(C1732,user_table!$B$2:$B3686,0)),"")
</f>
        <v>Fandi Hermawan</v>
      </c>
      <c r="E1732" s="6" t="str">
        <f t="array" ref="E1732">IFERROR(INDEX(user_table!$E$2:$E3686,MATCH(C1732,user_table!$B$2:$B3686,0)),"")
</f>
        <v>3, 1</v>
      </c>
      <c r="F1732" s="6" t="str">
        <f t="shared" si="2"/>
        <v>345424167</v>
      </c>
      <c r="G1732" s="16">
        <v>2.0</v>
      </c>
      <c r="H1732" s="17">
        <v>45208.0</v>
      </c>
      <c r="I1732" s="18" t="s">
        <v>1704</v>
      </c>
    </row>
    <row r="1733">
      <c r="A1733" s="5" t="str">
        <f t="array" ref="A1733">INDEX(event_table!$A$2:$A$69, RANDBETWEEN(1, COUNTA(event_table!$A$2:$A$69)))</f>
        <v>1529</v>
      </c>
      <c r="B1733" s="6">
        <f t="array" ref="B1733">IFERROR(INDEX(event_table!$E$1:$E3686,MATCH(A1733,event_table!$A$1:$A3686,0)),"")
</f>
        <v>5</v>
      </c>
      <c r="C1733" s="7">
        <f t="shared" si="1"/>
        <v>116</v>
      </c>
      <c r="D1733" s="6" t="str">
        <f t="array" ref="D1733">IFERROR(INDEX(user_table!$C$2:$C3686,MATCH(C1733,user_table!$B$2:$B3686,0)),"")
</f>
        <v>Fandi Hartono</v>
      </c>
      <c r="E1733" s="6" t="str">
        <f t="array" ref="E1733">IFERROR(INDEX(user_table!$E$2:$E3686,MATCH(C1733,user_table!$B$2:$B3686,0)),"")
</f>
        <v>2, 1</v>
      </c>
      <c r="F1733" s="6" t="str">
        <f t="shared" si="2"/>
        <v>152925116</v>
      </c>
      <c r="G1733" s="16">
        <v>2.0</v>
      </c>
      <c r="H1733" s="17">
        <v>45148.0</v>
      </c>
      <c r="I1733" s="18" t="s">
        <v>1705</v>
      </c>
    </row>
    <row r="1734">
      <c r="A1734" s="5" t="str">
        <f t="array" ref="A1734">INDEX(event_table!$A$2:$A$69, RANDBETWEEN(1, COUNTA(event_table!$A$2:$A$69)))</f>
        <v>1215</v>
      </c>
      <c r="B1734" s="6">
        <f t="array" ref="B1734">IFERROR(INDEX(event_table!$E$1:$E3686,MATCH(A1734,event_table!$A$1:$A3686,0)),"")
</f>
        <v>2</v>
      </c>
      <c r="C1734" s="7">
        <f t="shared" si="1"/>
        <v>67</v>
      </c>
      <c r="D1734" s="6" t="str">
        <f t="array" ref="D1734">IFERROR(INDEX(user_table!$C$2:$C3686,MATCH(C1734,user_table!$B$2:$B3686,0)),"")
</f>
        <v>Joko Pratama</v>
      </c>
      <c r="E1734" s="6" t="str">
        <f t="array" ref="E1734">IFERROR(INDEX(user_table!$E$2:$E3686,MATCH(C1734,user_table!$B$2:$B3686,0)),"")
</f>
        <v>1, 3</v>
      </c>
      <c r="F1734" s="6" t="str">
        <f t="shared" si="2"/>
        <v>12152267</v>
      </c>
      <c r="G1734" s="16">
        <v>2.0</v>
      </c>
      <c r="H1734" s="17">
        <v>45128.0</v>
      </c>
      <c r="I1734" s="18" t="s">
        <v>1706</v>
      </c>
    </row>
    <row r="1735">
      <c r="A1735" s="5" t="str">
        <f t="array" ref="A1735">INDEX(event_table!$A$2:$A$69, RANDBETWEEN(1, COUNTA(event_table!$A$2:$A$69)))</f>
        <v>1416</v>
      </c>
      <c r="B1735" s="6">
        <f t="array" ref="B1735">IFERROR(INDEX(event_table!$E$1:$E3686,MATCH(A1735,event_table!$A$1:$A3686,0)),"")
</f>
        <v>4</v>
      </c>
      <c r="C1735" s="7">
        <f t="shared" si="1"/>
        <v>121</v>
      </c>
      <c r="D1735" s="6" t="str">
        <f t="array" ref="D1735">IFERROR(INDEX(user_table!$C$2:$C3686,MATCH(C1735,user_table!$B$2:$B3686,0)),"")
</f>
        <v>Wahyu Saputra</v>
      </c>
      <c r="E1735" s="6" t="str">
        <f t="array" ref="E1735">IFERROR(INDEX(user_table!$E$2:$E3686,MATCH(C1735,user_table!$B$2:$B3686,0)),"")
</f>
        <v>6, 3</v>
      </c>
      <c r="F1735" s="6" t="str">
        <f t="shared" si="2"/>
        <v>141624121</v>
      </c>
      <c r="G1735" s="16">
        <v>2.0</v>
      </c>
      <c r="H1735" s="17">
        <v>45112.0</v>
      </c>
      <c r="I1735" s="18" t="s">
        <v>1707</v>
      </c>
    </row>
    <row r="1736">
      <c r="A1736" s="5" t="str">
        <f t="array" ref="A1736">INDEX(event_table!$A$2:$A$69, RANDBETWEEN(1, COUNTA(event_table!$A$2:$A$69)))</f>
        <v>1650</v>
      </c>
      <c r="B1736" s="6">
        <f t="array" ref="B1736">IFERROR(INDEX(event_table!$E$1:$E3686,MATCH(A1736,event_table!$A$1:$A3686,0)),"")
</f>
        <v>6</v>
      </c>
      <c r="C1736" s="7">
        <f t="shared" si="1"/>
        <v>91</v>
      </c>
      <c r="D1736" s="6" t="str">
        <f t="array" ref="D1736">IFERROR(INDEX(user_table!$C$2:$C3686,MATCH(C1736,user_table!$B$2:$B3686,0)),"")
</f>
        <v>Bambang Wijaya</v>
      </c>
      <c r="E1736" s="6" t="str">
        <f t="array" ref="E1736">IFERROR(INDEX(user_table!$E$2:$E3686,MATCH(C1736,user_table!$B$2:$B3686,0)),"")
</f>
        <v>1, 2</v>
      </c>
      <c r="F1736" s="6" t="str">
        <f t="shared" si="2"/>
        <v>16501691</v>
      </c>
      <c r="G1736" s="16">
        <v>1.0</v>
      </c>
      <c r="H1736" s="17">
        <v>45234.0</v>
      </c>
      <c r="I1736" s="18" t="s">
        <v>1708</v>
      </c>
    </row>
    <row r="1737">
      <c r="A1737" s="5" t="str">
        <f t="array" ref="A1737">INDEX(event_table!$A$2:$A$69, RANDBETWEEN(1, COUNTA(event_table!$A$2:$A$69)))</f>
        <v>3659</v>
      </c>
      <c r="B1737" s="6">
        <f t="array" ref="B1737">IFERROR(INDEX(event_table!$E$1:$E3686,MATCH(A1737,event_table!$A$1:$A3686,0)),"")
</f>
        <v>6</v>
      </c>
      <c r="C1737" s="7">
        <f t="shared" si="1"/>
        <v>75</v>
      </c>
      <c r="D1737" s="6" t="str">
        <f t="array" ref="D1737">IFERROR(INDEX(user_table!$C$2:$C3686,MATCH(C1737,user_table!$B$2:$B3686,0)),"")
</f>
        <v>Citra Sari</v>
      </c>
      <c r="E1737" s="6" t="str">
        <f t="array" ref="E1737">IFERROR(INDEX(user_table!$E$2:$E3686,MATCH(C1737,user_table!$B$2:$B3686,0)),"")
</f>
        <v>2, 5</v>
      </c>
      <c r="F1737" s="6" t="str">
        <f t="shared" si="2"/>
        <v>36591675</v>
      </c>
      <c r="G1737" s="16">
        <v>1.0</v>
      </c>
      <c r="H1737" s="17">
        <v>45241.0</v>
      </c>
      <c r="I1737" s="18" t="s">
        <v>1709</v>
      </c>
    </row>
    <row r="1738">
      <c r="A1738" s="5" t="str">
        <f t="array" ref="A1738">INDEX(event_table!$A$2:$A$69, RANDBETWEEN(1, COUNTA(event_table!$A$2:$A$69)))</f>
        <v>1416</v>
      </c>
      <c r="B1738" s="6">
        <f t="array" ref="B1738">IFERROR(INDEX(event_table!$E$1:$E3686,MATCH(A1738,event_table!$A$1:$A3686,0)),"")
</f>
        <v>4</v>
      </c>
      <c r="C1738" s="7">
        <f t="shared" si="1"/>
        <v>103</v>
      </c>
      <c r="D1738" s="6" t="str">
        <f t="array" ref="D1738">IFERROR(INDEX(user_table!$C$2:$C3686,MATCH(C1738,user_table!$B$2:$B3686,0)),"")
</f>
        <v>Hadi Sari</v>
      </c>
      <c r="E1738" s="6" t="str">
        <f t="array" ref="E1738">IFERROR(INDEX(user_table!$E$2:$E3686,MATCH(C1738,user_table!$B$2:$B3686,0)),"")
</f>
        <v>3, 1</v>
      </c>
      <c r="F1738" s="6" t="str">
        <f t="shared" si="2"/>
        <v>141614103</v>
      </c>
      <c r="G1738" s="16">
        <v>1.0</v>
      </c>
      <c r="H1738" s="17">
        <v>45266.0</v>
      </c>
      <c r="I1738" s="18" t="s">
        <v>1710</v>
      </c>
    </row>
    <row r="1739">
      <c r="A1739" s="5" t="str">
        <f t="array" ref="A1739">INDEX(event_table!$A$2:$A$69, RANDBETWEEN(1, COUNTA(event_table!$A$2:$A$69)))</f>
        <v>1417</v>
      </c>
      <c r="B1739" s="6">
        <f t="array" ref="B1739">IFERROR(INDEX(event_table!$E$1:$E3686,MATCH(A1739,event_table!$A$1:$A3686,0)),"")
</f>
        <v>4</v>
      </c>
      <c r="C1739" s="7">
        <f t="shared" si="1"/>
        <v>79</v>
      </c>
      <c r="D1739" s="6" t="str">
        <f t="array" ref="D1739">IFERROR(INDEX(user_table!$C$2:$C3686,MATCH(C1739,user_table!$B$2:$B3686,0)),"")
</f>
        <v>Arif Nugroho</v>
      </c>
      <c r="E1739" s="6" t="str">
        <f t="array" ref="E1739">IFERROR(INDEX(user_table!$E$2:$E3686,MATCH(C1739,user_table!$B$2:$B3686,0)),"")
</f>
        <v>2, 3</v>
      </c>
      <c r="F1739" s="6" t="str">
        <f t="shared" si="2"/>
        <v>14171479</v>
      </c>
      <c r="G1739" s="16">
        <v>1.0</v>
      </c>
      <c r="H1739" s="17">
        <v>45234.0</v>
      </c>
      <c r="I1739" s="18" t="s">
        <v>1711</v>
      </c>
    </row>
    <row r="1740">
      <c r="A1740" s="5" t="str">
        <f t="array" ref="A1740">INDEX(event_table!$A$2:$A$69, RANDBETWEEN(1, COUNTA(event_table!$A$2:$A$69)))</f>
        <v>1642</v>
      </c>
      <c r="B1740" s="6">
        <f t="array" ref="B1740">IFERROR(INDEX(event_table!$E$1:$E3686,MATCH(A1740,event_table!$A$1:$A3686,0)),"")
</f>
        <v>6</v>
      </c>
      <c r="C1740" s="7">
        <f t="shared" si="1"/>
        <v>87</v>
      </c>
      <c r="D1740" s="6" t="str">
        <f t="array" ref="D1740">IFERROR(INDEX(user_table!$C$2:$C3686,MATCH(C1740,user_table!$B$2:$B3686,0)),"")
</f>
        <v>Budi Setiawan</v>
      </c>
      <c r="E1740" s="6" t="str">
        <f t="array" ref="E1740">IFERROR(INDEX(user_table!$E$2:$E3686,MATCH(C1740,user_table!$B$2:$B3686,0)),"")
</f>
        <v>3, 5</v>
      </c>
      <c r="F1740" s="6" t="str">
        <f t="shared" si="2"/>
        <v>16421687</v>
      </c>
      <c r="G1740" s="16">
        <v>1.0</v>
      </c>
      <c r="H1740" s="17">
        <v>45169.0</v>
      </c>
      <c r="I1740" s="18" t="s">
        <v>1712</v>
      </c>
    </row>
    <row r="1741">
      <c r="A1741" s="5" t="str">
        <f t="array" ref="A1741">INDEX(event_table!$A$2:$A$69, RANDBETWEEN(1, COUNTA(event_table!$A$2:$A$69)))</f>
        <v>113</v>
      </c>
      <c r="B1741" s="6">
        <f t="array" ref="B1741">IFERROR(INDEX(event_table!$E$1:$E3686,MATCH(A1741,event_table!$A$1:$A3686,0)),"")
</f>
        <v>1</v>
      </c>
      <c r="C1741" s="7">
        <f t="shared" si="1"/>
        <v>67</v>
      </c>
      <c r="D1741" s="6" t="str">
        <f t="array" ref="D1741">IFERROR(INDEX(user_table!$C$2:$C3686,MATCH(C1741,user_table!$B$2:$B3686,0)),"")
</f>
        <v>Joko Pratama</v>
      </c>
      <c r="E1741" s="6" t="str">
        <f t="array" ref="E1741">IFERROR(INDEX(user_table!$E$2:$E3686,MATCH(C1741,user_table!$B$2:$B3686,0)),"")
</f>
        <v>1, 3</v>
      </c>
      <c r="F1741" s="6" t="str">
        <f t="shared" si="2"/>
        <v>1131167</v>
      </c>
      <c r="G1741" s="16">
        <v>1.0</v>
      </c>
      <c r="H1741" s="17">
        <v>45154.0</v>
      </c>
      <c r="I1741" s="18" t="s">
        <v>1713</v>
      </c>
    </row>
    <row r="1742">
      <c r="A1742" s="5" t="str">
        <f t="array" ref="A1742">INDEX(event_table!$A$2:$A$69, RANDBETWEEN(1, COUNTA(event_table!$A$2:$A$69)))</f>
        <v>1646</v>
      </c>
      <c r="B1742" s="6">
        <f t="array" ref="B1742">IFERROR(INDEX(event_table!$E$1:$E3686,MATCH(A1742,event_table!$A$1:$A3686,0)),"")
</f>
        <v>6</v>
      </c>
      <c r="C1742" s="7">
        <f t="shared" si="1"/>
        <v>173</v>
      </c>
      <c r="D1742" s="6" t="str">
        <f t="array" ref="D1742">IFERROR(INDEX(user_table!$C$2:$C3686,MATCH(C1742,user_table!$B$2:$B3686,0)),"")
</f>
        <v>Fajar Putri</v>
      </c>
      <c r="E1742" s="6" t="str">
        <f t="array" ref="E1742">IFERROR(INDEX(user_table!$E$2:$E3686,MATCH(C1742,user_table!$B$2:$B3686,0)),"")
</f>
        <v>2, 6</v>
      </c>
      <c r="F1742" s="6" t="str">
        <f t="shared" si="2"/>
        <v>164616173</v>
      </c>
      <c r="G1742" s="16">
        <v>1.0</v>
      </c>
      <c r="H1742" s="17">
        <v>45144.0</v>
      </c>
      <c r="I1742" s="18" t="s">
        <v>1714</v>
      </c>
    </row>
    <row r="1743">
      <c r="A1743" s="5" t="str">
        <f t="array" ref="A1743">INDEX(event_table!$A$2:$A$69, RANDBETWEEN(1, COUNTA(event_table!$A$2:$A$69)))</f>
        <v>1645</v>
      </c>
      <c r="B1743" s="6">
        <f t="array" ref="B1743">IFERROR(INDEX(event_table!$E$1:$E3686,MATCH(A1743,event_table!$A$1:$A3686,0)),"")
</f>
        <v>6</v>
      </c>
      <c r="C1743" s="7">
        <f t="shared" si="1"/>
        <v>85</v>
      </c>
      <c r="D1743" s="6" t="str">
        <f t="array" ref="D1743">IFERROR(INDEX(user_table!$C$2:$C3686,MATCH(C1743,user_table!$B$2:$B3686,0)),"")
</f>
        <v>Maya Susanto</v>
      </c>
      <c r="E1743" s="6" t="str">
        <f t="array" ref="E1743">IFERROR(INDEX(user_table!$E$2:$E3686,MATCH(C1743,user_table!$B$2:$B3686,0)),"")
</f>
        <v>6, 5</v>
      </c>
      <c r="F1743" s="6" t="str">
        <f t="shared" si="2"/>
        <v>16451685</v>
      </c>
      <c r="G1743" s="16">
        <v>1.0</v>
      </c>
      <c r="H1743" s="17">
        <v>45143.0</v>
      </c>
      <c r="I1743" s="18" t="s">
        <v>1715</v>
      </c>
    </row>
    <row r="1744">
      <c r="A1744" s="5" t="str">
        <f t="array" ref="A1744">INDEX(event_table!$A$2:$A$69, RANDBETWEEN(1, COUNTA(event_table!$A$2:$A$69)))</f>
        <v>1416</v>
      </c>
      <c r="B1744" s="6">
        <f t="array" ref="B1744">IFERROR(INDEX(event_table!$E$1:$E3686,MATCH(A1744,event_table!$A$1:$A3686,0)),"")
</f>
        <v>4</v>
      </c>
      <c r="C1744" s="7">
        <f t="shared" si="1"/>
        <v>180</v>
      </c>
      <c r="D1744" s="6" t="str">
        <f t="array" ref="D1744">IFERROR(INDEX(user_table!$C$2:$C3686,MATCH(C1744,user_table!$B$2:$B3686,0)),"")
</f>
        <v>Andi Susanto</v>
      </c>
      <c r="E1744" s="6" t="str">
        <f t="array" ref="E1744">IFERROR(INDEX(user_table!$E$2:$E3686,MATCH(C1744,user_table!$B$2:$B3686,0)),"")
</f>
        <v>6, 5</v>
      </c>
      <c r="F1744" s="6" t="str">
        <f t="shared" si="2"/>
        <v>141614180</v>
      </c>
      <c r="G1744" s="16">
        <v>1.0</v>
      </c>
      <c r="H1744" s="17">
        <v>45143.0</v>
      </c>
      <c r="I1744" s="18" t="s">
        <v>1716</v>
      </c>
    </row>
    <row r="1745">
      <c r="A1745" s="5" t="str">
        <f t="array" ref="A1745">INDEX(event_table!$A$2:$A$69, RANDBETWEEN(1, COUNTA(event_table!$A$2:$A$69)))</f>
        <v>1651</v>
      </c>
      <c r="B1745" s="6">
        <f t="array" ref="B1745">IFERROR(INDEX(event_table!$E$1:$E3686,MATCH(A1745,event_table!$A$1:$A3686,0)),"")
</f>
        <v>6</v>
      </c>
      <c r="C1745" s="7">
        <f t="shared" si="1"/>
        <v>87</v>
      </c>
      <c r="D1745" s="6" t="str">
        <f t="array" ref="D1745">IFERROR(INDEX(user_table!$C$2:$C3686,MATCH(C1745,user_table!$B$2:$B3686,0)),"")
</f>
        <v>Budi Setiawan</v>
      </c>
      <c r="E1745" s="6" t="str">
        <f t="array" ref="E1745">IFERROR(INDEX(user_table!$E$2:$E3686,MATCH(C1745,user_table!$B$2:$B3686,0)),"")
</f>
        <v>3, 5</v>
      </c>
      <c r="F1745" s="6" t="str">
        <f t="shared" si="2"/>
        <v>16511687</v>
      </c>
      <c r="G1745" s="16">
        <v>1.0</v>
      </c>
      <c r="H1745" s="17">
        <v>45143.0</v>
      </c>
      <c r="I1745" s="18" t="s">
        <v>1717</v>
      </c>
    </row>
    <row r="1746">
      <c r="A1746" s="5" t="str">
        <f t="array" ref="A1746">INDEX(event_table!$A$2:$A$69, RANDBETWEEN(1, COUNTA(event_table!$A$2:$A$69)))</f>
        <v>1636</v>
      </c>
      <c r="B1746" s="6">
        <f t="array" ref="B1746">IFERROR(INDEX(event_table!$E$1:$E3686,MATCH(A1746,event_table!$A$1:$A3686,0)),"")
</f>
        <v>6</v>
      </c>
      <c r="C1746" s="7">
        <f t="shared" si="1"/>
        <v>134</v>
      </c>
      <c r="D1746" s="6" t="str">
        <f t="array" ref="D1746">IFERROR(INDEX(user_table!$C$2:$C3686,MATCH(C1746,user_table!$B$2:$B3686,0)),"")
</f>
        <v>Maya Septiani</v>
      </c>
      <c r="E1746" s="6" t="str">
        <f t="array" ref="E1746">IFERROR(INDEX(user_table!$E$2:$E3686,MATCH(C1746,user_table!$B$2:$B3686,0)),"")
</f>
        <v>2, 4</v>
      </c>
      <c r="F1746" s="6" t="str">
        <f t="shared" si="2"/>
        <v>163616134</v>
      </c>
      <c r="G1746" s="16">
        <v>1.0</v>
      </c>
      <c r="H1746" s="17">
        <v>45106.0</v>
      </c>
      <c r="I1746" s="18" t="s">
        <v>1718</v>
      </c>
    </row>
    <row r="1747">
      <c r="A1747" s="5" t="str">
        <f t="array" ref="A1747">INDEX(event_table!$A$2:$A$69, RANDBETWEEN(1, COUNTA(event_table!$A$2:$A$69)))</f>
        <v>1425</v>
      </c>
      <c r="B1747" s="6">
        <f t="array" ref="B1747">IFERROR(INDEX(event_table!$E$1:$E3686,MATCH(A1747,event_table!$A$1:$A3686,0)),"")
</f>
        <v>4</v>
      </c>
      <c r="C1747" s="7">
        <f t="shared" si="1"/>
        <v>55</v>
      </c>
      <c r="D1747" s="6" t="str">
        <f t="array" ref="D1747">IFERROR(INDEX(user_table!$C$2:$C3686,MATCH(C1747,user_table!$B$2:$B3686,0)),"")
</f>
        <v>Joko Sari</v>
      </c>
      <c r="E1747" s="6" t="str">
        <f t="array" ref="E1747">IFERROR(INDEX(user_table!$E$2:$E3686,MATCH(C1747,user_table!$B$2:$B3686,0)),"")
</f>
        <v>6, 6</v>
      </c>
      <c r="F1747" s="6" t="str">
        <f t="shared" si="2"/>
        <v>14251455</v>
      </c>
      <c r="G1747" s="16">
        <v>1.0</v>
      </c>
      <c r="H1747" s="17">
        <v>45021.0</v>
      </c>
      <c r="I1747" s="18" t="s">
        <v>1719</v>
      </c>
    </row>
    <row r="1748">
      <c r="A1748" s="5" t="str">
        <f t="array" ref="A1748">INDEX(event_table!$A$2:$A$69, RANDBETWEEN(1, COUNTA(event_table!$A$2:$A$69)))</f>
        <v>1640</v>
      </c>
      <c r="B1748" s="6">
        <f t="array" ref="B1748">IFERROR(INDEX(event_table!$E$1:$E3686,MATCH(A1748,event_table!$A$1:$A3686,0)),"")
</f>
        <v>6</v>
      </c>
      <c r="C1748" s="7">
        <f t="shared" si="1"/>
        <v>104</v>
      </c>
      <c r="D1748" s="6" t="str">
        <f t="array" ref="D1748">IFERROR(INDEX(user_table!$C$2:$C3686,MATCH(C1748,user_table!$B$2:$B3686,0)),"")
</f>
        <v>Fajar Utami</v>
      </c>
      <c r="E1748" s="6" t="str">
        <f t="array" ref="E1748">IFERROR(INDEX(user_table!$E$2:$E3686,MATCH(C1748,user_table!$B$2:$B3686,0)),"")
</f>
        <v>2, 5</v>
      </c>
      <c r="F1748" s="6" t="str">
        <f t="shared" si="2"/>
        <v>164056104</v>
      </c>
      <c r="G1748" s="16">
        <v>5.0</v>
      </c>
      <c r="H1748" s="17">
        <v>44730.0</v>
      </c>
      <c r="I1748" s="18" t="s">
        <v>1720</v>
      </c>
    </row>
    <row r="1749">
      <c r="A1749" s="5" t="str">
        <f t="array" ref="A1749">INDEX(event_table!$A$2:$A$69, RANDBETWEEN(1, COUNTA(event_table!$A$2:$A$69)))</f>
        <v>111</v>
      </c>
      <c r="B1749" s="6">
        <f t="array" ref="B1749">IFERROR(INDEX(event_table!$E$1:$E3686,MATCH(A1749,event_table!$A$1:$A3686,0)),"")
</f>
        <v>1</v>
      </c>
      <c r="C1749" s="7">
        <f t="shared" si="1"/>
        <v>109</v>
      </c>
      <c r="D1749" s="6" t="str">
        <f t="array" ref="D1749">IFERROR(INDEX(user_table!$C$2:$C3686,MATCH(C1749,user_table!$B$2:$B3686,0)),"")
</f>
        <v>Ani Sari</v>
      </c>
      <c r="E1749" s="6" t="str">
        <f t="array" ref="E1749">IFERROR(INDEX(user_table!$E$2:$E3686,MATCH(C1749,user_table!$B$2:$B3686,0)),"")
</f>
        <v>4, 5</v>
      </c>
      <c r="F1749" s="6" t="str">
        <f t="shared" si="2"/>
        <v>11151109</v>
      </c>
      <c r="G1749" s="16">
        <v>5.0</v>
      </c>
      <c r="H1749" s="17">
        <v>44711.0</v>
      </c>
      <c r="I1749" s="18" t="s">
        <v>1721</v>
      </c>
    </row>
    <row r="1750">
      <c r="A1750" s="5" t="str">
        <f t="array" ref="A1750">INDEX(event_table!$A$2:$A$69, RANDBETWEEN(1, COUNTA(event_table!$A$2:$A$69)))</f>
        <v>3168</v>
      </c>
      <c r="B1750" s="6">
        <f t="array" ref="B1750">IFERROR(INDEX(event_table!$E$1:$E3686,MATCH(A1750,event_table!$A$1:$A3686,0)),"")
</f>
        <v>1</v>
      </c>
      <c r="C1750" s="7">
        <f t="shared" si="1"/>
        <v>122</v>
      </c>
      <c r="D1750" s="6" t="str">
        <f t="array" ref="D1750">IFERROR(INDEX(user_table!$C$2:$C3686,MATCH(C1750,user_table!$B$2:$B3686,0)),"")
</f>
        <v>Maya Setiawan</v>
      </c>
      <c r="E1750" s="6" t="str">
        <f t="array" ref="E1750">IFERROR(INDEX(user_table!$E$2:$E3686,MATCH(C1750,user_table!$B$2:$B3686,0)),"")
</f>
        <v>2, 3</v>
      </c>
      <c r="F1750" s="6" t="str">
        <f t="shared" si="2"/>
        <v>316851122</v>
      </c>
      <c r="G1750" s="16">
        <v>5.0</v>
      </c>
      <c r="H1750" s="17">
        <v>44683.0</v>
      </c>
      <c r="I1750" s="18" t="s">
        <v>1722</v>
      </c>
    </row>
    <row r="1751">
      <c r="A1751" s="5" t="str">
        <f t="array" ref="A1751">INDEX(event_table!$A$2:$A$69, RANDBETWEEN(1, COUNTA(event_table!$A$2:$A$69)))</f>
        <v>3167</v>
      </c>
      <c r="B1751" s="6">
        <f t="array" ref="B1751">IFERROR(INDEX(event_table!$E$1:$E3686,MATCH(A1751,event_table!$A$1:$A3686,0)),"")
</f>
        <v>1</v>
      </c>
      <c r="C1751" s="7">
        <f t="shared" si="1"/>
        <v>28</v>
      </c>
      <c r="D1751" s="6" t="str">
        <f t="array" ref="D1751">IFERROR(INDEX(user_table!$C$2:$C3686,MATCH(C1751,user_table!$B$2:$B3686,0)),"")
</f>
        <v>Fandi Putri</v>
      </c>
      <c r="E1751" s="6" t="str">
        <f t="array" ref="E1751">IFERROR(INDEX(user_table!$E$2:$E3686,MATCH(C1751,user_table!$B$2:$B3686,0)),"")
</f>
        <v>5, 1</v>
      </c>
      <c r="F1751" s="6" t="str">
        <f t="shared" si="2"/>
        <v>31675128</v>
      </c>
      <c r="G1751" s="16">
        <v>5.0</v>
      </c>
      <c r="H1751" s="17">
        <v>44680.0</v>
      </c>
      <c r="I1751" s="18" t="s">
        <v>1723</v>
      </c>
    </row>
    <row r="1752">
      <c r="A1752" s="5" t="str">
        <f t="array" ref="A1752">INDEX(event_table!$A$2:$A$69, RANDBETWEEN(1, COUNTA(event_table!$A$2:$A$69)))</f>
        <v>1651</v>
      </c>
      <c r="B1752" s="6">
        <f t="array" ref="B1752">IFERROR(INDEX(event_table!$E$1:$E3686,MATCH(A1752,event_table!$A$1:$A3686,0)),"")
</f>
        <v>6</v>
      </c>
      <c r="C1752" s="7">
        <f t="shared" si="1"/>
        <v>156</v>
      </c>
      <c r="D1752" s="6" t="str">
        <f t="array" ref="D1752">IFERROR(INDEX(user_table!$C$2:$C3686,MATCH(C1752,user_table!$B$2:$B3686,0)),"")
</f>
        <v>Lina Kusuma</v>
      </c>
      <c r="E1752" s="6" t="str">
        <f t="array" ref="E1752">IFERROR(INDEX(user_table!$E$2:$E3686,MATCH(C1752,user_table!$B$2:$B3686,0)),"")
</f>
        <v>4, 3</v>
      </c>
      <c r="F1752" s="6" t="str">
        <f t="shared" si="2"/>
        <v>165156156</v>
      </c>
      <c r="G1752" s="16">
        <v>5.0</v>
      </c>
      <c r="H1752" s="17">
        <v>44940.0</v>
      </c>
      <c r="I1752" s="18" t="s">
        <v>1724</v>
      </c>
    </row>
    <row r="1753">
      <c r="A1753" s="5" t="str">
        <f t="array" ref="A1753">INDEX(event_table!$A$2:$A$69, RANDBETWEEN(1, COUNTA(event_table!$A$2:$A$69)))</f>
        <v>3167</v>
      </c>
      <c r="B1753" s="6">
        <f t="array" ref="B1753">IFERROR(INDEX(event_table!$E$1:$E3686,MATCH(A1753,event_table!$A$1:$A3686,0)),"")
</f>
        <v>1</v>
      </c>
      <c r="C1753" s="7">
        <f t="shared" si="1"/>
        <v>40</v>
      </c>
      <c r="D1753" s="6" t="str">
        <f t="array" ref="D1753">IFERROR(INDEX(user_table!$C$2:$C3686,MATCH(C1753,user_table!$B$2:$B3686,0)),"")
</f>
        <v>Joko Sari</v>
      </c>
      <c r="E1753" s="6" t="str">
        <f t="array" ref="E1753">IFERROR(INDEX(user_table!$E$2:$E3686,MATCH(C1753,user_table!$B$2:$B3686,0)),"")
</f>
        <v>5, 6</v>
      </c>
      <c r="F1753" s="6" t="str">
        <f t="shared" si="2"/>
        <v>31675140</v>
      </c>
      <c r="G1753" s="16">
        <v>5.0</v>
      </c>
      <c r="H1753" s="17">
        <v>44817.0</v>
      </c>
      <c r="I1753" s="18" t="s">
        <v>1725</v>
      </c>
    </row>
    <row r="1754">
      <c r="A1754" s="5" t="str">
        <f t="array" ref="A1754">INDEX(event_table!$A$2:$A$69, RANDBETWEEN(1, COUNTA(event_table!$A$2:$A$69)))</f>
        <v>1313</v>
      </c>
      <c r="B1754" s="6">
        <f t="array" ref="B1754">IFERROR(INDEX(event_table!$E$1:$E3686,MATCH(A1754,event_table!$A$1:$A3686,0)),"")
</f>
        <v>3</v>
      </c>
      <c r="C1754" s="7">
        <f t="shared" si="1"/>
        <v>70</v>
      </c>
      <c r="D1754" s="6" t="str">
        <f t="array" ref="D1754">IFERROR(INDEX(user_table!$C$2:$C3686,MATCH(C1754,user_table!$B$2:$B3686,0)),"")
</f>
        <v>Fandi Hadiwijaya</v>
      </c>
      <c r="E1754" s="6" t="str">
        <f t="array" ref="E1754">IFERROR(INDEX(user_table!$E$2:$E3686,MATCH(C1754,user_table!$B$2:$B3686,0)),"")
</f>
        <v>1, 4</v>
      </c>
      <c r="F1754" s="6" t="str">
        <f t="shared" si="2"/>
        <v>13135370</v>
      </c>
      <c r="G1754" s="16">
        <v>5.0</v>
      </c>
      <c r="H1754" s="17">
        <v>44801.0</v>
      </c>
      <c r="I1754" s="18" t="s">
        <v>1726</v>
      </c>
    </row>
    <row r="1755">
      <c r="A1755" s="5" t="str">
        <f t="array" ref="A1755">INDEX(event_table!$A$2:$A$69, RANDBETWEEN(1, COUNTA(event_table!$A$2:$A$69)))</f>
        <v>1332</v>
      </c>
      <c r="B1755" s="6">
        <f t="array" ref="B1755">IFERROR(INDEX(event_table!$E$1:$E3686,MATCH(A1755,event_table!$A$1:$A3686,0)),"")
</f>
        <v>3</v>
      </c>
      <c r="C1755" s="7">
        <f t="shared" si="1"/>
        <v>39</v>
      </c>
      <c r="D1755" s="6" t="str">
        <f t="array" ref="D1755">IFERROR(INDEX(user_table!$C$2:$C3686,MATCH(C1755,user_table!$B$2:$B3686,0)),"")
</f>
        <v>Desi Utami</v>
      </c>
      <c r="E1755" s="6" t="str">
        <f t="array" ref="E1755">IFERROR(INDEX(user_table!$E$2:$E3686,MATCH(C1755,user_table!$B$2:$B3686,0)),"")
</f>
        <v>3, 1</v>
      </c>
      <c r="F1755" s="6" t="str">
        <f t="shared" si="2"/>
        <v>13325339</v>
      </c>
      <c r="G1755" s="16">
        <v>5.0</v>
      </c>
      <c r="H1755" s="17">
        <v>44732.0</v>
      </c>
      <c r="I1755" s="18" t="s">
        <v>1727</v>
      </c>
    </row>
    <row r="1756">
      <c r="A1756" s="5" t="str">
        <f t="array" ref="A1756">INDEX(event_table!$A$2:$A$69, RANDBETWEEN(1, COUNTA(event_table!$A$2:$A$69)))</f>
        <v>1649</v>
      </c>
      <c r="B1756" s="6">
        <f t="array" ref="B1756">IFERROR(INDEX(event_table!$E$1:$E3686,MATCH(A1756,event_table!$A$1:$A3686,0)),"")
</f>
        <v>6</v>
      </c>
      <c r="C1756" s="7">
        <f t="shared" si="1"/>
        <v>192</v>
      </c>
      <c r="D1756" s="6" t="str">
        <f t="array" ref="D1756">IFERROR(INDEX(user_table!$C$2:$C3686,MATCH(C1756,user_table!$B$2:$B3686,0)),"")
</f>
        <v>Joko Hadiwijaya</v>
      </c>
      <c r="E1756" s="6" t="str">
        <f t="array" ref="E1756">IFERROR(INDEX(user_table!$E$2:$E3686,MATCH(C1756,user_table!$B$2:$B3686,0)),"")
</f>
        <v>1, 3</v>
      </c>
      <c r="F1756" s="6" t="str">
        <f t="shared" si="2"/>
        <v>164956192</v>
      </c>
      <c r="G1756" s="16">
        <v>5.0</v>
      </c>
      <c r="H1756" s="17">
        <v>44724.0</v>
      </c>
      <c r="I1756" s="18" t="s">
        <v>1728</v>
      </c>
    </row>
    <row r="1757">
      <c r="A1757" s="5" t="str">
        <f t="array" ref="A1757">INDEX(event_table!$A$2:$A$69, RANDBETWEEN(1, COUNTA(event_table!$A$2:$A$69)))</f>
        <v>1650</v>
      </c>
      <c r="B1757" s="6">
        <f t="array" ref="B1757">IFERROR(INDEX(event_table!$E$1:$E3686,MATCH(A1757,event_table!$A$1:$A3686,0)),"")
</f>
        <v>6</v>
      </c>
      <c r="C1757" s="7">
        <f t="shared" si="1"/>
        <v>13</v>
      </c>
      <c r="D1757" s="6" t="str">
        <f t="array" ref="D1757">IFERROR(INDEX(user_table!$C$2:$C3686,MATCH(C1757,user_table!$B$2:$B3686,0)),"")
</f>
        <v>Hadi Kurniawan</v>
      </c>
      <c r="E1757" s="6" t="str">
        <f t="array" ref="E1757">IFERROR(INDEX(user_table!$E$2:$E3686,MATCH(C1757,user_table!$B$2:$B3686,0)),"")
</f>
        <v>4, 3</v>
      </c>
      <c r="F1757" s="6" t="str">
        <f t="shared" si="2"/>
        <v>16505613</v>
      </c>
      <c r="G1757" s="16">
        <v>5.0</v>
      </c>
      <c r="H1757" s="17">
        <v>44721.0</v>
      </c>
      <c r="I1757" s="18" t="s">
        <v>1729</v>
      </c>
    </row>
    <row r="1758">
      <c r="A1758" s="5" t="str">
        <f t="array" ref="A1758">INDEX(event_table!$A$2:$A$69, RANDBETWEEN(1, COUNTA(event_table!$A$2:$A$69)))</f>
        <v>1645</v>
      </c>
      <c r="B1758" s="6">
        <f t="array" ref="B1758">IFERROR(INDEX(event_table!$E$1:$E3686,MATCH(A1758,event_table!$A$1:$A3686,0)),"")
</f>
        <v>6</v>
      </c>
      <c r="C1758" s="7">
        <f t="shared" si="1"/>
        <v>78</v>
      </c>
      <c r="D1758" s="6" t="str">
        <f t="array" ref="D1758">IFERROR(INDEX(user_table!$C$2:$C3686,MATCH(C1758,user_table!$B$2:$B3686,0)),"")
</f>
        <v>Fandi Putri</v>
      </c>
      <c r="E1758" s="6" t="str">
        <f t="array" ref="E1758">IFERROR(INDEX(user_table!$E$2:$E3686,MATCH(C1758,user_table!$B$2:$B3686,0)),"")
</f>
        <v>3, 3</v>
      </c>
      <c r="F1758" s="6" t="str">
        <f t="shared" si="2"/>
        <v>16455678</v>
      </c>
      <c r="G1758" s="16">
        <v>5.0</v>
      </c>
      <c r="H1758" s="17">
        <v>44710.0</v>
      </c>
      <c r="I1758" s="18" t="s">
        <v>1730</v>
      </c>
    </row>
    <row r="1759">
      <c r="A1759" s="5" t="str">
        <f t="array" ref="A1759">INDEX(event_table!$A$2:$A$69, RANDBETWEEN(1, COUNTA(event_table!$A$2:$A$69)))</f>
        <v>1638</v>
      </c>
      <c r="B1759" s="6">
        <f t="array" ref="B1759">IFERROR(INDEX(event_table!$E$1:$E3686,MATCH(A1759,event_table!$A$1:$A3686,0)),"")
</f>
        <v>6</v>
      </c>
      <c r="C1759" s="7">
        <f t="shared" si="1"/>
        <v>63</v>
      </c>
      <c r="D1759" s="6" t="str">
        <f t="array" ref="D1759">IFERROR(INDEX(user_table!$C$2:$C3686,MATCH(C1759,user_table!$B$2:$B3686,0)),"")
</f>
        <v>Desi Putri</v>
      </c>
      <c r="E1759" s="6" t="str">
        <f t="array" ref="E1759">IFERROR(INDEX(user_table!$E$2:$E3686,MATCH(C1759,user_table!$B$2:$B3686,0)),"")
</f>
        <v>2, 5</v>
      </c>
      <c r="F1759" s="6" t="str">
        <f t="shared" si="2"/>
        <v>16385663</v>
      </c>
      <c r="G1759" s="16">
        <v>5.0</v>
      </c>
      <c r="H1759" s="17">
        <v>44704.0</v>
      </c>
      <c r="I1759" s="18" t="s">
        <v>1731</v>
      </c>
    </row>
    <row r="1760">
      <c r="A1760" s="5" t="str">
        <f t="array" ref="A1760">INDEX(event_table!$A$2:$A$69, RANDBETWEEN(1, COUNTA(event_table!$A$2:$A$69)))</f>
        <v>119</v>
      </c>
      <c r="B1760" s="6">
        <f t="array" ref="B1760">IFERROR(INDEX(event_table!$E$1:$E3686,MATCH(A1760,event_table!$A$1:$A3686,0)),"")
</f>
        <v>1</v>
      </c>
      <c r="C1760" s="7">
        <f t="shared" si="1"/>
        <v>76</v>
      </c>
      <c r="D1760" s="6" t="str">
        <f t="array" ref="D1760">IFERROR(INDEX(user_table!$C$2:$C3686,MATCH(C1760,user_table!$B$2:$B3686,0)),"")
</f>
        <v>Sinta Hidayat</v>
      </c>
      <c r="E1760" s="6" t="str">
        <f t="array" ref="E1760">IFERROR(INDEX(user_table!$E$2:$E3686,MATCH(C1760,user_table!$B$2:$B3686,0)),"")
</f>
        <v>3, 2</v>
      </c>
      <c r="F1760" s="6" t="str">
        <f t="shared" si="2"/>
        <v>1195176</v>
      </c>
      <c r="G1760" s="16">
        <v>5.0</v>
      </c>
      <c r="H1760" s="17">
        <v>44694.0</v>
      </c>
      <c r="I1760" s="18" t="s">
        <v>1732</v>
      </c>
    </row>
    <row r="1761">
      <c r="A1761" s="5" t="str">
        <f t="array" ref="A1761">INDEX(event_table!$A$2:$A$69, RANDBETWEEN(1, COUNTA(event_table!$A$2:$A$69)))</f>
        <v>117</v>
      </c>
      <c r="B1761" s="6">
        <f t="array" ref="B1761">IFERROR(INDEX(event_table!$E$1:$E3686,MATCH(A1761,event_table!$A$1:$A3686,0)),"")
</f>
        <v>1</v>
      </c>
      <c r="C1761" s="7">
        <f t="shared" si="1"/>
        <v>108</v>
      </c>
      <c r="D1761" s="6" t="str">
        <f t="array" ref="D1761">IFERROR(INDEX(user_table!$C$2:$C3686,MATCH(C1761,user_table!$B$2:$B3686,0)),"")
</f>
        <v>Dewi Hadiwijaya</v>
      </c>
      <c r="E1761" s="6" t="str">
        <f t="array" ref="E1761">IFERROR(INDEX(user_table!$E$2:$E3686,MATCH(C1761,user_table!$B$2:$B3686,0)),"")
</f>
        <v>6, 6</v>
      </c>
      <c r="F1761" s="6" t="str">
        <f t="shared" si="2"/>
        <v>11741108</v>
      </c>
      <c r="G1761" s="16">
        <v>4.0</v>
      </c>
      <c r="H1761" s="17">
        <v>44990.0</v>
      </c>
      <c r="I1761" s="18" t="s">
        <v>1733</v>
      </c>
    </row>
    <row r="1762">
      <c r="A1762" s="5" t="str">
        <f t="array" ref="A1762">INDEX(event_table!$A$2:$A$69, RANDBETWEEN(1, COUNTA(event_table!$A$2:$A$69)))</f>
        <v>1334</v>
      </c>
      <c r="B1762" s="6">
        <f t="array" ref="B1762">IFERROR(INDEX(event_table!$E$1:$E3686,MATCH(A1762,event_table!$A$1:$A3686,0)),"")
</f>
        <v>3</v>
      </c>
      <c r="C1762" s="7">
        <f t="shared" si="1"/>
        <v>129</v>
      </c>
      <c r="D1762" s="6" t="str">
        <f t="array" ref="D1762">IFERROR(INDEX(user_table!$C$2:$C3686,MATCH(C1762,user_table!$B$2:$B3686,0)),"")
</f>
        <v>Maya Kusuma</v>
      </c>
      <c r="E1762" s="6" t="str">
        <f t="array" ref="E1762">IFERROR(INDEX(user_table!$E$2:$E3686,MATCH(C1762,user_table!$B$2:$B3686,0)),"")
</f>
        <v>4, 6</v>
      </c>
      <c r="F1762" s="6" t="str">
        <f t="shared" si="2"/>
        <v>133443129</v>
      </c>
      <c r="G1762" s="16">
        <v>4.0</v>
      </c>
      <c r="H1762" s="17">
        <v>44927.0</v>
      </c>
      <c r="I1762" s="18" t="s">
        <v>1734</v>
      </c>
    </row>
    <row r="1763">
      <c r="A1763" s="5" t="str">
        <f t="array" ref="A1763">INDEX(event_table!$A$2:$A$69, RANDBETWEEN(1, COUNTA(event_table!$A$2:$A$69)))</f>
        <v>1313</v>
      </c>
      <c r="B1763" s="6">
        <f t="array" ref="B1763">IFERROR(INDEX(event_table!$E$1:$E3686,MATCH(A1763,event_table!$A$1:$A3686,0)),"")
</f>
        <v>3</v>
      </c>
      <c r="C1763" s="7">
        <f t="shared" si="1"/>
        <v>67</v>
      </c>
      <c r="D1763" s="6" t="str">
        <f t="array" ref="D1763">IFERROR(INDEX(user_table!$C$2:$C3686,MATCH(C1763,user_table!$B$2:$B3686,0)),"")
</f>
        <v>Joko Pratama</v>
      </c>
      <c r="E1763" s="6" t="str">
        <f t="array" ref="E1763">IFERROR(INDEX(user_table!$E$2:$E3686,MATCH(C1763,user_table!$B$2:$B3686,0)),"")
</f>
        <v>1, 3</v>
      </c>
      <c r="F1763" s="6" t="str">
        <f t="shared" si="2"/>
        <v>13134367</v>
      </c>
      <c r="G1763" s="16">
        <v>4.0</v>
      </c>
      <c r="H1763" s="17">
        <v>45093.0</v>
      </c>
      <c r="I1763" s="18" t="s">
        <v>1735</v>
      </c>
    </row>
    <row r="1764">
      <c r="A1764" s="5" t="str">
        <f t="array" ref="A1764">INDEX(event_table!$A$2:$A$69, RANDBETWEEN(1, COUNTA(event_table!$A$2:$A$69)))</f>
        <v>1638</v>
      </c>
      <c r="B1764" s="6">
        <f t="array" ref="B1764">IFERROR(INDEX(event_table!$E$1:$E3686,MATCH(A1764,event_table!$A$1:$A3686,0)),"")
</f>
        <v>6</v>
      </c>
      <c r="C1764" s="7">
        <f t="shared" si="1"/>
        <v>19</v>
      </c>
      <c r="D1764" s="6" t="str">
        <f t="array" ref="D1764">IFERROR(INDEX(user_table!$C$2:$C3686,MATCH(C1764,user_table!$B$2:$B3686,0)),"")
</f>
        <v>Siti Purnama</v>
      </c>
      <c r="E1764" s="6" t="str">
        <f t="array" ref="E1764">IFERROR(INDEX(user_table!$E$2:$E3686,MATCH(C1764,user_table!$B$2:$B3686,0)),"")
</f>
        <v>2, 1</v>
      </c>
      <c r="F1764" s="6" t="str">
        <f t="shared" si="2"/>
        <v>16384619</v>
      </c>
      <c r="G1764" s="16">
        <v>4.0</v>
      </c>
      <c r="H1764" s="17">
        <v>44939.0</v>
      </c>
      <c r="I1764" s="18" t="s">
        <v>1736</v>
      </c>
    </row>
    <row r="1765">
      <c r="A1765" s="5" t="str">
        <f t="array" ref="A1765">INDEX(event_table!$A$2:$A$69, RANDBETWEEN(1, COUNTA(event_table!$A$2:$A$69)))</f>
        <v>3166</v>
      </c>
      <c r="B1765" s="6">
        <f t="array" ref="B1765">IFERROR(INDEX(event_table!$E$1:$E3686,MATCH(A1765,event_table!$A$1:$A3686,0)),"")
</f>
        <v>1</v>
      </c>
      <c r="C1765" s="7">
        <f t="shared" si="1"/>
        <v>152</v>
      </c>
      <c r="D1765" s="6" t="str">
        <f t="array" ref="D1765">IFERROR(INDEX(user_table!$C$2:$C3686,MATCH(C1765,user_table!$B$2:$B3686,0)),"")
</f>
        <v>Budi Kurniawan</v>
      </c>
      <c r="E1765" s="6" t="str">
        <f t="array" ref="E1765">IFERROR(INDEX(user_table!$E$2:$E3686,MATCH(C1765,user_table!$B$2:$B3686,0)),"")
</f>
        <v>5, 5</v>
      </c>
      <c r="F1765" s="6" t="str">
        <f t="shared" si="2"/>
        <v>316641152</v>
      </c>
      <c r="G1765" s="16">
        <v>4.0</v>
      </c>
      <c r="H1765" s="17">
        <v>44733.0</v>
      </c>
      <c r="I1765" s="18" t="s">
        <v>1737</v>
      </c>
    </row>
    <row r="1766">
      <c r="A1766" s="5" t="str">
        <f t="array" ref="A1766">INDEX(event_table!$A$2:$A$69, RANDBETWEEN(1, COUNTA(event_table!$A$2:$A$69)))</f>
        <v>1424</v>
      </c>
      <c r="B1766" s="6">
        <f t="array" ref="B1766">IFERROR(INDEX(event_table!$E$1:$E3686,MATCH(A1766,event_table!$A$1:$A3686,0)),"")
</f>
        <v>4</v>
      </c>
      <c r="C1766" s="7">
        <f t="shared" si="1"/>
        <v>124</v>
      </c>
      <c r="D1766" s="6" t="str">
        <f t="array" ref="D1766">IFERROR(INDEX(user_table!$C$2:$C3686,MATCH(C1766,user_table!$B$2:$B3686,0)),"")
</f>
        <v>Fandi Setiawan</v>
      </c>
      <c r="E1766" s="6" t="str">
        <f t="array" ref="E1766">IFERROR(INDEX(user_table!$E$2:$E3686,MATCH(C1766,user_table!$B$2:$B3686,0)),"")
</f>
        <v>5, 4</v>
      </c>
      <c r="F1766" s="6" t="str">
        <f t="shared" si="2"/>
        <v>142444124</v>
      </c>
      <c r="G1766" s="16">
        <v>4.0</v>
      </c>
      <c r="H1766" s="17">
        <v>45141.0</v>
      </c>
      <c r="I1766" s="18" t="s">
        <v>1738</v>
      </c>
    </row>
    <row r="1767">
      <c r="A1767" s="5" t="str">
        <f t="array" ref="A1767">INDEX(event_table!$A$2:$A$69, RANDBETWEEN(1, COUNTA(event_table!$A$2:$A$69)))</f>
        <v>1334</v>
      </c>
      <c r="B1767" s="6">
        <f t="array" ref="B1767">IFERROR(INDEX(event_table!$E$1:$E3686,MATCH(A1767,event_table!$A$1:$A3686,0)),"")
</f>
        <v>3</v>
      </c>
      <c r="C1767" s="7">
        <f t="shared" si="1"/>
        <v>198</v>
      </c>
      <c r="D1767" s="6" t="str">
        <f t="array" ref="D1767">IFERROR(INDEX(user_table!$C$2:$C3686,MATCH(C1767,user_table!$B$2:$B3686,0)),"")
</f>
        <v>Siti Nugroho</v>
      </c>
      <c r="E1767" s="6" t="str">
        <f t="array" ref="E1767">IFERROR(INDEX(user_table!$E$2:$E3686,MATCH(C1767,user_table!$B$2:$B3686,0)),"")
</f>
        <v>5, 2</v>
      </c>
      <c r="F1767" s="6" t="str">
        <f t="shared" si="2"/>
        <v>133443198</v>
      </c>
      <c r="G1767" s="16">
        <v>4.0</v>
      </c>
      <c r="H1767" s="17">
        <v>44865.0</v>
      </c>
      <c r="I1767" s="18" t="s">
        <v>437</v>
      </c>
    </row>
    <row r="1768">
      <c r="A1768" s="5" t="str">
        <f t="array" ref="A1768">INDEX(event_table!$A$2:$A$69, RANDBETWEEN(1, COUNTA(event_table!$A$2:$A$69)))</f>
        <v>3356</v>
      </c>
      <c r="B1768" s="6">
        <f t="array" ref="B1768">IFERROR(INDEX(event_table!$E$1:$E3686,MATCH(A1768,event_table!$A$1:$A3686,0)),"")
</f>
        <v>3</v>
      </c>
      <c r="C1768" s="7">
        <f t="shared" si="1"/>
        <v>68</v>
      </c>
      <c r="D1768" s="6" t="str">
        <f t="array" ref="D1768">IFERROR(INDEX(user_table!$C$2:$C3686,MATCH(C1768,user_table!$B$2:$B3686,0)),"")
</f>
        <v>Wahyu Wijaya</v>
      </c>
      <c r="E1768" s="6" t="str">
        <f t="array" ref="E1768">IFERROR(INDEX(user_table!$E$2:$E3686,MATCH(C1768,user_table!$B$2:$B3686,0)),"")
</f>
        <v>4, 6</v>
      </c>
      <c r="F1768" s="6" t="str">
        <f t="shared" si="2"/>
        <v>33563368</v>
      </c>
      <c r="G1768" s="16">
        <v>3.0</v>
      </c>
      <c r="H1768" s="17">
        <v>45138.0</v>
      </c>
      <c r="I1768" s="18" t="s">
        <v>1739</v>
      </c>
    </row>
    <row r="1769">
      <c r="A1769" s="5" t="str">
        <f t="array" ref="A1769">INDEX(event_table!$A$2:$A$69, RANDBETWEEN(1, COUNTA(event_table!$A$2:$A$69)))</f>
        <v>117</v>
      </c>
      <c r="B1769" s="6">
        <f t="array" ref="B1769">IFERROR(INDEX(event_table!$E$1:$E3686,MATCH(A1769,event_table!$A$1:$A3686,0)),"")
</f>
        <v>1</v>
      </c>
      <c r="C1769" s="7">
        <f t="shared" si="1"/>
        <v>158</v>
      </c>
      <c r="D1769" s="6" t="str">
        <f t="array" ref="D1769">IFERROR(INDEX(user_table!$C$2:$C3686,MATCH(C1769,user_table!$B$2:$B3686,0)),"")
</f>
        <v>Maya Wijaya</v>
      </c>
      <c r="E1769" s="6" t="str">
        <f t="array" ref="E1769">IFERROR(INDEX(user_table!$E$2:$E3686,MATCH(C1769,user_table!$B$2:$B3686,0)),"")
</f>
        <v>3, 4</v>
      </c>
      <c r="F1769" s="6" t="str">
        <f t="shared" si="2"/>
        <v>11731158</v>
      </c>
      <c r="G1769" s="16">
        <v>3.0</v>
      </c>
      <c r="H1769" s="17">
        <v>44916.0</v>
      </c>
      <c r="I1769" s="18" t="s">
        <v>1740</v>
      </c>
    </row>
    <row r="1770">
      <c r="A1770" s="5" t="str">
        <f t="array" ref="A1770">INDEX(event_table!$A$2:$A$69, RANDBETWEEN(1, COUNTA(event_table!$A$2:$A$69)))</f>
        <v>1647</v>
      </c>
      <c r="B1770" s="6">
        <f t="array" ref="B1770">IFERROR(INDEX(event_table!$E$1:$E3686,MATCH(A1770,event_table!$A$1:$A3686,0)),"")
</f>
        <v>6</v>
      </c>
      <c r="C1770" s="7">
        <f t="shared" si="1"/>
        <v>150</v>
      </c>
      <c r="D1770" s="6" t="str">
        <f t="array" ref="D1770">IFERROR(INDEX(user_table!$C$2:$C3686,MATCH(C1770,user_table!$B$2:$B3686,0)),"")
</f>
        <v>Dina Susanto</v>
      </c>
      <c r="E1770" s="6" t="str">
        <f t="array" ref="E1770">IFERROR(INDEX(user_table!$E$2:$E3686,MATCH(C1770,user_table!$B$2:$B3686,0)),"")
</f>
        <v>2, 6</v>
      </c>
      <c r="F1770" s="6" t="str">
        <f t="shared" si="2"/>
        <v>164736150</v>
      </c>
      <c r="G1770" s="16">
        <v>3.0</v>
      </c>
      <c r="H1770" s="17">
        <v>44760.0</v>
      </c>
      <c r="I1770" s="18" t="s">
        <v>1741</v>
      </c>
    </row>
    <row r="1771">
      <c r="A1771" s="5" t="str">
        <f t="array" ref="A1771">INDEX(event_table!$A$2:$A$69, RANDBETWEEN(1, COUNTA(event_table!$A$2:$A$69)))</f>
        <v>1531</v>
      </c>
      <c r="B1771" s="6">
        <f t="array" ref="B1771">IFERROR(INDEX(event_table!$E$1:$E3686,MATCH(A1771,event_table!$A$1:$A3686,0)),"")
</f>
        <v>5</v>
      </c>
      <c r="C1771" s="7">
        <f t="shared" si="1"/>
        <v>118</v>
      </c>
      <c r="D1771" s="6" t="str">
        <f t="array" ref="D1771">IFERROR(INDEX(user_table!$C$2:$C3686,MATCH(C1771,user_table!$B$2:$B3686,0)),"")
</f>
        <v>Ani Santoso</v>
      </c>
      <c r="E1771" s="6" t="str">
        <f t="array" ref="E1771">IFERROR(INDEX(user_table!$E$2:$E3686,MATCH(C1771,user_table!$B$2:$B3686,0)),"")
</f>
        <v>6, 1</v>
      </c>
      <c r="F1771" s="6" t="str">
        <f t="shared" si="2"/>
        <v>153135118</v>
      </c>
      <c r="G1771" s="16">
        <v>3.0</v>
      </c>
      <c r="H1771" s="17">
        <v>44756.0</v>
      </c>
      <c r="I1771" s="18" t="s">
        <v>1742</v>
      </c>
    </row>
    <row r="1772">
      <c r="A1772" s="5" t="str">
        <f t="array" ref="A1772">INDEX(event_table!$A$2:$A$69, RANDBETWEEN(1, COUNTA(event_table!$A$2:$A$69)))</f>
        <v>1114</v>
      </c>
      <c r="B1772" s="6">
        <f t="array" ref="B1772">IFERROR(INDEX(event_table!$E$1:$E3686,MATCH(A1772,event_table!$A$1:$A3686,0)),"")
</f>
        <v>1</v>
      </c>
      <c r="C1772" s="7">
        <f t="shared" si="1"/>
        <v>144</v>
      </c>
      <c r="D1772" s="6" t="str">
        <f t="array" ref="D1772">IFERROR(INDEX(user_table!$C$2:$C3686,MATCH(C1772,user_table!$B$2:$B3686,0)),"")
</f>
        <v>Sinta Rahayu</v>
      </c>
      <c r="E1772" s="6" t="str">
        <f t="array" ref="E1772">IFERROR(INDEX(user_table!$E$2:$E3686,MATCH(C1772,user_table!$B$2:$B3686,0)),"")
</f>
        <v>6, 3</v>
      </c>
      <c r="F1772" s="6" t="str">
        <f t="shared" si="2"/>
        <v>111431144</v>
      </c>
      <c r="G1772" s="16">
        <v>3.0</v>
      </c>
      <c r="H1772" s="17">
        <v>45117.0</v>
      </c>
      <c r="I1772" s="18" t="s">
        <v>1743</v>
      </c>
    </row>
    <row r="1773">
      <c r="A1773" s="5" t="str">
        <f t="array" ref="A1773">INDEX(event_table!$A$2:$A$69, RANDBETWEEN(1, COUNTA(event_table!$A$2:$A$69)))</f>
        <v>3165</v>
      </c>
      <c r="B1773" s="6">
        <f t="array" ref="B1773">IFERROR(INDEX(event_table!$E$1:$E3686,MATCH(A1773,event_table!$A$1:$A3686,0)),"")
</f>
        <v>1</v>
      </c>
      <c r="C1773" s="7">
        <f t="shared" si="1"/>
        <v>28</v>
      </c>
      <c r="D1773" s="6" t="str">
        <f t="array" ref="D1773">IFERROR(INDEX(user_table!$C$2:$C3686,MATCH(C1773,user_table!$B$2:$B3686,0)),"")
</f>
        <v>Fandi Putri</v>
      </c>
      <c r="E1773" s="6" t="str">
        <f t="array" ref="E1773">IFERROR(INDEX(user_table!$E$2:$E3686,MATCH(C1773,user_table!$B$2:$B3686,0)),"")
</f>
        <v>5, 1</v>
      </c>
      <c r="F1773" s="6" t="str">
        <f t="shared" si="2"/>
        <v>31653128</v>
      </c>
      <c r="G1773" s="16">
        <v>3.0</v>
      </c>
      <c r="H1773" s="17">
        <v>45102.0</v>
      </c>
      <c r="I1773" s="18" t="s">
        <v>1744</v>
      </c>
    </row>
    <row r="1774">
      <c r="A1774" s="5" t="str">
        <f t="array" ref="A1774">INDEX(event_table!$A$2:$A$69, RANDBETWEEN(1, COUNTA(event_table!$A$2:$A$69)))</f>
        <v>1417</v>
      </c>
      <c r="B1774" s="6">
        <f t="array" ref="B1774">IFERROR(INDEX(event_table!$E$1:$E3686,MATCH(A1774,event_table!$A$1:$A3686,0)),"")
</f>
        <v>4</v>
      </c>
      <c r="C1774" s="7">
        <f t="shared" si="1"/>
        <v>156</v>
      </c>
      <c r="D1774" s="6" t="str">
        <f t="array" ref="D1774">IFERROR(INDEX(user_table!$C$2:$C3686,MATCH(C1774,user_table!$B$2:$B3686,0)),"")
</f>
        <v>Lina Kusuma</v>
      </c>
      <c r="E1774" s="6" t="str">
        <f t="array" ref="E1774">IFERROR(INDEX(user_table!$E$2:$E3686,MATCH(C1774,user_table!$B$2:$B3686,0)),"")
</f>
        <v>4, 3</v>
      </c>
      <c r="F1774" s="6" t="str">
        <f t="shared" si="2"/>
        <v>141724156</v>
      </c>
      <c r="G1774" s="16">
        <v>2.0</v>
      </c>
      <c r="H1774" s="17">
        <v>45138.0</v>
      </c>
      <c r="I1774" s="18" t="s">
        <v>1745</v>
      </c>
    </row>
    <row r="1775">
      <c r="A1775" s="5" t="str">
        <f t="array" ref="A1775">INDEX(event_table!$A$2:$A$69, RANDBETWEEN(1, COUNTA(event_table!$A$2:$A$69)))</f>
        <v>1531</v>
      </c>
      <c r="B1775" s="6">
        <f t="array" ref="B1775">IFERROR(INDEX(event_table!$E$1:$E3686,MATCH(A1775,event_table!$A$1:$A3686,0)),"")
</f>
        <v>5</v>
      </c>
      <c r="C1775" s="7">
        <f t="shared" si="1"/>
        <v>186</v>
      </c>
      <c r="D1775" s="6" t="str">
        <f t="array" ref="D1775">IFERROR(INDEX(user_table!$C$2:$C3686,MATCH(C1775,user_table!$B$2:$B3686,0)),"")
</f>
        <v>Budi Wijaya</v>
      </c>
      <c r="E1775" s="6" t="str">
        <f t="array" ref="E1775">IFERROR(INDEX(user_table!$E$2:$E3686,MATCH(C1775,user_table!$B$2:$B3686,0)),"")
</f>
        <v>1, 4</v>
      </c>
      <c r="F1775" s="6" t="str">
        <f t="shared" si="2"/>
        <v>153125186</v>
      </c>
      <c r="G1775" s="16">
        <v>2.0</v>
      </c>
      <c r="H1775" s="17">
        <v>44725.0</v>
      </c>
      <c r="I1775" s="18" t="s">
        <v>1746</v>
      </c>
    </row>
    <row r="1776">
      <c r="A1776" s="5" t="str">
        <f t="array" ref="A1776">INDEX(event_table!$A$2:$A$69, RANDBETWEEN(1, COUNTA(event_table!$A$2:$A$69)))</f>
        <v>1643</v>
      </c>
      <c r="B1776" s="6">
        <f t="array" ref="B1776">IFERROR(INDEX(event_table!$E$1:$E3686,MATCH(A1776,event_table!$A$1:$A3686,0)),"")
</f>
        <v>6</v>
      </c>
      <c r="C1776" s="7">
        <f t="shared" si="1"/>
        <v>68</v>
      </c>
      <c r="D1776" s="6" t="str">
        <f t="array" ref="D1776">IFERROR(INDEX(user_table!$C$2:$C3686,MATCH(C1776,user_table!$B$2:$B3686,0)),"")
</f>
        <v>Wahyu Wijaya</v>
      </c>
      <c r="E1776" s="6" t="str">
        <f t="array" ref="E1776">IFERROR(INDEX(user_table!$E$2:$E3686,MATCH(C1776,user_table!$B$2:$B3686,0)),"")
</f>
        <v>4, 6</v>
      </c>
      <c r="F1776" s="6" t="str">
        <f t="shared" si="2"/>
        <v>16432668</v>
      </c>
      <c r="G1776" s="16">
        <v>2.0</v>
      </c>
      <c r="H1776" s="17">
        <v>45107.0</v>
      </c>
      <c r="I1776" s="18" t="s">
        <v>1747</v>
      </c>
    </row>
    <row r="1777">
      <c r="A1777" s="5" t="str">
        <f t="array" ref="A1777">INDEX(event_table!$A$2:$A$69, RANDBETWEEN(1, COUNTA(event_table!$A$2:$A$69)))</f>
        <v>1425</v>
      </c>
      <c r="B1777" s="6">
        <f t="array" ref="B1777">IFERROR(INDEX(event_table!$E$1:$E3686,MATCH(A1777,event_table!$A$1:$A3686,0)),"")
</f>
        <v>4</v>
      </c>
      <c r="C1777" s="7">
        <f t="shared" si="1"/>
        <v>169</v>
      </c>
      <c r="D1777" s="6" t="str">
        <f t="array" ref="D1777">IFERROR(INDEX(user_table!$C$2:$C3686,MATCH(C1777,user_table!$B$2:$B3686,0)),"")
</f>
        <v>Dian Saputra</v>
      </c>
      <c r="E1777" s="6" t="str">
        <f t="array" ref="E1777">IFERROR(INDEX(user_table!$E$2:$E3686,MATCH(C1777,user_table!$B$2:$B3686,0)),"")
</f>
        <v>6, 1</v>
      </c>
      <c r="F1777" s="6" t="str">
        <f t="shared" si="2"/>
        <v>142524169</v>
      </c>
      <c r="G1777" s="16">
        <v>2.0</v>
      </c>
      <c r="H1777" s="17">
        <v>44977.0</v>
      </c>
      <c r="I1777" s="18" t="s">
        <v>1748</v>
      </c>
    </row>
    <row r="1778">
      <c r="A1778" s="5" t="str">
        <f t="array" ref="A1778">INDEX(event_table!$A$2:$A$69, RANDBETWEEN(1, COUNTA(event_table!$A$2:$A$69)))</f>
        <v>3455</v>
      </c>
      <c r="B1778" s="6">
        <f t="array" ref="B1778">IFERROR(INDEX(event_table!$E$1:$E3686,MATCH(A1778,event_table!$A$1:$A3686,0)),"")
</f>
        <v>4</v>
      </c>
      <c r="C1778" s="7">
        <f t="shared" si="1"/>
        <v>180</v>
      </c>
      <c r="D1778" s="6" t="str">
        <f t="array" ref="D1778">IFERROR(INDEX(user_table!$C$2:$C3686,MATCH(C1778,user_table!$B$2:$B3686,0)),"")
</f>
        <v>Andi Susanto</v>
      </c>
      <c r="E1778" s="6" t="str">
        <f t="array" ref="E1778">IFERROR(INDEX(user_table!$E$2:$E3686,MATCH(C1778,user_table!$B$2:$B3686,0)),"")
</f>
        <v>6, 5</v>
      </c>
      <c r="F1778" s="6" t="str">
        <f t="shared" si="2"/>
        <v>345524180</v>
      </c>
      <c r="G1778" s="16">
        <v>2.0</v>
      </c>
      <c r="H1778" s="17">
        <v>44860.0</v>
      </c>
      <c r="I1778" s="18" t="s">
        <v>1749</v>
      </c>
    </row>
    <row r="1779">
      <c r="A1779" s="5" t="str">
        <f t="array" ref="A1779">INDEX(event_table!$A$2:$A$69, RANDBETWEEN(1, COUNTA(event_table!$A$2:$A$69)))</f>
        <v>1418</v>
      </c>
      <c r="B1779" s="6">
        <f t="array" ref="B1779">IFERROR(INDEX(event_table!$E$1:$E3686,MATCH(A1779,event_table!$A$1:$A3686,0)),"")
</f>
        <v>4</v>
      </c>
      <c r="C1779" s="7">
        <f t="shared" si="1"/>
        <v>89</v>
      </c>
      <c r="D1779" s="6" t="str">
        <f t="array" ref="D1779">IFERROR(INDEX(user_table!$C$2:$C3686,MATCH(C1779,user_table!$B$2:$B3686,0)),"")
</f>
        <v>Hadi Wijaya</v>
      </c>
      <c r="E1779" s="6" t="str">
        <f t="array" ref="E1779">IFERROR(INDEX(user_table!$E$2:$E3686,MATCH(C1779,user_table!$B$2:$B3686,0)),"")
</f>
        <v>6, 4</v>
      </c>
      <c r="F1779" s="6" t="str">
        <f t="shared" si="2"/>
        <v>14182489</v>
      </c>
      <c r="G1779" s="16">
        <v>2.0</v>
      </c>
      <c r="H1779" s="17">
        <v>44517.0</v>
      </c>
      <c r="I1779" s="18" t="s">
        <v>1750</v>
      </c>
    </row>
    <row r="1780">
      <c r="A1780" s="5" t="str">
        <f t="array" ref="A1780">INDEX(event_table!$A$2:$A$69, RANDBETWEEN(1, COUNTA(event_table!$A$2:$A$69)))</f>
        <v>1647</v>
      </c>
      <c r="B1780" s="6">
        <f t="array" ref="B1780">IFERROR(INDEX(event_table!$E$1:$E3686,MATCH(A1780,event_table!$A$1:$A3686,0)),"")
</f>
        <v>6</v>
      </c>
      <c r="C1780" s="7">
        <f t="shared" si="1"/>
        <v>143</v>
      </c>
      <c r="D1780" s="6" t="str">
        <f t="array" ref="D1780">IFERROR(INDEX(user_table!$C$2:$C3686,MATCH(C1780,user_table!$B$2:$B3686,0)),"")
</f>
        <v>Agus Putri</v>
      </c>
      <c r="E1780" s="6" t="str">
        <f t="array" ref="E1780">IFERROR(INDEX(user_table!$E$2:$E3686,MATCH(C1780,user_table!$B$2:$B3686,0)),"")
</f>
        <v>3, 3</v>
      </c>
      <c r="F1780" s="6" t="str">
        <f t="shared" si="2"/>
        <v>164726143</v>
      </c>
      <c r="G1780" s="16">
        <v>2.0</v>
      </c>
      <c r="H1780" s="17">
        <v>44510.0</v>
      </c>
      <c r="I1780" s="18" t="s">
        <v>1751</v>
      </c>
    </row>
    <row r="1781">
      <c r="A1781" s="5" t="str">
        <f t="array" ref="A1781">INDEX(event_table!$A$2:$A$69, RANDBETWEEN(1, COUNTA(event_table!$A$2:$A$69)))</f>
        <v>111</v>
      </c>
      <c r="B1781" s="6">
        <f t="array" ref="B1781">IFERROR(INDEX(event_table!$E$1:$E3686,MATCH(A1781,event_table!$A$1:$A3686,0)),"")
</f>
        <v>1</v>
      </c>
      <c r="C1781" s="7">
        <f t="shared" si="1"/>
        <v>44</v>
      </c>
      <c r="D1781" s="6" t="str">
        <f t="array" ref="D1781">IFERROR(INDEX(user_table!$C$2:$C3686,MATCH(C1781,user_table!$B$2:$B3686,0)),"")
</f>
        <v>Arif Sari</v>
      </c>
      <c r="E1781" s="6" t="str">
        <f t="array" ref="E1781">IFERROR(INDEX(user_table!$E$2:$E3686,MATCH(C1781,user_table!$B$2:$B3686,0)),"")
</f>
        <v>2, 4</v>
      </c>
      <c r="F1781" s="6" t="str">
        <f t="shared" si="2"/>
        <v>1112144</v>
      </c>
      <c r="G1781" s="16">
        <v>2.0</v>
      </c>
      <c r="H1781" s="17">
        <v>44380.0</v>
      </c>
      <c r="I1781" s="18" t="s">
        <v>1752</v>
      </c>
    </row>
    <row r="1782">
      <c r="A1782" s="5" t="str">
        <f t="array" ref="A1782">INDEX(event_table!$A$2:$A$69, RANDBETWEEN(1, COUNTA(event_table!$A$2:$A$69)))</f>
        <v>3657</v>
      </c>
      <c r="B1782" s="6">
        <f t="array" ref="B1782">IFERROR(INDEX(event_table!$E$1:$E3686,MATCH(A1782,event_table!$A$1:$A3686,0)),"")
</f>
        <v>6</v>
      </c>
      <c r="C1782" s="7">
        <f t="shared" si="1"/>
        <v>155</v>
      </c>
      <c r="D1782" s="6" t="str">
        <f t="array" ref="D1782">IFERROR(INDEX(user_table!$C$2:$C3686,MATCH(C1782,user_table!$B$2:$B3686,0)),"")
</f>
        <v>Sinta Saputra</v>
      </c>
      <c r="E1782" s="6" t="str">
        <f t="array" ref="E1782">IFERROR(INDEX(user_table!$E$2:$E3686,MATCH(C1782,user_table!$B$2:$B3686,0)),"")
</f>
        <v>5, 2</v>
      </c>
      <c r="F1782" s="6" t="str">
        <f t="shared" si="2"/>
        <v>365726155</v>
      </c>
      <c r="G1782" s="16">
        <v>2.0</v>
      </c>
      <c r="H1782" s="17">
        <v>45258.0</v>
      </c>
      <c r="I1782" s="18" t="s">
        <v>1753</v>
      </c>
    </row>
    <row r="1783">
      <c r="A1783" s="5" t="str">
        <f t="array" ref="A1783">INDEX(event_table!$A$2:$A$69, RANDBETWEEN(1, COUNTA(event_table!$A$2:$A$69)))</f>
        <v>3163</v>
      </c>
      <c r="B1783" s="6">
        <f t="array" ref="B1783">IFERROR(INDEX(event_table!$E$1:$E3686,MATCH(A1783,event_table!$A$1:$A3686,0)),"")
</f>
        <v>1</v>
      </c>
      <c r="C1783" s="7">
        <f t="shared" si="1"/>
        <v>147</v>
      </c>
      <c r="D1783" s="6" t="str">
        <f t="array" ref="D1783">IFERROR(INDEX(user_table!$C$2:$C3686,MATCH(C1783,user_table!$B$2:$B3686,0)),"")
</f>
        <v>Fajar Saputra</v>
      </c>
      <c r="E1783" s="6" t="str">
        <f t="array" ref="E1783">IFERROR(INDEX(user_table!$E$2:$E3686,MATCH(C1783,user_table!$B$2:$B3686,0)),"")
</f>
        <v>6, 2</v>
      </c>
      <c r="F1783" s="6" t="str">
        <f t="shared" si="2"/>
        <v>316321147</v>
      </c>
      <c r="G1783" s="16">
        <v>2.0</v>
      </c>
      <c r="H1783" s="17">
        <v>45188.0</v>
      </c>
      <c r="I1783" s="18" t="s">
        <v>1754</v>
      </c>
    </row>
    <row r="1784">
      <c r="A1784" s="5" t="str">
        <f t="array" ref="A1784">INDEX(event_table!$A$2:$A$69, RANDBETWEEN(1, COUNTA(event_table!$A$2:$A$69)))</f>
        <v>1531</v>
      </c>
      <c r="B1784" s="6">
        <f t="array" ref="B1784">IFERROR(INDEX(event_table!$E$1:$E3686,MATCH(A1784,event_table!$A$1:$A3686,0)),"")
</f>
        <v>5</v>
      </c>
      <c r="C1784" s="7">
        <f t="shared" si="1"/>
        <v>136</v>
      </c>
      <c r="D1784" s="6" t="str">
        <f t="array" ref="D1784">IFERROR(INDEX(user_table!$C$2:$C3686,MATCH(C1784,user_table!$B$2:$B3686,0)),"")
</f>
        <v>Fandi Purnama</v>
      </c>
      <c r="E1784" s="6" t="str">
        <f t="array" ref="E1784">IFERROR(INDEX(user_table!$E$2:$E3686,MATCH(C1784,user_table!$B$2:$B3686,0)),"")
</f>
        <v>5, 6</v>
      </c>
      <c r="F1784" s="6" t="str">
        <f t="shared" si="2"/>
        <v>153125136</v>
      </c>
      <c r="G1784" s="16">
        <v>2.0</v>
      </c>
      <c r="H1784" s="17">
        <v>45100.0</v>
      </c>
      <c r="I1784" s="18" t="s">
        <v>1755</v>
      </c>
    </row>
    <row r="1785">
      <c r="A1785" s="5" t="str">
        <f t="array" ref="A1785">INDEX(event_table!$A$2:$A$69, RANDBETWEEN(1, COUNTA(event_table!$A$2:$A$69)))</f>
        <v>3167</v>
      </c>
      <c r="B1785" s="6">
        <f t="array" ref="B1785">IFERROR(INDEX(event_table!$E$1:$E3686,MATCH(A1785,event_table!$A$1:$A3686,0)),"")
</f>
        <v>1</v>
      </c>
      <c r="C1785" s="7">
        <f t="shared" si="1"/>
        <v>24</v>
      </c>
      <c r="D1785" s="6" t="str">
        <f t="array" ref="D1785">IFERROR(INDEX(user_table!$C$2:$C3686,MATCH(C1785,user_table!$B$2:$B3686,0)),"")
</f>
        <v>Andi Septiani</v>
      </c>
      <c r="E1785" s="6" t="str">
        <f t="array" ref="E1785">IFERROR(INDEX(user_table!$E$2:$E3686,MATCH(C1785,user_table!$B$2:$B3686,0)),"")
</f>
        <v>2, 2</v>
      </c>
      <c r="F1785" s="6" t="str">
        <f t="shared" si="2"/>
        <v>31672124</v>
      </c>
      <c r="G1785" s="16">
        <v>2.0</v>
      </c>
      <c r="H1785" s="17">
        <v>45044.0</v>
      </c>
      <c r="I1785" s="18" t="s">
        <v>1756</v>
      </c>
    </row>
    <row r="1786">
      <c r="A1786" s="5" t="str">
        <f t="array" ref="A1786">INDEX(event_table!$A$2:$A$69, RANDBETWEEN(1, COUNTA(event_table!$A$2:$A$69)))</f>
        <v>1418</v>
      </c>
      <c r="B1786" s="6">
        <f t="array" ref="B1786">IFERROR(INDEX(event_table!$E$1:$E3686,MATCH(A1786,event_table!$A$1:$A3686,0)),"")
</f>
        <v>4</v>
      </c>
      <c r="C1786" s="7">
        <f t="shared" si="1"/>
        <v>71</v>
      </c>
      <c r="D1786" s="6" t="str">
        <f t="array" ref="D1786">IFERROR(INDEX(user_table!$C$2:$C3686,MATCH(C1786,user_table!$B$2:$B3686,0)),"")
</f>
        <v>Hadi Putri</v>
      </c>
      <c r="E1786" s="6" t="str">
        <f t="array" ref="E1786">IFERROR(INDEX(user_table!$E$2:$E3686,MATCH(C1786,user_table!$B$2:$B3686,0)),"")
</f>
        <v>3, 3</v>
      </c>
      <c r="F1786" s="6" t="str">
        <f t="shared" si="2"/>
        <v>14181471</v>
      </c>
      <c r="G1786" s="16">
        <v>1.0</v>
      </c>
      <c r="H1786" s="17">
        <v>45231.0</v>
      </c>
      <c r="I1786" s="18" t="s">
        <v>1757</v>
      </c>
    </row>
    <row r="1787">
      <c r="A1787" s="5" t="str">
        <f t="array" ref="A1787">INDEX(event_table!$A$2:$A$69, RANDBETWEEN(1, COUNTA(event_table!$A$2:$A$69)))</f>
        <v>1648</v>
      </c>
      <c r="B1787" s="6">
        <f t="array" ref="B1787">IFERROR(INDEX(event_table!$E$1:$E3686,MATCH(A1787,event_table!$A$1:$A3686,0)),"")
</f>
        <v>6</v>
      </c>
      <c r="C1787" s="7">
        <f t="shared" si="1"/>
        <v>97</v>
      </c>
      <c r="D1787" s="6" t="str">
        <f t="array" ref="D1787">IFERROR(INDEX(user_table!$C$2:$C3686,MATCH(C1787,user_table!$B$2:$B3686,0)),"")
</f>
        <v>Dewi Hidayat</v>
      </c>
      <c r="E1787" s="6" t="str">
        <f t="array" ref="E1787">IFERROR(INDEX(user_table!$E$2:$E3686,MATCH(C1787,user_table!$B$2:$B3686,0)),"")
</f>
        <v>2, 2</v>
      </c>
      <c r="F1787" s="6" t="str">
        <f t="shared" si="2"/>
        <v>16481697</v>
      </c>
      <c r="G1787" s="16">
        <v>1.0</v>
      </c>
      <c r="H1787" s="17">
        <v>45185.0</v>
      </c>
      <c r="I1787" s="18" t="s">
        <v>1758</v>
      </c>
    </row>
    <row r="1788">
      <c r="A1788" s="5" t="str">
        <f t="array" ref="A1788">INDEX(event_table!$A$2:$A$69, RANDBETWEEN(1, COUNTA(event_table!$A$2:$A$69)))</f>
        <v>1332</v>
      </c>
      <c r="B1788" s="6">
        <f t="array" ref="B1788">IFERROR(INDEX(event_table!$E$1:$E3686,MATCH(A1788,event_table!$A$1:$A3686,0)),"")
</f>
        <v>3</v>
      </c>
      <c r="C1788" s="7">
        <f t="shared" si="1"/>
        <v>52</v>
      </c>
      <c r="D1788" s="6" t="str">
        <f t="array" ref="D1788">IFERROR(INDEX(user_table!$C$2:$C3686,MATCH(C1788,user_table!$B$2:$B3686,0)),"")
</f>
        <v>Ani Nurhayati</v>
      </c>
      <c r="E1788" s="6" t="str">
        <f t="array" ref="E1788">IFERROR(INDEX(user_table!$E$2:$E3686,MATCH(C1788,user_table!$B$2:$B3686,0)),"")
</f>
        <v>2, 2</v>
      </c>
      <c r="F1788" s="6" t="str">
        <f t="shared" si="2"/>
        <v>13321352</v>
      </c>
      <c r="G1788" s="16">
        <v>1.0</v>
      </c>
      <c r="H1788" s="17">
        <v>45269.0</v>
      </c>
      <c r="I1788" s="18" t="s">
        <v>1759</v>
      </c>
    </row>
    <row r="1789">
      <c r="A1789" s="5" t="str">
        <f t="array" ref="A1789">INDEX(event_table!$A$2:$A$69, RANDBETWEEN(1, COUNTA(event_table!$A$2:$A$69)))</f>
        <v>3454</v>
      </c>
      <c r="B1789" s="6">
        <f t="array" ref="B1789">IFERROR(INDEX(event_table!$E$1:$E3686,MATCH(A1789,event_table!$A$1:$A3686,0)),"")
</f>
        <v>4</v>
      </c>
      <c r="C1789" s="7">
        <f t="shared" si="1"/>
        <v>187</v>
      </c>
      <c r="D1789" s="6" t="str">
        <f t="array" ref="D1789">IFERROR(INDEX(user_table!$C$2:$C3686,MATCH(C1789,user_table!$B$2:$B3686,0)),"")
</f>
        <v>Bambang Saputra</v>
      </c>
      <c r="E1789" s="6" t="str">
        <f t="array" ref="E1789">IFERROR(INDEX(user_table!$E$2:$E3686,MATCH(C1789,user_table!$B$2:$B3686,0)),"")
</f>
        <v>3, 1</v>
      </c>
      <c r="F1789" s="6" t="str">
        <f t="shared" si="2"/>
        <v>345414187</v>
      </c>
      <c r="G1789" s="16">
        <v>1.0</v>
      </c>
      <c r="H1789" s="17">
        <v>45199.0</v>
      </c>
      <c r="I1789" s="18" t="s">
        <v>1760</v>
      </c>
    </row>
    <row r="1790">
      <c r="A1790" s="5" t="str">
        <f t="array" ref="A1790">INDEX(event_table!$A$2:$A$69, RANDBETWEEN(1, COUNTA(event_table!$A$2:$A$69)))</f>
        <v>3166</v>
      </c>
      <c r="B1790" s="6">
        <f t="array" ref="B1790">IFERROR(INDEX(event_table!$E$1:$E3686,MATCH(A1790,event_table!$A$1:$A3686,0)),"")
</f>
        <v>1</v>
      </c>
      <c r="C1790" s="7">
        <f t="shared" si="1"/>
        <v>5</v>
      </c>
      <c r="D1790" s="6" t="str">
        <f t="array" ref="D1790">IFERROR(INDEX(user_table!$C$2:$C3686,MATCH(C1790,user_table!$B$2:$B3686,0)),"")
</f>
        <v>Hadi Nurhayati</v>
      </c>
      <c r="E1790" s="6" t="str">
        <f t="array" ref="E1790">IFERROR(INDEX(user_table!$E$2:$E3686,MATCH(C1790,user_table!$B$2:$B3686,0)),"")
</f>
        <v>1, 5</v>
      </c>
      <c r="F1790" s="6" t="str">
        <f t="shared" si="2"/>
        <v>3166115</v>
      </c>
      <c r="G1790" s="16">
        <v>1.0</v>
      </c>
      <c r="H1790" s="17">
        <v>45186.0</v>
      </c>
      <c r="I1790" s="18" t="s">
        <v>1761</v>
      </c>
    </row>
    <row r="1791">
      <c r="A1791" s="5" t="str">
        <f t="array" ref="A1791">INDEX(event_table!$A$2:$A$69, RANDBETWEEN(1, COUNTA(event_table!$A$2:$A$69)))</f>
        <v>114</v>
      </c>
      <c r="B1791" s="6">
        <f t="array" ref="B1791">IFERROR(INDEX(event_table!$E$1:$E3686,MATCH(A1791,event_table!$A$1:$A3686,0)),"")
</f>
        <v>1</v>
      </c>
      <c r="C1791" s="7">
        <f t="shared" si="1"/>
        <v>114</v>
      </c>
      <c r="D1791" s="6" t="str">
        <f t="array" ref="D1791">IFERROR(INDEX(user_table!$C$2:$C3686,MATCH(C1791,user_table!$B$2:$B3686,0)),"")
</f>
        <v>Ani Sari</v>
      </c>
      <c r="E1791" s="6" t="str">
        <f t="array" ref="E1791">IFERROR(INDEX(user_table!$E$2:$E3686,MATCH(C1791,user_table!$B$2:$B3686,0)),"")
</f>
        <v>4, 3</v>
      </c>
      <c r="F1791" s="6" t="str">
        <f t="shared" si="2"/>
        <v>11411114</v>
      </c>
      <c r="G1791" s="16">
        <v>1.0</v>
      </c>
      <c r="H1791" s="17">
        <v>45193.0</v>
      </c>
      <c r="I1791" s="18" t="s">
        <v>1762</v>
      </c>
    </row>
    <row r="1792">
      <c r="A1792" s="5" t="str">
        <f t="array" ref="A1792">INDEX(event_table!$A$2:$A$69, RANDBETWEEN(1, COUNTA(event_table!$A$2:$A$69)))</f>
        <v>1526</v>
      </c>
      <c r="B1792" s="6">
        <f t="array" ref="B1792">IFERROR(INDEX(event_table!$E$1:$E3686,MATCH(A1792,event_table!$A$1:$A3686,0)),"")
</f>
        <v>5</v>
      </c>
      <c r="C1792" s="7">
        <f t="shared" si="1"/>
        <v>136</v>
      </c>
      <c r="D1792" s="6" t="str">
        <f t="array" ref="D1792">IFERROR(INDEX(user_table!$C$2:$C3686,MATCH(C1792,user_table!$B$2:$B3686,0)),"")
</f>
        <v>Fandi Purnama</v>
      </c>
      <c r="E1792" s="6" t="str">
        <f t="array" ref="E1792">IFERROR(INDEX(user_table!$E$2:$E3686,MATCH(C1792,user_table!$B$2:$B3686,0)),"")
</f>
        <v>5, 6</v>
      </c>
      <c r="F1792" s="6" t="str">
        <f t="shared" si="2"/>
        <v>152615136</v>
      </c>
      <c r="G1792" s="16">
        <v>1.0</v>
      </c>
      <c r="H1792" s="17">
        <v>45224.0</v>
      </c>
      <c r="I1792" s="18" t="s">
        <v>1763</v>
      </c>
    </row>
    <row r="1793">
      <c r="A1793" s="5" t="str">
        <f t="array" ref="A1793">INDEX(event_table!$A$2:$A$69, RANDBETWEEN(1, COUNTA(event_table!$A$2:$A$69)))</f>
        <v>3454</v>
      </c>
      <c r="B1793" s="6">
        <f t="array" ref="B1793">IFERROR(INDEX(event_table!$E$1:$E3686,MATCH(A1793,event_table!$A$1:$A3686,0)),"")
</f>
        <v>4</v>
      </c>
      <c r="C1793" s="7">
        <f t="shared" si="1"/>
        <v>161</v>
      </c>
      <c r="D1793" s="6" t="str">
        <f t="array" ref="D1793">IFERROR(INDEX(user_table!$C$2:$C3686,MATCH(C1793,user_table!$B$2:$B3686,0)),"")
</f>
        <v>Lina Nugroho</v>
      </c>
      <c r="E1793" s="6" t="str">
        <f t="array" ref="E1793">IFERROR(INDEX(user_table!$E$2:$E3686,MATCH(C1793,user_table!$B$2:$B3686,0)),"")
</f>
        <v>6, 5</v>
      </c>
      <c r="F1793" s="6" t="str">
        <f t="shared" si="2"/>
        <v>345414161</v>
      </c>
      <c r="G1793" s="16">
        <v>1.0</v>
      </c>
      <c r="H1793" s="17">
        <v>45199.0</v>
      </c>
      <c r="I1793" s="18" t="s">
        <v>1764</v>
      </c>
    </row>
    <row r="1794">
      <c r="A1794" s="5" t="str">
        <f t="array" ref="A1794">INDEX(event_table!$A$2:$A$69, RANDBETWEEN(1, COUNTA(event_table!$A$2:$A$69)))</f>
        <v>1530</v>
      </c>
      <c r="B1794" s="6">
        <f t="array" ref="B1794">IFERROR(INDEX(event_table!$E$1:$E3686,MATCH(A1794,event_table!$A$1:$A3686,0)),"")
</f>
        <v>5</v>
      </c>
      <c r="C1794" s="7">
        <f t="shared" si="1"/>
        <v>77</v>
      </c>
      <c r="D1794" s="6" t="str">
        <f t="array" ref="D1794">IFERROR(INDEX(user_table!$C$2:$C3686,MATCH(C1794,user_table!$B$2:$B3686,0)),"")
</f>
        <v>Desi Wijaya</v>
      </c>
      <c r="E1794" s="6" t="str">
        <f t="array" ref="E1794">IFERROR(INDEX(user_table!$E$2:$E3686,MATCH(C1794,user_table!$B$2:$B3686,0)),"")
</f>
        <v>3, 1</v>
      </c>
      <c r="F1794" s="6" t="str">
        <f t="shared" si="2"/>
        <v>15301577</v>
      </c>
      <c r="G1794" s="16">
        <v>1.0</v>
      </c>
      <c r="H1794" s="17">
        <v>45120.0</v>
      </c>
      <c r="I1794" s="18" t="s">
        <v>1765</v>
      </c>
    </row>
    <row r="1795">
      <c r="A1795" s="5" t="str">
        <f t="array" ref="A1795">INDEX(event_table!$A$2:$A$69, RANDBETWEEN(1, COUNTA(event_table!$A$2:$A$69)))</f>
        <v>1648</v>
      </c>
      <c r="B1795" s="6">
        <f t="array" ref="B1795">IFERROR(INDEX(event_table!$E$1:$E3686,MATCH(A1795,event_table!$A$1:$A3686,0)),"")
</f>
        <v>6</v>
      </c>
      <c r="C1795" s="7">
        <f t="shared" si="1"/>
        <v>126</v>
      </c>
      <c r="D1795" s="6" t="str">
        <f t="array" ref="D1795">IFERROR(INDEX(user_table!$C$2:$C3686,MATCH(C1795,user_table!$B$2:$B3686,0)),"")
</f>
        <v>Agus Santoso</v>
      </c>
      <c r="E1795" s="6" t="str">
        <f t="array" ref="E1795">IFERROR(INDEX(user_table!$E$2:$E3686,MATCH(C1795,user_table!$B$2:$B3686,0)),"")
</f>
        <v>3, 6</v>
      </c>
      <c r="F1795" s="6" t="str">
        <f t="shared" si="2"/>
        <v>164816126</v>
      </c>
      <c r="G1795" s="16">
        <v>1.0</v>
      </c>
      <c r="H1795" s="17">
        <v>45074.0</v>
      </c>
      <c r="I1795" s="18" t="s">
        <v>1766</v>
      </c>
    </row>
    <row r="1796">
      <c r="A1796" s="5" t="str">
        <f t="array" ref="A1796">INDEX(event_table!$A$2:$A$69, RANDBETWEEN(1, COUNTA(event_table!$A$2:$A$69)))</f>
        <v>119</v>
      </c>
      <c r="B1796" s="6">
        <f t="array" ref="B1796">IFERROR(INDEX(event_table!$E$1:$E3686,MATCH(A1796,event_table!$A$1:$A3686,0)),"")
</f>
        <v>1</v>
      </c>
      <c r="C1796" s="7">
        <f t="shared" si="1"/>
        <v>155</v>
      </c>
      <c r="D1796" s="6" t="str">
        <f t="array" ref="D1796">IFERROR(INDEX(user_table!$C$2:$C3686,MATCH(C1796,user_table!$B$2:$B3686,0)),"")
</f>
        <v>Sinta Saputra</v>
      </c>
      <c r="E1796" s="6" t="str">
        <f t="array" ref="E1796">IFERROR(INDEX(user_table!$E$2:$E3686,MATCH(C1796,user_table!$B$2:$B3686,0)),"")
</f>
        <v>5, 2</v>
      </c>
      <c r="F1796" s="6" t="str">
        <f t="shared" si="2"/>
        <v>11911155</v>
      </c>
      <c r="G1796" s="16">
        <v>1.0</v>
      </c>
      <c r="H1796" s="17">
        <v>45046.0</v>
      </c>
      <c r="I1796" s="18" t="s">
        <v>1767</v>
      </c>
    </row>
    <row r="1797">
      <c r="A1797" s="5" t="str">
        <f t="array" ref="A1797">INDEX(event_table!$A$2:$A$69, RANDBETWEEN(1, COUNTA(event_table!$A$2:$A$69)))</f>
        <v>1643</v>
      </c>
      <c r="B1797" s="6">
        <f t="array" ref="B1797">IFERROR(INDEX(event_table!$E$1:$E3686,MATCH(A1797,event_table!$A$1:$A3686,0)),"")
</f>
        <v>6</v>
      </c>
      <c r="C1797" s="7">
        <f t="shared" si="1"/>
        <v>124</v>
      </c>
      <c r="D1797" s="6" t="str">
        <f t="array" ref="D1797">IFERROR(INDEX(user_table!$C$2:$C3686,MATCH(C1797,user_table!$B$2:$B3686,0)),"")
</f>
        <v>Fandi Setiawan</v>
      </c>
      <c r="E1797" s="6" t="str">
        <f t="array" ref="E1797">IFERROR(INDEX(user_table!$E$2:$E3686,MATCH(C1797,user_table!$B$2:$B3686,0)),"")
</f>
        <v>5, 4</v>
      </c>
      <c r="F1797" s="6" t="str">
        <f t="shared" si="2"/>
        <v>164316124</v>
      </c>
      <c r="G1797" s="16">
        <v>1.0</v>
      </c>
      <c r="H1797" s="17">
        <v>45039.0</v>
      </c>
      <c r="I1797" s="18" t="s">
        <v>1768</v>
      </c>
    </row>
    <row r="1798">
      <c r="A1798" s="5" t="str">
        <f t="array" ref="A1798">INDEX(event_table!$A$2:$A$69, RANDBETWEEN(1, COUNTA(event_table!$A$2:$A$69)))</f>
        <v>1640</v>
      </c>
      <c r="B1798" s="6">
        <f t="array" ref="B1798">IFERROR(INDEX(event_table!$E$1:$E3686,MATCH(A1798,event_table!$A$1:$A3686,0)),"")
</f>
        <v>6</v>
      </c>
      <c r="C1798" s="7">
        <f t="shared" si="1"/>
        <v>104</v>
      </c>
      <c r="D1798" s="6" t="str">
        <f t="array" ref="D1798">IFERROR(INDEX(user_table!$C$2:$C3686,MATCH(C1798,user_table!$B$2:$B3686,0)),"")
</f>
        <v>Fajar Utami</v>
      </c>
      <c r="E1798" s="6" t="str">
        <f t="array" ref="E1798">IFERROR(INDEX(user_table!$E$2:$E3686,MATCH(C1798,user_table!$B$2:$B3686,0)),"")
</f>
        <v>2, 5</v>
      </c>
      <c r="F1798" s="6" t="str">
        <f t="shared" si="2"/>
        <v>164056104</v>
      </c>
      <c r="G1798" s="16">
        <v>5.0</v>
      </c>
      <c r="H1798" s="17">
        <v>44710.0</v>
      </c>
      <c r="I1798" s="18" t="s">
        <v>1769</v>
      </c>
    </row>
    <row r="1799">
      <c r="A1799" s="5" t="str">
        <f t="array" ref="A1799">INDEX(event_table!$A$2:$A$69, RANDBETWEEN(1, COUNTA(event_table!$A$2:$A$69)))</f>
        <v>1111</v>
      </c>
      <c r="B1799" s="6">
        <f t="array" ref="B1799">IFERROR(INDEX(event_table!$E$1:$E3686,MATCH(A1799,event_table!$A$1:$A3686,0)),"")
</f>
        <v>1</v>
      </c>
      <c r="C1799" s="7">
        <f t="shared" si="1"/>
        <v>130</v>
      </c>
      <c r="D1799" s="6" t="str">
        <f t="array" ref="D1799">IFERROR(INDEX(user_table!$C$2:$C3686,MATCH(C1799,user_table!$B$2:$B3686,0)),"")
</f>
        <v>Andi Putri</v>
      </c>
      <c r="E1799" s="6" t="str">
        <f t="array" ref="E1799">IFERROR(INDEX(user_table!$E$2:$E3686,MATCH(C1799,user_table!$B$2:$B3686,0)),"")
</f>
        <v>2, 3</v>
      </c>
      <c r="F1799" s="6" t="str">
        <f t="shared" si="2"/>
        <v>111151130</v>
      </c>
      <c r="G1799" s="16">
        <v>5.0</v>
      </c>
      <c r="H1799" s="17">
        <v>44710.0</v>
      </c>
      <c r="I1799" s="18" t="s">
        <v>1770</v>
      </c>
    </row>
    <row r="1800">
      <c r="A1800" s="5" t="str">
        <f t="array" ref="A1800">INDEX(event_table!$A$2:$A$69, RANDBETWEEN(1, COUNTA(event_table!$A$2:$A$69)))</f>
        <v>1333</v>
      </c>
      <c r="B1800" s="6">
        <f t="array" ref="B1800">IFERROR(INDEX(event_table!$E$1:$E3686,MATCH(A1800,event_table!$A$1:$A3686,0)),"")
</f>
        <v>3</v>
      </c>
      <c r="C1800" s="7">
        <f t="shared" si="1"/>
        <v>37</v>
      </c>
      <c r="D1800" s="6" t="str">
        <f t="array" ref="D1800">IFERROR(INDEX(user_table!$C$2:$C3686,MATCH(C1800,user_table!$B$2:$B3686,0)),"")
</f>
        <v>Lina Susanto</v>
      </c>
      <c r="E1800" s="6" t="str">
        <f t="array" ref="E1800">IFERROR(INDEX(user_table!$E$2:$E3686,MATCH(C1800,user_table!$B$2:$B3686,0)),"")
</f>
        <v>2, 2</v>
      </c>
      <c r="F1800" s="6" t="str">
        <f t="shared" si="2"/>
        <v>13335337</v>
      </c>
      <c r="G1800" s="16">
        <v>5.0</v>
      </c>
      <c r="H1800" s="17">
        <v>44708.0</v>
      </c>
      <c r="I1800" s="18" t="s">
        <v>1771</v>
      </c>
    </row>
    <row r="1801">
      <c r="A1801" s="5" t="str">
        <f t="array" ref="A1801">INDEX(event_table!$A$2:$A$69, RANDBETWEEN(1, COUNTA(event_table!$A$2:$A$69)))</f>
        <v>3165</v>
      </c>
      <c r="B1801" s="6">
        <f t="array" ref="B1801">IFERROR(INDEX(event_table!$E$1:$E3686,MATCH(A1801,event_table!$A$1:$A3686,0)),"")
</f>
        <v>1</v>
      </c>
      <c r="C1801" s="7">
        <f t="shared" si="1"/>
        <v>2</v>
      </c>
      <c r="D1801" s="6" t="str">
        <f t="array" ref="D1801">IFERROR(INDEX(user_table!$C$2:$C3686,MATCH(C1801,user_table!$B$2:$B3686,0)),"")
</f>
        <v>Dian Putri</v>
      </c>
      <c r="E1801" s="6" t="str">
        <f t="array" ref="E1801">IFERROR(INDEX(user_table!$E$2:$E3686,MATCH(C1801,user_table!$B$2:$B3686,0)),"")
</f>
        <v>1, 6</v>
      </c>
      <c r="F1801" s="6" t="str">
        <f t="shared" si="2"/>
        <v>3165512</v>
      </c>
      <c r="G1801" s="16">
        <v>5.0</v>
      </c>
      <c r="H1801" s="17">
        <v>44705.0</v>
      </c>
      <c r="I1801" s="18" t="s">
        <v>1772</v>
      </c>
    </row>
    <row r="1802">
      <c r="A1802" s="5" t="str">
        <f t="array" ref="A1802">INDEX(event_table!$A$2:$A$69, RANDBETWEEN(1, COUNTA(event_table!$A$2:$A$69)))</f>
        <v>114</v>
      </c>
      <c r="B1802" s="6">
        <f t="array" ref="B1802">IFERROR(INDEX(event_table!$E$1:$E3686,MATCH(A1802,event_table!$A$1:$A3686,0)),"")
</f>
        <v>1</v>
      </c>
      <c r="C1802" s="7">
        <f t="shared" si="1"/>
        <v>150</v>
      </c>
      <c r="D1802" s="6" t="str">
        <f t="array" ref="D1802">IFERROR(INDEX(user_table!$C$2:$C3686,MATCH(C1802,user_table!$B$2:$B3686,0)),"")
</f>
        <v>Dina Susanto</v>
      </c>
      <c r="E1802" s="6" t="str">
        <f t="array" ref="E1802">IFERROR(INDEX(user_table!$E$2:$E3686,MATCH(C1802,user_table!$B$2:$B3686,0)),"")
</f>
        <v>2, 6</v>
      </c>
      <c r="F1802" s="6" t="str">
        <f t="shared" si="2"/>
        <v>11451150</v>
      </c>
      <c r="G1802" s="16">
        <v>5.0</v>
      </c>
      <c r="H1802" s="17">
        <v>44694.0</v>
      </c>
      <c r="I1802" s="18" t="s">
        <v>1773</v>
      </c>
    </row>
    <row r="1803">
      <c r="A1803" s="5" t="str">
        <f t="array" ref="A1803">INDEX(event_table!$A$2:$A$69, RANDBETWEEN(1, COUNTA(event_table!$A$2:$A$69)))</f>
        <v>1111</v>
      </c>
      <c r="B1803" s="6">
        <f t="array" ref="B1803">IFERROR(INDEX(event_table!$E$1:$E3686,MATCH(A1803,event_table!$A$1:$A3686,0)),"")
</f>
        <v>1</v>
      </c>
      <c r="C1803" s="7">
        <f t="shared" si="1"/>
        <v>41</v>
      </c>
      <c r="D1803" s="6" t="str">
        <f t="array" ref="D1803">IFERROR(INDEX(user_table!$C$2:$C3686,MATCH(C1803,user_table!$B$2:$B3686,0)),"")
</f>
        <v>Wahyu Susanto</v>
      </c>
      <c r="E1803" s="6" t="str">
        <f t="array" ref="E1803">IFERROR(INDEX(user_table!$E$2:$E3686,MATCH(C1803,user_table!$B$2:$B3686,0)),"")
</f>
        <v>5, 4</v>
      </c>
      <c r="F1803" s="6" t="str">
        <f t="shared" si="2"/>
        <v>11115141</v>
      </c>
      <c r="G1803" s="16">
        <v>5.0</v>
      </c>
      <c r="H1803" s="17">
        <v>44692.0</v>
      </c>
      <c r="I1803" s="18" t="s">
        <v>1774</v>
      </c>
    </row>
    <row r="1804">
      <c r="A1804" s="5" t="str">
        <f t="array" ref="A1804">INDEX(event_table!$A$2:$A$69, RANDBETWEEN(1, COUNTA(event_table!$A$2:$A$69)))</f>
        <v>113</v>
      </c>
      <c r="B1804" s="6">
        <f t="array" ref="B1804">IFERROR(INDEX(event_table!$E$1:$E3686,MATCH(A1804,event_table!$A$1:$A3686,0)),"")
</f>
        <v>1</v>
      </c>
      <c r="C1804" s="7">
        <f t="shared" si="1"/>
        <v>176</v>
      </c>
      <c r="D1804" s="6" t="str">
        <f t="array" ref="D1804">IFERROR(INDEX(user_table!$C$2:$C3686,MATCH(C1804,user_table!$B$2:$B3686,0)),"")
</f>
        <v>Ani Hartono</v>
      </c>
      <c r="E1804" s="6" t="str">
        <f t="array" ref="E1804">IFERROR(INDEX(user_table!$E$2:$E3686,MATCH(C1804,user_table!$B$2:$B3686,0)),"")
</f>
        <v>2, 3</v>
      </c>
      <c r="F1804" s="6" t="str">
        <f t="shared" si="2"/>
        <v>11351176</v>
      </c>
      <c r="G1804" s="16">
        <v>5.0</v>
      </c>
      <c r="H1804" s="17">
        <v>44684.0</v>
      </c>
      <c r="I1804" s="18" t="s">
        <v>1775</v>
      </c>
    </row>
    <row r="1805">
      <c r="A1805" s="5" t="str">
        <f t="array" ref="A1805">INDEX(event_table!$A$2:$A$69, RANDBETWEEN(1, COUNTA(event_table!$A$2:$A$69)))</f>
        <v>1423</v>
      </c>
      <c r="B1805" s="6">
        <f t="array" ref="B1805">IFERROR(INDEX(event_table!$E$1:$E3686,MATCH(A1805,event_table!$A$1:$A3686,0)),"")
</f>
        <v>4</v>
      </c>
      <c r="C1805" s="7">
        <f t="shared" si="1"/>
        <v>70</v>
      </c>
      <c r="D1805" s="6" t="str">
        <f t="array" ref="D1805">IFERROR(INDEX(user_table!$C$2:$C3686,MATCH(C1805,user_table!$B$2:$B3686,0)),"")
</f>
        <v>Fandi Hadiwijaya</v>
      </c>
      <c r="E1805" s="6" t="str">
        <f t="array" ref="E1805">IFERROR(INDEX(user_table!$E$2:$E3686,MATCH(C1805,user_table!$B$2:$B3686,0)),"")
</f>
        <v>1, 4</v>
      </c>
      <c r="F1805" s="6" t="str">
        <f t="shared" si="2"/>
        <v>14235470</v>
      </c>
      <c r="G1805" s="16">
        <v>5.0</v>
      </c>
      <c r="H1805" s="17">
        <v>45253.0</v>
      </c>
      <c r="I1805" s="18" t="s">
        <v>1776</v>
      </c>
    </row>
    <row r="1806">
      <c r="A1806" s="5" t="str">
        <f t="array" ref="A1806">INDEX(event_table!$A$2:$A$69, RANDBETWEEN(1, COUNTA(event_table!$A$2:$A$69)))</f>
        <v>1530</v>
      </c>
      <c r="B1806" s="6">
        <f t="array" ref="B1806">IFERROR(INDEX(event_table!$E$1:$E3686,MATCH(A1806,event_table!$A$1:$A3686,0)),"")
</f>
        <v>5</v>
      </c>
      <c r="C1806" s="7">
        <f t="shared" si="1"/>
        <v>50</v>
      </c>
      <c r="D1806" s="6" t="str">
        <f t="array" ref="D1806">IFERROR(INDEX(user_table!$C$2:$C3686,MATCH(C1806,user_table!$B$2:$B3686,0)),"")
</f>
        <v>Hadi Santoso</v>
      </c>
      <c r="E1806" s="6" t="str">
        <f t="array" ref="E1806">IFERROR(INDEX(user_table!$E$2:$E3686,MATCH(C1806,user_table!$B$2:$B3686,0)),"")
</f>
        <v>5, 4</v>
      </c>
      <c r="F1806" s="6" t="str">
        <f t="shared" si="2"/>
        <v>15305550</v>
      </c>
      <c r="G1806" s="16">
        <v>5.0</v>
      </c>
      <c r="H1806" s="17">
        <v>45098.0</v>
      </c>
      <c r="I1806" s="18" t="s">
        <v>1777</v>
      </c>
    </row>
    <row r="1807">
      <c r="A1807" s="5" t="str">
        <f t="array" ref="A1807">INDEX(event_table!$A$2:$A$69, RANDBETWEEN(1, COUNTA(event_table!$A$2:$A$69)))</f>
        <v>1646</v>
      </c>
      <c r="B1807" s="6">
        <f t="array" ref="B1807">IFERROR(INDEX(event_table!$E$1:$E3686,MATCH(A1807,event_table!$A$1:$A3686,0)),"")
</f>
        <v>6</v>
      </c>
      <c r="C1807" s="7">
        <f t="shared" si="1"/>
        <v>161</v>
      </c>
      <c r="D1807" s="6" t="str">
        <f t="array" ref="D1807">IFERROR(INDEX(user_table!$C$2:$C3686,MATCH(C1807,user_table!$B$2:$B3686,0)),"")
</f>
        <v>Lina Nugroho</v>
      </c>
      <c r="E1807" s="6" t="str">
        <f t="array" ref="E1807">IFERROR(INDEX(user_table!$E$2:$E3686,MATCH(C1807,user_table!$B$2:$B3686,0)),"")
</f>
        <v>6, 5</v>
      </c>
      <c r="F1807" s="6" t="str">
        <f t="shared" si="2"/>
        <v>164656161</v>
      </c>
      <c r="G1807" s="16">
        <v>5.0</v>
      </c>
      <c r="H1807" s="17">
        <v>45074.0</v>
      </c>
      <c r="I1807" s="18" t="s">
        <v>1778</v>
      </c>
    </row>
    <row r="1808">
      <c r="A1808" s="5" t="str">
        <f t="array" ref="A1808">INDEX(event_table!$A$2:$A$69, RANDBETWEEN(1, COUNTA(event_table!$A$2:$A$69)))</f>
        <v>1640</v>
      </c>
      <c r="B1808" s="6">
        <f t="array" ref="B1808">IFERROR(INDEX(event_table!$E$1:$E3686,MATCH(A1808,event_table!$A$1:$A3686,0)),"")
</f>
        <v>6</v>
      </c>
      <c r="C1808" s="7">
        <f t="shared" si="1"/>
        <v>143</v>
      </c>
      <c r="D1808" s="6" t="str">
        <f t="array" ref="D1808">IFERROR(INDEX(user_table!$C$2:$C3686,MATCH(C1808,user_table!$B$2:$B3686,0)),"")
</f>
        <v>Agus Putri</v>
      </c>
      <c r="E1808" s="6" t="str">
        <f t="array" ref="E1808">IFERROR(INDEX(user_table!$E$2:$E3686,MATCH(C1808,user_table!$B$2:$B3686,0)),"")
</f>
        <v>3, 3</v>
      </c>
      <c r="F1808" s="6" t="str">
        <f t="shared" si="2"/>
        <v>164056143</v>
      </c>
      <c r="G1808" s="16">
        <v>5.0</v>
      </c>
      <c r="H1808" s="17">
        <v>45020.0</v>
      </c>
      <c r="I1808" s="18" t="s">
        <v>1779</v>
      </c>
    </row>
    <row r="1809">
      <c r="A1809" s="5" t="str">
        <f t="array" ref="A1809">INDEX(event_table!$A$2:$A$69, RANDBETWEEN(1, COUNTA(event_table!$A$2:$A$69)))</f>
        <v>1641</v>
      </c>
      <c r="B1809" s="6">
        <f t="array" ref="B1809">IFERROR(INDEX(event_table!$E$1:$E3686,MATCH(A1809,event_table!$A$1:$A3686,0)),"")
</f>
        <v>6</v>
      </c>
      <c r="C1809" s="7">
        <f t="shared" si="1"/>
        <v>164</v>
      </c>
      <c r="D1809" s="6" t="str">
        <f t="array" ref="D1809">IFERROR(INDEX(user_table!$C$2:$C3686,MATCH(C1809,user_table!$B$2:$B3686,0)),"")
</f>
        <v>Bambang Purnama</v>
      </c>
      <c r="E1809" s="6" t="str">
        <f t="array" ref="E1809">IFERROR(INDEX(user_table!$E$2:$E3686,MATCH(C1809,user_table!$B$2:$B3686,0)),"")
</f>
        <v>2, 3</v>
      </c>
      <c r="F1809" s="6" t="str">
        <f t="shared" si="2"/>
        <v>164156164</v>
      </c>
      <c r="G1809" s="16">
        <v>5.0</v>
      </c>
      <c r="H1809" s="17">
        <v>44798.0</v>
      </c>
      <c r="I1809" s="18" t="s">
        <v>1780</v>
      </c>
    </row>
    <row r="1810">
      <c r="A1810" s="5" t="str">
        <f t="array" ref="A1810">INDEX(event_table!$A$2:$A$69, RANDBETWEEN(1, COUNTA(event_table!$A$2:$A$69)))</f>
        <v>3658</v>
      </c>
      <c r="B1810" s="6">
        <f t="array" ref="B1810">IFERROR(INDEX(event_table!$E$1:$E3686,MATCH(A1810,event_table!$A$1:$A3686,0)),"")
</f>
        <v>6</v>
      </c>
      <c r="C1810" s="7">
        <f t="shared" si="1"/>
        <v>13</v>
      </c>
      <c r="D1810" s="6" t="str">
        <f t="array" ref="D1810">IFERROR(INDEX(user_table!$C$2:$C3686,MATCH(C1810,user_table!$B$2:$B3686,0)),"")
</f>
        <v>Hadi Kurniawan</v>
      </c>
      <c r="E1810" s="6" t="str">
        <f t="array" ref="E1810">IFERROR(INDEX(user_table!$E$2:$E3686,MATCH(C1810,user_table!$B$2:$B3686,0)),"")
</f>
        <v>4, 3</v>
      </c>
      <c r="F1810" s="6" t="str">
        <f t="shared" si="2"/>
        <v>36585613</v>
      </c>
      <c r="G1810" s="16">
        <v>5.0</v>
      </c>
      <c r="H1810" s="17">
        <v>44795.0</v>
      </c>
      <c r="I1810" s="18" t="s">
        <v>1781</v>
      </c>
    </row>
    <row r="1811">
      <c r="A1811" s="5" t="str">
        <f t="array" ref="A1811">INDEX(event_table!$A$2:$A$69, RANDBETWEEN(1, COUNTA(event_table!$A$2:$A$69)))</f>
        <v>1334</v>
      </c>
      <c r="B1811" s="6">
        <f t="array" ref="B1811">IFERROR(INDEX(event_table!$E$1:$E3686,MATCH(A1811,event_table!$A$1:$A3686,0)),"")
</f>
        <v>3</v>
      </c>
      <c r="C1811" s="7">
        <f t="shared" si="1"/>
        <v>84</v>
      </c>
      <c r="D1811" s="6" t="str">
        <f t="array" ref="D1811">IFERROR(INDEX(user_table!$C$2:$C3686,MATCH(C1811,user_table!$B$2:$B3686,0)),"")
</f>
        <v>Budi Hermawan</v>
      </c>
      <c r="E1811" s="6" t="str">
        <f t="array" ref="E1811">IFERROR(INDEX(user_table!$E$2:$E3686,MATCH(C1811,user_table!$B$2:$B3686,0)),"")
</f>
        <v>5, 5</v>
      </c>
      <c r="F1811" s="6" t="str">
        <f t="shared" si="2"/>
        <v>13345384</v>
      </c>
      <c r="G1811" s="16">
        <v>5.0</v>
      </c>
      <c r="H1811" s="17">
        <v>44738.0</v>
      </c>
      <c r="I1811" s="18" t="s">
        <v>1782</v>
      </c>
    </row>
    <row r="1812">
      <c r="A1812" s="5" t="str">
        <f t="array" ref="A1812">INDEX(event_table!$A$2:$A$69, RANDBETWEEN(1, COUNTA(event_table!$A$2:$A$69)))</f>
        <v>3165</v>
      </c>
      <c r="B1812" s="6">
        <f t="array" ref="B1812">IFERROR(INDEX(event_table!$E$1:$E3686,MATCH(A1812,event_table!$A$1:$A3686,0)),"")
</f>
        <v>1</v>
      </c>
      <c r="C1812" s="7">
        <f t="shared" si="1"/>
        <v>22</v>
      </c>
      <c r="D1812" s="6" t="str">
        <f t="array" ref="D1812">IFERROR(INDEX(user_table!$C$2:$C3686,MATCH(C1812,user_table!$B$2:$B3686,0)),"")
</f>
        <v>Fajar Wijaya</v>
      </c>
      <c r="E1812" s="6" t="str">
        <f t="array" ref="E1812">IFERROR(INDEX(user_table!$E$2:$E3686,MATCH(C1812,user_table!$B$2:$B3686,0)),"")
</f>
        <v>2, 6</v>
      </c>
      <c r="F1812" s="6" t="str">
        <f t="shared" si="2"/>
        <v>31655122</v>
      </c>
      <c r="G1812" s="16">
        <v>5.0</v>
      </c>
      <c r="H1812" s="17">
        <v>44725.0</v>
      </c>
      <c r="I1812" s="18" t="s">
        <v>1783</v>
      </c>
    </row>
    <row r="1813">
      <c r="A1813" s="5" t="str">
        <f t="array" ref="A1813">INDEX(event_table!$A$2:$A$69, RANDBETWEEN(1, COUNTA(event_table!$A$2:$A$69)))</f>
        <v>3166</v>
      </c>
      <c r="B1813" s="6">
        <f t="array" ref="B1813">IFERROR(INDEX(event_table!$E$1:$E3686,MATCH(A1813,event_table!$A$1:$A3686,0)),"")
</f>
        <v>1</v>
      </c>
      <c r="C1813" s="7">
        <f t="shared" si="1"/>
        <v>37</v>
      </c>
      <c r="D1813" s="6" t="str">
        <f t="array" ref="D1813">IFERROR(INDEX(user_table!$C$2:$C3686,MATCH(C1813,user_table!$B$2:$B3686,0)),"")
</f>
        <v>Lina Susanto</v>
      </c>
      <c r="E1813" s="6" t="str">
        <f t="array" ref="E1813">IFERROR(INDEX(user_table!$E$2:$E3686,MATCH(C1813,user_table!$B$2:$B3686,0)),"")
</f>
        <v>2, 2</v>
      </c>
      <c r="F1813" s="6" t="str">
        <f t="shared" si="2"/>
        <v>31665137</v>
      </c>
      <c r="G1813" s="16">
        <v>5.0</v>
      </c>
      <c r="H1813" s="17">
        <v>44697.0</v>
      </c>
      <c r="I1813" s="18" t="s">
        <v>1784</v>
      </c>
    </row>
    <row r="1814">
      <c r="A1814" s="5" t="str">
        <f t="array" ref="A1814">INDEX(event_table!$A$2:$A$69, RANDBETWEEN(1, COUNTA(event_table!$A$2:$A$69)))</f>
        <v>1644</v>
      </c>
      <c r="B1814" s="6">
        <f t="array" ref="B1814">IFERROR(INDEX(event_table!$E$1:$E3686,MATCH(A1814,event_table!$A$1:$A3686,0)),"")
</f>
        <v>6</v>
      </c>
      <c r="C1814" s="7">
        <f t="shared" si="1"/>
        <v>154</v>
      </c>
      <c r="D1814" s="6" t="str">
        <f t="array" ref="D1814">IFERROR(INDEX(user_table!$C$2:$C3686,MATCH(C1814,user_table!$B$2:$B3686,0)),"")
</f>
        <v>Dian Nurhayati</v>
      </c>
      <c r="E1814" s="6" t="str">
        <f t="array" ref="E1814">IFERROR(INDEX(user_table!$E$2:$E3686,MATCH(C1814,user_table!$B$2:$B3686,0)),"")
</f>
        <v>5, 3</v>
      </c>
      <c r="F1814" s="6" t="str">
        <f t="shared" si="2"/>
        <v>164446154</v>
      </c>
      <c r="G1814" s="16">
        <v>4.0</v>
      </c>
      <c r="H1814" s="17">
        <v>45179.0</v>
      </c>
      <c r="I1814" s="18" t="s">
        <v>1785</v>
      </c>
    </row>
    <row r="1815">
      <c r="A1815" s="5" t="str">
        <f t="array" ref="A1815">INDEX(event_table!$A$2:$A$69, RANDBETWEEN(1, COUNTA(event_table!$A$2:$A$69)))</f>
        <v>117</v>
      </c>
      <c r="B1815" s="6">
        <f t="array" ref="B1815">IFERROR(INDEX(event_table!$E$1:$E3686,MATCH(A1815,event_table!$A$1:$A3686,0)),"")
</f>
        <v>1</v>
      </c>
      <c r="C1815" s="7">
        <f t="shared" si="1"/>
        <v>151</v>
      </c>
      <c r="D1815" s="6" t="str">
        <f t="array" ref="D1815">IFERROR(INDEX(user_table!$C$2:$C3686,MATCH(C1815,user_table!$B$2:$B3686,0)),"")
</f>
        <v>Maya Hidayat</v>
      </c>
      <c r="E1815" s="6" t="str">
        <f t="array" ref="E1815">IFERROR(INDEX(user_table!$E$2:$E3686,MATCH(C1815,user_table!$B$2:$B3686,0)),"")
</f>
        <v>2, 3</v>
      </c>
      <c r="F1815" s="6" t="str">
        <f t="shared" si="2"/>
        <v>11741151</v>
      </c>
      <c r="G1815" s="16">
        <v>4.0</v>
      </c>
      <c r="H1815" s="17">
        <v>44947.0</v>
      </c>
      <c r="I1815" s="18" t="s">
        <v>1786</v>
      </c>
    </row>
    <row r="1816">
      <c r="A1816" s="5" t="str">
        <f t="array" ref="A1816">INDEX(event_table!$A$2:$A$69, RANDBETWEEN(1, COUNTA(event_table!$A$2:$A$69)))</f>
        <v>1313</v>
      </c>
      <c r="B1816" s="6">
        <f t="array" ref="B1816">IFERROR(INDEX(event_table!$E$1:$E3686,MATCH(A1816,event_table!$A$1:$A3686,0)),"")
</f>
        <v>3</v>
      </c>
      <c r="C1816" s="7">
        <f t="shared" si="1"/>
        <v>185</v>
      </c>
      <c r="D1816" s="6" t="str">
        <f t="array" ref="D1816">IFERROR(INDEX(user_table!$C$2:$C3686,MATCH(C1816,user_table!$B$2:$B3686,0)),"")
</f>
        <v>Budi Wijaya</v>
      </c>
      <c r="E1816" s="6" t="str">
        <f t="array" ref="E1816">IFERROR(INDEX(user_table!$E$2:$E3686,MATCH(C1816,user_table!$B$2:$B3686,0)),"")
</f>
        <v>6, 3</v>
      </c>
      <c r="F1816" s="6" t="str">
        <f t="shared" si="2"/>
        <v>131343185</v>
      </c>
      <c r="G1816" s="16">
        <v>4.0</v>
      </c>
      <c r="H1816" s="17">
        <v>44804.0</v>
      </c>
      <c r="I1816" s="18" t="s">
        <v>1787</v>
      </c>
    </row>
    <row r="1817">
      <c r="A1817" s="5" t="str">
        <f t="array" ref="A1817">INDEX(event_table!$A$2:$A$69, RANDBETWEEN(1, COUNTA(event_table!$A$2:$A$69)))</f>
        <v>1526</v>
      </c>
      <c r="B1817" s="6">
        <f t="array" ref="B1817">IFERROR(INDEX(event_table!$E$1:$E3686,MATCH(A1817,event_table!$A$1:$A3686,0)),"")
</f>
        <v>5</v>
      </c>
      <c r="C1817" s="7">
        <f t="shared" si="1"/>
        <v>59</v>
      </c>
      <c r="D1817" s="6" t="str">
        <f t="array" ref="D1817">IFERROR(INDEX(user_table!$C$2:$C3686,MATCH(C1817,user_table!$B$2:$B3686,0)),"")
</f>
        <v>Siti Rahayu</v>
      </c>
      <c r="E1817" s="6" t="str">
        <f t="array" ref="E1817">IFERROR(INDEX(user_table!$E$2:$E3686,MATCH(C1817,user_table!$B$2:$B3686,0)),"")
</f>
        <v>3, 5</v>
      </c>
      <c r="F1817" s="6" t="str">
        <f t="shared" si="2"/>
        <v>15264559</v>
      </c>
      <c r="G1817" s="16">
        <v>4.0</v>
      </c>
      <c r="H1817" s="17">
        <v>44693.0</v>
      </c>
      <c r="I1817" s="18" t="s">
        <v>1788</v>
      </c>
    </row>
    <row r="1818">
      <c r="A1818" s="5" t="str">
        <f t="array" ref="A1818">INDEX(event_table!$A$2:$A$69, RANDBETWEEN(1, COUNTA(event_table!$A$2:$A$69)))</f>
        <v>111</v>
      </c>
      <c r="B1818" s="6">
        <f t="array" ref="B1818">IFERROR(INDEX(event_table!$E$1:$E3686,MATCH(A1818,event_table!$A$1:$A3686,0)),"")
</f>
        <v>1</v>
      </c>
      <c r="C1818" s="7">
        <f t="shared" si="1"/>
        <v>194</v>
      </c>
      <c r="D1818" s="6" t="str">
        <f t="array" ref="D1818">IFERROR(INDEX(user_table!$C$2:$C3686,MATCH(C1818,user_table!$B$2:$B3686,0)),"")
</f>
        <v>Andi Putri</v>
      </c>
      <c r="E1818" s="6" t="str">
        <f t="array" ref="E1818">IFERROR(INDEX(user_table!$E$2:$E3686,MATCH(C1818,user_table!$B$2:$B3686,0)),"")
</f>
        <v>4, 4</v>
      </c>
      <c r="F1818" s="6" t="str">
        <f t="shared" si="2"/>
        <v>11141194</v>
      </c>
      <c r="G1818" s="16">
        <v>4.0</v>
      </c>
      <c r="H1818" s="17">
        <v>44981.0</v>
      </c>
      <c r="I1818" s="18" t="s">
        <v>1789</v>
      </c>
    </row>
    <row r="1819">
      <c r="A1819" s="5" t="str">
        <f t="array" ref="A1819">INDEX(event_table!$A$2:$A$69, RANDBETWEEN(1, COUNTA(event_table!$A$2:$A$69)))</f>
        <v>114</v>
      </c>
      <c r="B1819" s="6">
        <f t="array" ref="B1819">IFERROR(INDEX(event_table!$E$1:$E3686,MATCH(A1819,event_table!$A$1:$A3686,0)),"")
</f>
        <v>1</v>
      </c>
      <c r="C1819" s="7">
        <f t="shared" si="1"/>
        <v>177</v>
      </c>
      <c r="D1819" s="6" t="str">
        <f t="array" ref="D1819">IFERROR(INDEX(user_table!$C$2:$C3686,MATCH(C1819,user_table!$B$2:$B3686,0)),"")
</f>
        <v>Andi Susanto</v>
      </c>
      <c r="E1819" s="6" t="str">
        <f t="array" ref="E1819">IFERROR(INDEX(user_table!$E$2:$E3686,MATCH(C1819,user_table!$B$2:$B3686,0)),"")
</f>
        <v>2, 6</v>
      </c>
      <c r="F1819" s="6" t="str">
        <f t="shared" si="2"/>
        <v>11441177</v>
      </c>
      <c r="G1819" s="16">
        <v>4.0</v>
      </c>
      <c r="H1819" s="17">
        <v>44785.0</v>
      </c>
      <c r="I1819" s="18" t="s">
        <v>1790</v>
      </c>
    </row>
    <row r="1820">
      <c r="A1820" s="5" t="str">
        <f t="array" ref="A1820">INDEX(event_table!$A$2:$A$69, RANDBETWEEN(1, COUNTA(event_table!$A$2:$A$69)))</f>
        <v>1529</v>
      </c>
      <c r="B1820" s="6">
        <f t="array" ref="B1820">IFERROR(INDEX(event_table!$E$1:$E3686,MATCH(A1820,event_table!$A$1:$A3686,0)),"")
</f>
        <v>5</v>
      </c>
      <c r="C1820" s="7">
        <f t="shared" si="1"/>
        <v>39</v>
      </c>
      <c r="D1820" s="6" t="str">
        <f t="array" ref="D1820">IFERROR(INDEX(user_table!$C$2:$C3686,MATCH(C1820,user_table!$B$2:$B3686,0)),"")
</f>
        <v>Desi Utami</v>
      </c>
      <c r="E1820" s="6" t="str">
        <f t="array" ref="E1820">IFERROR(INDEX(user_table!$E$2:$E3686,MATCH(C1820,user_table!$B$2:$B3686,0)),"")
</f>
        <v>3, 1</v>
      </c>
      <c r="F1820" s="6" t="str">
        <f t="shared" si="2"/>
        <v>15294539</v>
      </c>
      <c r="G1820" s="16">
        <v>4.0</v>
      </c>
      <c r="H1820" s="17">
        <v>44779.0</v>
      </c>
      <c r="I1820" s="18" t="s">
        <v>1791</v>
      </c>
    </row>
    <row r="1821">
      <c r="A1821" s="5" t="str">
        <f t="array" ref="A1821">INDEX(event_table!$A$2:$A$69, RANDBETWEEN(1, COUNTA(event_table!$A$2:$A$69)))</f>
        <v>113</v>
      </c>
      <c r="B1821" s="6">
        <f t="array" ref="B1821">IFERROR(INDEX(event_table!$E$1:$E3686,MATCH(A1821,event_table!$A$1:$A3686,0)),"")
</f>
        <v>1</v>
      </c>
      <c r="C1821" s="7">
        <f t="shared" si="1"/>
        <v>118</v>
      </c>
      <c r="D1821" s="6" t="str">
        <f t="array" ref="D1821">IFERROR(INDEX(user_table!$C$2:$C3686,MATCH(C1821,user_table!$B$2:$B3686,0)),"")
</f>
        <v>Ani Santoso</v>
      </c>
      <c r="E1821" s="6" t="str">
        <f t="array" ref="E1821">IFERROR(INDEX(user_table!$E$2:$E3686,MATCH(C1821,user_table!$B$2:$B3686,0)),"")
</f>
        <v>6, 1</v>
      </c>
      <c r="F1821" s="6" t="str">
        <f t="shared" si="2"/>
        <v>11341118</v>
      </c>
      <c r="G1821" s="16">
        <v>4.0</v>
      </c>
      <c r="H1821" s="17">
        <v>44683.0</v>
      </c>
      <c r="I1821" s="18" t="s">
        <v>1792</v>
      </c>
    </row>
    <row r="1822">
      <c r="A1822" s="5" t="str">
        <f t="array" ref="A1822">INDEX(event_table!$A$2:$A$69, RANDBETWEEN(1, COUNTA(event_table!$A$2:$A$69)))</f>
        <v>1637</v>
      </c>
      <c r="B1822" s="6">
        <f t="array" ref="B1822">IFERROR(INDEX(event_table!$E$1:$E3686,MATCH(A1822,event_table!$A$1:$A3686,0)),"")
</f>
        <v>6</v>
      </c>
      <c r="C1822" s="7">
        <f t="shared" si="1"/>
        <v>150</v>
      </c>
      <c r="D1822" s="6" t="str">
        <f t="array" ref="D1822">IFERROR(INDEX(user_table!$C$2:$C3686,MATCH(C1822,user_table!$B$2:$B3686,0)),"")
</f>
        <v>Dina Susanto</v>
      </c>
      <c r="E1822" s="6" t="str">
        <f t="array" ref="E1822">IFERROR(INDEX(user_table!$E$2:$E3686,MATCH(C1822,user_table!$B$2:$B3686,0)),"")
</f>
        <v>2, 6</v>
      </c>
      <c r="F1822" s="6" t="str">
        <f t="shared" si="2"/>
        <v>163746150</v>
      </c>
      <c r="G1822" s="16">
        <v>4.0</v>
      </c>
      <c r="H1822" s="17">
        <v>45088.0</v>
      </c>
      <c r="I1822" s="18" t="s">
        <v>1793</v>
      </c>
    </row>
    <row r="1823">
      <c r="A1823" s="5" t="str">
        <f t="array" ref="A1823">INDEX(event_table!$A$2:$A$69, RANDBETWEEN(1, COUNTA(event_table!$A$2:$A$69)))</f>
        <v>119</v>
      </c>
      <c r="B1823" s="6">
        <f t="array" ref="B1823">IFERROR(INDEX(event_table!$E$1:$E3686,MATCH(A1823,event_table!$A$1:$A3686,0)),"")
</f>
        <v>1</v>
      </c>
      <c r="C1823" s="7">
        <f t="shared" si="1"/>
        <v>188</v>
      </c>
      <c r="D1823" s="6" t="str">
        <f t="array" ref="D1823">IFERROR(INDEX(user_table!$C$2:$C3686,MATCH(C1823,user_table!$B$2:$B3686,0)),"")
</f>
        <v>Siti Setiawan</v>
      </c>
      <c r="E1823" s="6" t="str">
        <f t="array" ref="E1823">IFERROR(INDEX(user_table!$E$2:$E3686,MATCH(C1823,user_table!$B$2:$B3686,0)),"")
</f>
        <v>6, 6</v>
      </c>
      <c r="F1823" s="6" t="str">
        <f t="shared" si="2"/>
        <v>11931188</v>
      </c>
      <c r="G1823" s="16">
        <v>3.0</v>
      </c>
      <c r="H1823" s="17">
        <v>45080.0</v>
      </c>
      <c r="I1823" s="18" t="s">
        <v>1794</v>
      </c>
    </row>
    <row r="1824">
      <c r="A1824" s="5" t="str">
        <f t="array" ref="A1824">INDEX(event_table!$A$2:$A$69, RANDBETWEEN(1, COUNTA(event_table!$A$2:$A$69)))</f>
        <v>3164</v>
      </c>
      <c r="B1824" s="6">
        <f t="array" ref="B1824">IFERROR(INDEX(event_table!$E$1:$E3686,MATCH(A1824,event_table!$A$1:$A3686,0)),"")
</f>
        <v>1</v>
      </c>
      <c r="C1824" s="7">
        <f t="shared" si="1"/>
        <v>93</v>
      </c>
      <c r="D1824" s="6" t="str">
        <f t="array" ref="D1824">IFERROR(INDEX(user_table!$C$2:$C3686,MATCH(C1824,user_table!$B$2:$B3686,0)),"")
</f>
        <v>Hadi Putri</v>
      </c>
      <c r="E1824" s="6" t="str">
        <f t="array" ref="E1824">IFERROR(INDEX(user_table!$E$2:$E3686,MATCH(C1824,user_table!$B$2:$B3686,0)),"")
</f>
        <v>5, 6</v>
      </c>
      <c r="F1824" s="6" t="str">
        <f t="shared" si="2"/>
        <v>31643193</v>
      </c>
      <c r="G1824" s="16">
        <v>3.0</v>
      </c>
      <c r="H1824" s="17">
        <v>44916.0</v>
      </c>
      <c r="I1824" s="18" t="s">
        <v>1795</v>
      </c>
    </row>
    <row r="1825">
      <c r="A1825" s="5" t="str">
        <f t="array" ref="A1825">INDEX(event_table!$A$2:$A$69, RANDBETWEEN(1, COUNTA(event_table!$A$2:$A$69)))</f>
        <v>1649</v>
      </c>
      <c r="B1825" s="6">
        <f t="array" ref="B1825">IFERROR(INDEX(event_table!$E$1:$E3686,MATCH(A1825,event_table!$A$1:$A3686,0)),"")
</f>
        <v>6</v>
      </c>
      <c r="C1825" s="7">
        <f t="shared" si="1"/>
        <v>183</v>
      </c>
      <c r="D1825" s="6" t="str">
        <f t="array" ref="D1825">IFERROR(INDEX(user_table!$C$2:$C3686,MATCH(C1825,user_table!$B$2:$B3686,0)),"")
</f>
        <v>Siti Nugroho</v>
      </c>
      <c r="E1825" s="6" t="str">
        <f t="array" ref="E1825">IFERROR(INDEX(user_table!$E$2:$E3686,MATCH(C1825,user_table!$B$2:$B3686,0)),"")
</f>
        <v>4, 6</v>
      </c>
      <c r="F1825" s="6" t="str">
        <f t="shared" si="2"/>
        <v>164936183</v>
      </c>
      <c r="G1825" s="16">
        <v>3.0</v>
      </c>
      <c r="H1825" s="17">
        <v>44745.0</v>
      </c>
      <c r="I1825" s="18" t="s">
        <v>1796</v>
      </c>
    </row>
    <row r="1826">
      <c r="A1826" s="5" t="str">
        <f t="array" ref="A1826">INDEX(event_table!$A$2:$A$69, RANDBETWEEN(1, COUNTA(event_table!$A$2:$A$69)))</f>
        <v>1425</v>
      </c>
      <c r="B1826" s="6">
        <f t="array" ref="B1826">IFERROR(INDEX(event_table!$E$1:$E3686,MATCH(A1826,event_table!$A$1:$A3686,0)),"")
</f>
        <v>4</v>
      </c>
      <c r="C1826" s="7">
        <f t="shared" si="1"/>
        <v>32</v>
      </c>
      <c r="D1826" s="6" t="str">
        <f t="array" ref="D1826">IFERROR(INDEX(user_table!$C$2:$C3686,MATCH(C1826,user_table!$B$2:$B3686,0)),"")
</f>
        <v>Ani Setiawan</v>
      </c>
      <c r="E1826" s="6" t="str">
        <f t="array" ref="E1826">IFERROR(INDEX(user_table!$E$2:$E3686,MATCH(C1826,user_table!$B$2:$B3686,0)),"")
</f>
        <v>6, 3</v>
      </c>
      <c r="F1826" s="6" t="str">
        <f t="shared" si="2"/>
        <v>14253432</v>
      </c>
      <c r="G1826" s="16">
        <v>3.0</v>
      </c>
      <c r="H1826" s="17">
        <v>44720.0</v>
      </c>
      <c r="I1826" s="18" t="s">
        <v>1797</v>
      </c>
    </row>
    <row r="1827">
      <c r="A1827" s="5" t="str">
        <f t="array" ref="A1827">INDEX(event_table!$A$2:$A$69, RANDBETWEEN(1, COUNTA(event_table!$A$2:$A$69)))</f>
        <v>1332</v>
      </c>
      <c r="B1827" s="6">
        <f t="array" ref="B1827">IFERROR(INDEX(event_table!$E$1:$E3686,MATCH(A1827,event_table!$A$1:$A3686,0)),"")
</f>
        <v>3</v>
      </c>
      <c r="C1827" s="7">
        <f t="shared" si="1"/>
        <v>50</v>
      </c>
      <c r="D1827" s="6" t="str">
        <f t="array" ref="D1827">IFERROR(INDEX(user_table!$C$2:$C3686,MATCH(C1827,user_table!$B$2:$B3686,0)),"")
</f>
        <v>Hadi Santoso</v>
      </c>
      <c r="E1827" s="6" t="str">
        <f t="array" ref="E1827">IFERROR(INDEX(user_table!$E$2:$E3686,MATCH(C1827,user_table!$B$2:$B3686,0)),"")
</f>
        <v>5, 4</v>
      </c>
      <c r="F1827" s="6" t="str">
        <f t="shared" si="2"/>
        <v>13323350</v>
      </c>
      <c r="G1827" s="16">
        <v>3.0</v>
      </c>
      <c r="H1827" s="17">
        <v>45101.0</v>
      </c>
      <c r="I1827" s="18" t="s">
        <v>1798</v>
      </c>
    </row>
    <row r="1828">
      <c r="A1828" s="5" t="str">
        <f t="array" ref="A1828">INDEX(event_table!$A$2:$A$69, RANDBETWEEN(1, COUNTA(event_table!$A$2:$A$69)))</f>
        <v>117</v>
      </c>
      <c r="B1828" s="6">
        <f t="array" ref="B1828">IFERROR(INDEX(event_table!$E$1:$E3686,MATCH(A1828,event_table!$A$1:$A3686,0)),"")
</f>
        <v>1</v>
      </c>
      <c r="C1828" s="7">
        <f t="shared" si="1"/>
        <v>5</v>
      </c>
      <c r="D1828" s="6" t="str">
        <f t="array" ref="D1828">IFERROR(INDEX(user_table!$C$2:$C3686,MATCH(C1828,user_table!$B$2:$B3686,0)),"")
</f>
        <v>Hadi Nurhayati</v>
      </c>
      <c r="E1828" s="6" t="str">
        <f t="array" ref="E1828">IFERROR(INDEX(user_table!$E$2:$E3686,MATCH(C1828,user_table!$B$2:$B3686,0)),"")
</f>
        <v>1, 5</v>
      </c>
      <c r="F1828" s="6" t="str">
        <f t="shared" si="2"/>
        <v>117215</v>
      </c>
      <c r="G1828" s="16">
        <v>2.0</v>
      </c>
      <c r="H1828" s="17">
        <v>45100.0</v>
      </c>
      <c r="I1828" s="18" t="s">
        <v>1799</v>
      </c>
    </row>
    <row r="1829">
      <c r="A1829" s="5" t="str">
        <f t="array" ref="A1829">INDEX(event_table!$A$2:$A$69, RANDBETWEEN(1, COUNTA(event_table!$A$2:$A$69)))</f>
        <v>115</v>
      </c>
      <c r="B1829" s="6">
        <f t="array" ref="B1829">IFERROR(INDEX(event_table!$E$1:$E3686,MATCH(A1829,event_table!$A$1:$A3686,0)),"")
</f>
        <v>1</v>
      </c>
      <c r="C1829" s="7">
        <f t="shared" si="1"/>
        <v>111</v>
      </c>
      <c r="D1829" s="6" t="str">
        <f t="array" ref="D1829">IFERROR(INDEX(user_table!$C$2:$C3686,MATCH(C1829,user_table!$B$2:$B3686,0)),"")
</f>
        <v>Hadi Kurniawan</v>
      </c>
      <c r="E1829" s="6" t="str">
        <f t="array" ref="E1829">IFERROR(INDEX(user_table!$E$2:$E3686,MATCH(C1829,user_table!$B$2:$B3686,0)),"")
</f>
        <v>3, 4</v>
      </c>
      <c r="F1829" s="6" t="str">
        <f t="shared" si="2"/>
        <v>11521111</v>
      </c>
      <c r="G1829" s="16">
        <v>2.0</v>
      </c>
      <c r="H1829" s="17">
        <v>45081.0</v>
      </c>
      <c r="I1829" s="18" t="s">
        <v>1800</v>
      </c>
    </row>
    <row r="1830">
      <c r="A1830" s="5" t="str">
        <f t="array" ref="A1830">INDEX(event_table!$A$2:$A$69, RANDBETWEEN(1, COUNTA(event_table!$A$2:$A$69)))</f>
        <v>1529</v>
      </c>
      <c r="B1830" s="6">
        <f t="array" ref="B1830">IFERROR(INDEX(event_table!$E$1:$E3686,MATCH(A1830,event_table!$A$1:$A3686,0)),"")
</f>
        <v>5</v>
      </c>
      <c r="C1830" s="7">
        <f t="shared" si="1"/>
        <v>156</v>
      </c>
      <c r="D1830" s="6" t="str">
        <f t="array" ref="D1830">IFERROR(INDEX(user_table!$C$2:$C3686,MATCH(C1830,user_table!$B$2:$B3686,0)),"")
</f>
        <v>Lina Kusuma</v>
      </c>
      <c r="E1830" s="6" t="str">
        <f t="array" ref="E1830">IFERROR(INDEX(user_table!$E$2:$E3686,MATCH(C1830,user_table!$B$2:$B3686,0)),"")
</f>
        <v>4, 3</v>
      </c>
      <c r="F1830" s="6" t="str">
        <f t="shared" si="2"/>
        <v>152925156</v>
      </c>
      <c r="G1830" s="16">
        <v>2.0</v>
      </c>
      <c r="H1830" s="17">
        <v>44906.0</v>
      </c>
      <c r="I1830" s="18" t="s">
        <v>1801</v>
      </c>
    </row>
    <row r="1831">
      <c r="A1831" s="5" t="str">
        <f t="array" ref="A1831">INDEX(event_table!$A$2:$A$69, RANDBETWEEN(1, COUNTA(event_table!$A$2:$A$69)))</f>
        <v>1529</v>
      </c>
      <c r="B1831" s="6">
        <f t="array" ref="B1831">IFERROR(INDEX(event_table!$E$1:$E3686,MATCH(A1831,event_table!$A$1:$A3686,0)),"")
</f>
        <v>5</v>
      </c>
      <c r="C1831" s="7">
        <f t="shared" si="1"/>
        <v>186</v>
      </c>
      <c r="D1831" s="6" t="str">
        <f t="array" ref="D1831">IFERROR(INDEX(user_table!$C$2:$C3686,MATCH(C1831,user_table!$B$2:$B3686,0)),"")
</f>
        <v>Budi Wijaya</v>
      </c>
      <c r="E1831" s="6" t="str">
        <f t="array" ref="E1831">IFERROR(INDEX(user_table!$E$2:$E3686,MATCH(C1831,user_table!$B$2:$B3686,0)),"")
</f>
        <v>1, 4</v>
      </c>
      <c r="F1831" s="6" t="str">
        <f t="shared" si="2"/>
        <v>152925186</v>
      </c>
      <c r="G1831" s="16">
        <v>2.0</v>
      </c>
      <c r="H1831" s="17">
        <v>45268.0</v>
      </c>
      <c r="I1831" s="18" t="s">
        <v>1802</v>
      </c>
    </row>
    <row r="1832">
      <c r="A1832" s="5" t="str">
        <f t="array" ref="A1832">INDEX(event_table!$A$2:$A$69, RANDBETWEEN(1, COUNTA(event_table!$A$2:$A$69)))</f>
        <v>3166</v>
      </c>
      <c r="B1832" s="6">
        <f t="array" ref="B1832">IFERROR(INDEX(event_table!$E$1:$E3686,MATCH(A1832,event_table!$A$1:$A3686,0)),"")
</f>
        <v>1</v>
      </c>
      <c r="C1832" s="7">
        <f t="shared" si="1"/>
        <v>93</v>
      </c>
      <c r="D1832" s="6" t="str">
        <f t="array" ref="D1832">IFERROR(INDEX(user_table!$C$2:$C3686,MATCH(C1832,user_table!$B$2:$B3686,0)),"")
</f>
        <v>Hadi Putri</v>
      </c>
      <c r="E1832" s="6" t="str">
        <f t="array" ref="E1832">IFERROR(INDEX(user_table!$E$2:$E3686,MATCH(C1832,user_table!$B$2:$B3686,0)),"")
</f>
        <v>5, 6</v>
      </c>
      <c r="F1832" s="6" t="str">
        <f t="shared" si="2"/>
        <v>31661193</v>
      </c>
      <c r="G1832" s="16">
        <v>1.0</v>
      </c>
      <c r="H1832" s="17">
        <v>45249.0</v>
      </c>
      <c r="I1832" s="18" t="s">
        <v>1803</v>
      </c>
    </row>
    <row r="1833">
      <c r="A1833" s="5" t="str">
        <f t="array" ref="A1833">INDEX(event_table!$A$2:$A$69, RANDBETWEEN(1, COUNTA(event_table!$A$2:$A$69)))</f>
        <v>3454</v>
      </c>
      <c r="B1833" s="6">
        <f t="array" ref="B1833">IFERROR(INDEX(event_table!$E$1:$E3686,MATCH(A1833,event_table!$A$1:$A3686,0)),"")
</f>
        <v>4</v>
      </c>
      <c r="C1833" s="7">
        <f t="shared" si="1"/>
        <v>26</v>
      </c>
      <c r="D1833" s="6" t="str">
        <f t="array" ref="D1833">IFERROR(INDEX(user_table!$C$2:$C3686,MATCH(C1833,user_table!$B$2:$B3686,0)),"")
</f>
        <v>Citra Sari</v>
      </c>
      <c r="E1833" s="6" t="str">
        <f t="array" ref="E1833">IFERROR(INDEX(user_table!$E$2:$E3686,MATCH(C1833,user_table!$B$2:$B3686,0)),"")
</f>
        <v>5, 1</v>
      </c>
      <c r="F1833" s="6" t="str">
        <f t="shared" si="2"/>
        <v>34541426</v>
      </c>
      <c r="G1833" s="16">
        <v>1.0</v>
      </c>
      <c r="H1833" s="17">
        <v>45208.0</v>
      </c>
      <c r="I1833" s="18" t="s">
        <v>1804</v>
      </c>
    </row>
    <row r="1834">
      <c r="A1834" s="5" t="str">
        <f t="array" ref="A1834">INDEX(event_table!$A$2:$A$69, RANDBETWEEN(1, COUNTA(event_table!$A$2:$A$69)))</f>
        <v>1424</v>
      </c>
      <c r="B1834" s="6">
        <f t="array" ref="B1834">IFERROR(INDEX(event_table!$E$1:$E3686,MATCH(A1834,event_table!$A$1:$A3686,0)),"")
</f>
        <v>4</v>
      </c>
      <c r="C1834" s="7">
        <f t="shared" si="1"/>
        <v>107</v>
      </c>
      <c r="D1834" s="6" t="str">
        <f t="array" ref="D1834">IFERROR(INDEX(user_table!$C$2:$C3686,MATCH(C1834,user_table!$B$2:$B3686,0)),"")
</f>
        <v>Citra Rahayu</v>
      </c>
      <c r="E1834" s="6" t="str">
        <f t="array" ref="E1834">IFERROR(INDEX(user_table!$E$2:$E3686,MATCH(C1834,user_table!$B$2:$B3686,0)),"")
</f>
        <v>1, 5</v>
      </c>
      <c r="F1834" s="6" t="str">
        <f t="shared" si="2"/>
        <v>142414107</v>
      </c>
      <c r="G1834" s="16">
        <v>1.0</v>
      </c>
      <c r="H1834" s="17">
        <v>45211.0</v>
      </c>
      <c r="I1834" s="18" t="s">
        <v>1805</v>
      </c>
    </row>
    <row r="1835">
      <c r="A1835" s="5" t="str">
        <f t="array" ref="A1835">INDEX(event_table!$A$2:$A$69, RANDBETWEEN(1, COUNTA(event_table!$A$2:$A$69)))</f>
        <v>1114</v>
      </c>
      <c r="B1835" s="6">
        <f t="array" ref="B1835">IFERROR(INDEX(event_table!$E$1:$E3686,MATCH(A1835,event_table!$A$1:$A3686,0)),"")
</f>
        <v>1</v>
      </c>
      <c r="C1835" s="7">
        <f t="shared" si="1"/>
        <v>10</v>
      </c>
      <c r="D1835" s="6" t="str">
        <f t="array" ref="D1835">IFERROR(INDEX(user_table!$C$2:$C3686,MATCH(C1835,user_table!$B$2:$B3686,0)),"")
</f>
        <v>Dina Susanto</v>
      </c>
      <c r="E1835" s="6" t="str">
        <f t="array" ref="E1835">IFERROR(INDEX(user_table!$E$2:$E3686,MATCH(C1835,user_table!$B$2:$B3686,0)),"")
</f>
        <v>4, 5</v>
      </c>
      <c r="F1835" s="6" t="str">
        <f t="shared" si="2"/>
        <v>11141110</v>
      </c>
      <c r="G1835" s="16">
        <v>1.0</v>
      </c>
      <c r="H1835" s="17">
        <v>45143.0</v>
      </c>
      <c r="I1835" s="18" t="s">
        <v>1806</v>
      </c>
    </row>
    <row r="1836">
      <c r="A1836" s="5" t="str">
        <f t="array" ref="A1836">INDEX(event_table!$A$2:$A$69, RANDBETWEEN(1, COUNTA(event_table!$A$2:$A$69)))</f>
        <v>1640</v>
      </c>
      <c r="B1836" s="6">
        <f t="array" ref="B1836">IFERROR(INDEX(event_table!$E$1:$E3686,MATCH(A1836,event_table!$A$1:$A3686,0)),"")
</f>
        <v>6</v>
      </c>
      <c r="C1836" s="7">
        <f t="shared" si="1"/>
        <v>153</v>
      </c>
      <c r="D1836" s="6" t="str">
        <f t="array" ref="D1836">IFERROR(INDEX(user_table!$C$2:$C3686,MATCH(C1836,user_table!$B$2:$B3686,0)),"")
</f>
        <v>Budi Hartono</v>
      </c>
      <c r="E1836" s="6" t="str">
        <f t="array" ref="E1836">IFERROR(INDEX(user_table!$E$2:$E3686,MATCH(C1836,user_table!$B$2:$B3686,0)),"")
</f>
        <v>5, 2</v>
      </c>
      <c r="F1836" s="6" t="str">
        <f t="shared" si="2"/>
        <v>164016153</v>
      </c>
      <c r="G1836" s="16">
        <v>1.0</v>
      </c>
      <c r="H1836" s="17">
        <v>45075.0</v>
      </c>
      <c r="I1836" s="18" t="s">
        <v>1807</v>
      </c>
    </row>
    <row r="1837">
      <c r="A1837" s="5" t="str">
        <f t="array" ref="A1837">INDEX(event_table!$A$2:$A$69, RANDBETWEEN(1, COUNTA(event_table!$A$2:$A$69)))</f>
        <v>1641</v>
      </c>
      <c r="B1837" s="6">
        <f t="array" ref="B1837">IFERROR(INDEX(event_table!$E$1:$E3686,MATCH(A1837,event_table!$A$1:$A3686,0)),"")
</f>
        <v>6</v>
      </c>
      <c r="C1837" s="7">
        <f t="shared" si="1"/>
        <v>46</v>
      </c>
      <c r="D1837" s="6" t="str">
        <f t="array" ref="D1837">IFERROR(INDEX(user_table!$C$2:$C3686,MATCH(C1837,user_table!$B$2:$B3686,0)),"")
</f>
        <v>Dian Wijaya</v>
      </c>
      <c r="E1837" s="6" t="str">
        <f t="array" ref="E1837">IFERROR(INDEX(user_table!$E$2:$E3686,MATCH(C1837,user_table!$B$2:$B3686,0)),"")
</f>
        <v>2, 2</v>
      </c>
      <c r="F1837" s="6" t="str">
        <f t="shared" si="2"/>
        <v>16411646</v>
      </c>
      <c r="G1837" s="16">
        <v>1.0</v>
      </c>
      <c r="H1837" s="17">
        <v>45068.0</v>
      </c>
      <c r="I1837" s="18" t="s">
        <v>1808</v>
      </c>
    </row>
    <row r="1838">
      <c r="A1838" s="5" t="str">
        <f t="array" ref="A1838">INDEX(event_table!$A$2:$A$69, RANDBETWEEN(1, COUNTA(event_table!$A$2:$A$69)))</f>
        <v>1530</v>
      </c>
      <c r="B1838" s="6">
        <f t="array" ref="B1838">IFERROR(INDEX(event_table!$E$1:$E3686,MATCH(A1838,event_table!$A$1:$A3686,0)),"")
</f>
        <v>5</v>
      </c>
      <c r="C1838" s="7">
        <f t="shared" si="1"/>
        <v>159</v>
      </c>
      <c r="D1838" s="6" t="str">
        <f t="array" ref="D1838">IFERROR(INDEX(user_table!$C$2:$C3686,MATCH(C1838,user_table!$B$2:$B3686,0)),"")
</f>
        <v>Rudi Santoso</v>
      </c>
      <c r="E1838" s="6" t="str">
        <f t="array" ref="E1838">IFERROR(INDEX(user_table!$E$2:$E3686,MATCH(C1838,user_table!$B$2:$B3686,0)),"")
</f>
        <v>5, 1</v>
      </c>
      <c r="F1838" s="6" t="str">
        <f t="shared" si="2"/>
        <v>153015159</v>
      </c>
      <c r="G1838" s="16">
        <v>1.0</v>
      </c>
      <c r="H1838" s="17">
        <v>45040.0</v>
      </c>
      <c r="I1838" s="18" t="s">
        <v>1809</v>
      </c>
    </row>
    <row r="1839">
      <c r="A1839" s="5" t="str">
        <f t="array" ref="A1839">INDEX(event_table!$A$2:$A$69, RANDBETWEEN(1, COUNTA(event_table!$A$2:$A$69)))</f>
        <v>1416</v>
      </c>
      <c r="B1839" s="6">
        <f t="array" ref="B1839">IFERROR(INDEX(event_table!$E$1:$E3686,MATCH(A1839,event_table!$A$1:$A3686,0)),"")
</f>
        <v>4</v>
      </c>
      <c r="C1839" s="7">
        <f t="shared" si="1"/>
        <v>177</v>
      </c>
      <c r="D1839" s="6" t="str">
        <f t="array" ref="D1839">IFERROR(INDEX(user_table!$C$2:$C3686,MATCH(C1839,user_table!$B$2:$B3686,0)),"")
</f>
        <v>Andi Susanto</v>
      </c>
      <c r="E1839" s="6" t="str">
        <f t="array" ref="E1839">IFERROR(INDEX(user_table!$E$2:$E3686,MATCH(C1839,user_table!$B$2:$B3686,0)),"")
</f>
        <v>2, 6</v>
      </c>
      <c r="F1839" s="6" t="str">
        <f t="shared" si="2"/>
        <v>141654177</v>
      </c>
      <c r="G1839" s="16">
        <v>5.0</v>
      </c>
      <c r="H1839" s="17">
        <v>44751.0</v>
      </c>
      <c r="I1839" s="18" t="s">
        <v>1810</v>
      </c>
    </row>
    <row r="1840">
      <c r="A1840" s="5" t="str">
        <f t="array" ref="A1840">INDEX(event_table!$A$2:$A$69, RANDBETWEEN(1, COUNTA(event_table!$A$2:$A$69)))</f>
        <v>114</v>
      </c>
      <c r="B1840" s="6">
        <f t="array" ref="B1840">IFERROR(INDEX(event_table!$E$1:$E3686,MATCH(A1840,event_table!$A$1:$A3686,0)),"")
</f>
        <v>1</v>
      </c>
      <c r="C1840" s="7">
        <f t="shared" si="1"/>
        <v>24</v>
      </c>
      <c r="D1840" s="6" t="str">
        <f t="array" ref="D1840">IFERROR(INDEX(user_table!$C$2:$C3686,MATCH(C1840,user_table!$B$2:$B3686,0)),"")
</f>
        <v>Andi Septiani</v>
      </c>
      <c r="E1840" s="6" t="str">
        <f t="array" ref="E1840">IFERROR(INDEX(user_table!$E$2:$E3686,MATCH(C1840,user_table!$B$2:$B3686,0)),"")
</f>
        <v>2, 2</v>
      </c>
      <c r="F1840" s="6" t="str">
        <f t="shared" si="2"/>
        <v>1145124</v>
      </c>
      <c r="G1840" s="16">
        <v>5.0</v>
      </c>
      <c r="H1840" s="17">
        <v>44745.0</v>
      </c>
      <c r="I1840" s="18" t="s">
        <v>1811</v>
      </c>
    </row>
    <row r="1841">
      <c r="A1841" s="5" t="str">
        <f t="array" ref="A1841">INDEX(event_table!$A$2:$A$69, RANDBETWEEN(1, COUNTA(event_table!$A$2:$A$69)))</f>
        <v>1528</v>
      </c>
      <c r="B1841" s="6">
        <f t="array" ref="B1841">IFERROR(INDEX(event_table!$E$1:$E3686,MATCH(A1841,event_table!$A$1:$A3686,0)),"")
</f>
        <v>5</v>
      </c>
      <c r="C1841" s="7">
        <f t="shared" si="1"/>
        <v>162</v>
      </c>
      <c r="D1841" s="6" t="str">
        <f t="array" ref="D1841">IFERROR(INDEX(user_table!$C$2:$C3686,MATCH(C1841,user_table!$B$2:$B3686,0)),"")
</f>
        <v>Dewi Nugroho</v>
      </c>
      <c r="E1841" s="6" t="str">
        <f t="array" ref="E1841">IFERROR(INDEX(user_table!$E$2:$E3686,MATCH(C1841,user_table!$B$2:$B3686,0)),"")
</f>
        <v>2, 5</v>
      </c>
      <c r="F1841" s="6" t="str">
        <f t="shared" si="2"/>
        <v>152855162</v>
      </c>
      <c r="G1841" s="16">
        <v>5.0</v>
      </c>
      <c r="H1841" s="17">
        <v>44741.0</v>
      </c>
      <c r="I1841" s="18" t="s">
        <v>1812</v>
      </c>
    </row>
    <row r="1842">
      <c r="A1842" s="5" t="str">
        <f t="array" ref="A1842">INDEX(event_table!$A$2:$A$69, RANDBETWEEN(1, COUNTA(event_table!$A$2:$A$69)))</f>
        <v>118</v>
      </c>
      <c r="B1842" s="6">
        <f t="array" ref="B1842">IFERROR(INDEX(event_table!$E$1:$E3686,MATCH(A1842,event_table!$A$1:$A3686,0)),"")
</f>
        <v>1</v>
      </c>
      <c r="C1842" s="7">
        <f t="shared" si="1"/>
        <v>25</v>
      </c>
      <c r="D1842" s="6" t="str">
        <f t="array" ref="D1842">IFERROR(INDEX(user_table!$C$2:$C3686,MATCH(C1842,user_table!$B$2:$B3686,0)),"")
</f>
        <v>Agus Hartono</v>
      </c>
      <c r="E1842" s="6" t="str">
        <f t="array" ref="E1842">IFERROR(INDEX(user_table!$E$2:$E3686,MATCH(C1842,user_table!$B$2:$B3686,0)),"")
</f>
        <v>6, 3</v>
      </c>
      <c r="F1842" s="6" t="str">
        <f t="shared" si="2"/>
        <v>1185125</v>
      </c>
      <c r="G1842" s="16">
        <v>5.0</v>
      </c>
      <c r="H1842" s="17">
        <v>44740.0</v>
      </c>
      <c r="I1842" s="18" t="s">
        <v>1813</v>
      </c>
    </row>
    <row r="1843">
      <c r="A1843" s="5" t="str">
        <f t="array" ref="A1843">INDEX(event_table!$A$2:$A$69, RANDBETWEEN(1, COUNTA(event_table!$A$2:$A$69)))</f>
        <v>3166</v>
      </c>
      <c r="B1843" s="6">
        <f t="array" ref="B1843">IFERROR(INDEX(event_table!$E$1:$E3686,MATCH(A1843,event_table!$A$1:$A3686,0)),"")
</f>
        <v>1</v>
      </c>
      <c r="C1843" s="7">
        <f t="shared" si="1"/>
        <v>70</v>
      </c>
      <c r="D1843" s="6" t="str">
        <f t="array" ref="D1843">IFERROR(INDEX(user_table!$C$2:$C3686,MATCH(C1843,user_table!$B$2:$B3686,0)),"")
</f>
        <v>Fandi Hadiwijaya</v>
      </c>
      <c r="E1843" s="6" t="str">
        <f t="array" ref="E1843">IFERROR(INDEX(user_table!$E$2:$E3686,MATCH(C1843,user_table!$B$2:$B3686,0)),"")
</f>
        <v>1, 4</v>
      </c>
      <c r="F1843" s="6" t="str">
        <f t="shared" si="2"/>
        <v>31665170</v>
      </c>
      <c r="G1843" s="16">
        <v>5.0</v>
      </c>
      <c r="H1843" s="17">
        <v>44739.0</v>
      </c>
      <c r="I1843" s="18" t="s">
        <v>1814</v>
      </c>
    </row>
    <row r="1844">
      <c r="A1844" s="5" t="str">
        <f t="array" ref="A1844">INDEX(event_table!$A$2:$A$69, RANDBETWEEN(1, COUNTA(event_table!$A$2:$A$69)))</f>
        <v>1644</v>
      </c>
      <c r="B1844" s="6">
        <f t="array" ref="B1844">IFERROR(INDEX(event_table!$E$1:$E3686,MATCH(A1844,event_table!$A$1:$A3686,0)),"")
</f>
        <v>6</v>
      </c>
      <c r="C1844" s="7">
        <f t="shared" si="1"/>
        <v>128</v>
      </c>
      <c r="D1844" s="6" t="str">
        <f t="array" ref="D1844">IFERROR(INDEX(user_table!$C$2:$C3686,MATCH(C1844,user_table!$B$2:$B3686,0)),"")
</f>
        <v>Bambang Utami</v>
      </c>
      <c r="E1844" s="6" t="str">
        <f t="array" ref="E1844">IFERROR(INDEX(user_table!$E$2:$E3686,MATCH(C1844,user_table!$B$2:$B3686,0)),"")
</f>
        <v>3, 6</v>
      </c>
      <c r="F1844" s="6" t="str">
        <f t="shared" si="2"/>
        <v>164456128</v>
      </c>
      <c r="G1844" s="16">
        <v>5.0</v>
      </c>
      <c r="H1844" s="17">
        <v>44738.0</v>
      </c>
      <c r="I1844" s="18" t="s">
        <v>1815</v>
      </c>
    </row>
    <row r="1845">
      <c r="A1845" s="5" t="str">
        <f t="array" ref="A1845">INDEX(event_table!$A$2:$A$69, RANDBETWEEN(1, COUNTA(event_table!$A$2:$A$69)))</f>
        <v>1529</v>
      </c>
      <c r="B1845" s="6">
        <f t="array" ref="B1845">IFERROR(INDEX(event_table!$E$1:$E3686,MATCH(A1845,event_table!$A$1:$A3686,0)),"")
</f>
        <v>5</v>
      </c>
      <c r="C1845" s="7">
        <f t="shared" si="1"/>
        <v>23</v>
      </c>
      <c r="D1845" s="6" t="str">
        <f t="array" ref="D1845">IFERROR(INDEX(user_table!$C$2:$C3686,MATCH(C1845,user_table!$B$2:$B3686,0)),"")
</f>
        <v>Fajar Kusuma</v>
      </c>
      <c r="E1845" s="6" t="str">
        <f t="array" ref="E1845">IFERROR(INDEX(user_table!$E$2:$E3686,MATCH(C1845,user_table!$B$2:$B3686,0)),"")
</f>
        <v>4, 1</v>
      </c>
      <c r="F1845" s="6" t="str">
        <f t="shared" si="2"/>
        <v>15295523</v>
      </c>
      <c r="G1845" s="16">
        <v>5.0</v>
      </c>
      <c r="H1845" s="17">
        <v>44712.0</v>
      </c>
      <c r="I1845" s="18" t="s">
        <v>1816</v>
      </c>
    </row>
    <row r="1846">
      <c r="A1846" s="5" t="str">
        <f t="array" ref="A1846">INDEX(event_table!$A$2:$A$69, RANDBETWEEN(1, COUNTA(event_table!$A$2:$A$69)))</f>
        <v>1111</v>
      </c>
      <c r="B1846" s="6">
        <f t="array" ref="B1846">IFERROR(INDEX(event_table!$E$1:$E3686,MATCH(A1846,event_table!$A$1:$A3686,0)),"")
</f>
        <v>1</v>
      </c>
      <c r="C1846" s="7">
        <f t="shared" si="1"/>
        <v>182</v>
      </c>
      <c r="D1846" s="6" t="str">
        <f t="array" ref="D1846">IFERROR(INDEX(user_table!$C$2:$C3686,MATCH(C1846,user_table!$B$2:$B3686,0)),"")
</f>
        <v>Siti Utami</v>
      </c>
      <c r="E1846" s="6" t="str">
        <f t="array" ref="E1846">IFERROR(INDEX(user_table!$E$2:$E3686,MATCH(C1846,user_table!$B$2:$B3686,0)),"")
</f>
        <v>5, 4</v>
      </c>
      <c r="F1846" s="6" t="str">
        <f t="shared" si="2"/>
        <v>111151182</v>
      </c>
      <c r="G1846" s="16">
        <v>5.0</v>
      </c>
      <c r="H1846" s="17">
        <v>44705.0</v>
      </c>
      <c r="I1846" s="18" t="s">
        <v>1817</v>
      </c>
    </row>
    <row r="1847">
      <c r="A1847" s="5" t="str">
        <f t="array" ref="A1847">INDEX(event_table!$A$2:$A$69, RANDBETWEEN(1, COUNTA(event_table!$A$2:$A$69)))</f>
        <v>1645</v>
      </c>
      <c r="B1847" s="6">
        <f t="array" ref="B1847">IFERROR(INDEX(event_table!$E$1:$E3686,MATCH(A1847,event_table!$A$1:$A3686,0)),"")
</f>
        <v>6</v>
      </c>
      <c r="C1847" s="7">
        <f t="shared" si="1"/>
        <v>113</v>
      </c>
      <c r="D1847" s="6" t="str">
        <f t="array" ref="D1847">IFERROR(INDEX(user_table!$C$2:$C3686,MATCH(C1847,user_table!$B$2:$B3686,0)),"")
</f>
        <v>Budi Wijaya</v>
      </c>
      <c r="E1847" s="6" t="str">
        <f t="array" ref="E1847">IFERROR(INDEX(user_table!$E$2:$E3686,MATCH(C1847,user_table!$B$2:$B3686,0)),"")
</f>
        <v>1, 5</v>
      </c>
      <c r="F1847" s="6" t="str">
        <f t="shared" si="2"/>
        <v>164556113</v>
      </c>
      <c r="G1847" s="16">
        <v>5.0</v>
      </c>
      <c r="H1847" s="17">
        <v>44692.0</v>
      </c>
      <c r="I1847" s="18" t="s">
        <v>1818</v>
      </c>
    </row>
    <row r="1848">
      <c r="A1848" s="5" t="str">
        <f t="array" ref="A1848">INDEX(event_table!$A$2:$A$69, RANDBETWEEN(1, COUNTA(event_table!$A$2:$A$69)))</f>
        <v>3657</v>
      </c>
      <c r="B1848" s="6">
        <f t="array" ref="B1848">IFERROR(INDEX(event_table!$E$1:$E3686,MATCH(A1848,event_table!$A$1:$A3686,0)),"")
</f>
        <v>6</v>
      </c>
      <c r="C1848" s="7">
        <f t="shared" si="1"/>
        <v>34</v>
      </c>
      <c r="D1848" s="6" t="str">
        <f t="array" ref="D1848">IFERROR(INDEX(user_table!$C$2:$C3686,MATCH(C1848,user_table!$B$2:$B3686,0)),"")
</f>
        <v>Bambang Putri</v>
      </c>
      <c r="E1848" s="6" t="str">
        <f t="array" ref="E1848">IFERROR(INDEX(user_table!$E$2:$E3686,MATCH(C1848,user_table!$B$2:$B3686,0)),"")
</f>
        <v>3, 5</v>
      </c>
      <c r="F1848" s="6" t="str">
        <f t="shared" si="2"/>
        <v>36575634</v>
      </c>
      <c r="G1848" s="16">
        <v>5.0</v>
      </c>
      <c r="H1848" s="17">
        <v>45071.0</v>
      </c>
      <c r="I1848" s="18" t="s">
        <v>1819</v>
      </c>
    </row>
    <row r="1849">
      <c r="A1849" s="5" t="str">
        <f t="array" ref="A1849">INDEX(event_table!$A$2:$A$69, RANDBETWEEN(1, COUNTA(event_table!$A$2:$A$69)))</f>
        <v>1417</v>
      </c>
      <c r="B1849" s="6">
        <f t="array" ref="B1849">IFERROR(INDEX(event_table!$E$1:$E3686,MATCH(A1849,event_table!$A$1:$A3686,0)),"")
</f>
        <v>4</v>
      </c>
      <c r="C1849" s="7">
        <f t="shared" si="1"/>
        <v>189</v>
      </c>
      <c r="D1849" s="6" t="str">
        <f t="array" ref="D1849">IFERROR(INDEX(user_table!$C$2:$C3686,MATCH(C1849,user_table!$B$2:$B3686,0)),"")
</f>
        <v>Arif Putri</v>
      </c>
      <c r="E1849" s="6" t="str">
        <f t="array" ref="E1849">IFERROR(INDEX(user_table!$E$2:$E3686,MATCH(C1849,user_table!$B$2:$B3686,0)),"")
</f>
        <v>4, 2</v>
      </c>
      <c r="F1849" s="6" t="str">
        <f t="shared" si="2"/>
        <v>141754189</v>
      </c>
      <c r="G1849" s="16">
        <v>5.0</v>
      </c>
      <c r="H1849" s="17">
        <v>45044.0</v>
      </c>
      <c r="I1849" s="18" t="s">
        <v>1820</v>
      </c>
    </row>
    <row r="1850">
      <c r="A1850" s="5" t="str">
        <f t="array" ref="A1850">INDEX(event_table!$A$2:$A$69, RANDBETWEEN(1, COUNTA(event_table!$A$2:$A$69)))</f>
        <v>1421</v>
      </c>
      <c r="B1850" s="6">
        <f t="array" ref="B1850">IFERROR(INDEX(event_table!$E$1:$E3686,MATCH(A1850,event_table!$A$1:$A3686,0)),"")
</f>
        <v>4</v>
      </c>
      <c r="C1850" s="7">
        <f t="shared" si="1"/>
        <v>103</v>
      </c>
      <c r="D1850" s="6" t="str">
        <f t="array" ref="D1850">IFERROR(INDEX(user_table!$C$2:$C3686,MATCH(C1850,user_table!$B$2:$B3686,0)),"")
</f>
        <v>Hadi Sari</v>
      </c>
      <c r="E1850" s="6" t="str">
        <f t="array" ref="E1850">IFERROR(INDEX(user_table!$E$2:$E3686,MATCH(C1850,user_table!$B$2:$B3686,0)),"")
</f>
        <v>3, 1</v>
      </c>
      <c r="F1850" s="6" t="str">
        <f t="shared" si="2"/>
        <v>142154103</v>
      </c>
      <c r="G1850" s="16">
        <v>5.0</v>
      </c>
      <c r="H1850" s="17">
        <v>44952.0</v>
      </c>
      <c r="I1850" s="18" t="s">
        <v>1821</v>
      </c>
    </row>
    <row r="1851">
      <c r="A1851" s="5" t="str">
        <f t="array" ref="A1851">INDEX(event_table!$A$2:$A$69, RANDBETWEEN(1, COUNTA(event_table!$A$2:$A$69)))</f>
        <v>1313</v>
      </c>
      <c r="B1851" s="6">
        <f t="array" ref="B1851">IFERROR(INDEX(event_table!$E$1:$E3686,MATCH(A1851,event_table!$A$1:$A3686,0)),"")
</f>
        <v>3</v>
      </c>
      <c r="C1851" s="7">
        <f t="shared" si="1"/>
        <v>174</v>
      </c>
      <c r="D1851" s="6" t="str">
        <f t="array" ref="D1851">IFERROR(INDEX(user_table!$C$2:$C3686,MATCH(C1851,user_table!$B$2:$B3686,0)),"")
</f>
        <v>Maya Hermawan</v>
      </c>
      <c r="E1851" s="6" t="str">
        <f t="array" ref="E1851">IFERROR(INDEX(user_table!$E$2:$E3686,MATCH(C1851,user_table!$B$2:$B3686,0)),"")
</f>
        <v>5, 1</v>
      </c>
      <c r="F1851" s="6" t="str">
        <f t="shared" si="2"/>
        <v>131353174</v>
      </c>
      <c r="G1851" s="16">
        <v>5.0</v>
      </c>
      <c r="H1851" s="17">
        <v>44925.0</v>
      </c>
      <c r="I1851" s="18" t="s">
        <v>1822</v>
      </c>
    </row>
    <row r="1852">
      <c r="A1852" s="5" t="str">
        <f t="array" ref="A1852">INDEX(event_table!$A$2:$A$69, RANDBETWEEN(1, COUNTA(event_table!$A$2:$A$69)))</f>
        <v>1639</v>
      </c>
      <c r="B1852" s="6">
        <f t="array" ref="B1852">IFERROR(INDEX(event_table!$E$1:$E3686,MATCH(A1852,event_table!$A$1:$A3686,0)),"")
</f>
        <v>6</v>
      </c>
      <c r="C1852" s="7">
        <f t="shared" si="1"/>
        <v>68</v>
      </c>
      <c r="D1852" s="6" t="str">
        <f t="array" ref="D1852">IFERROR(INDEX(user_table!$C$2:$C3686,MATCH(C1852,user_table!$B$2:$B3686,0)),"")
</f>
        <v>Wahyu Wijaya</v>
      </c>
      <c r="E1852" s="6" t="str">
        <f t="array" ref="E1852">IFERROR(INDEX(user_table!$E$2:$E3686,MATCH(C1852,user_table!$B$2:$B3686,0)),"")
</f>
        <v>4, 6</v>
      </c>
      <c r="F1852" s="6" t="str">
        <f t="shared" si="2"/>
        <v>16395668</v>
      </c>
      <c r="G1852" s="16">
        <v>5.0</v>
      </c>
      <c r="H1852" s="17">
        <v>44900.0</v>
      </c>
      <c r="I1852" s="18" t="s">
        <v>1823</v>
      </c>
    </row>
    <row r="1853">
      <c r="A1853" s="5" t="str">
        <f t="array" ref="A1853">INDEX(event_table!$A$2:$A$69, RANDBETWEEN(1, COUNTA(event_table!$A$2:$A$69)))</f>
        <v>113</v>
      </c>
      <c r="B1853" s="6">
        <f t="array" ref="B1853">IFERROR(INDEX(event_table!$E$1:$E3686,MATCH(A1853,event_table!$A$1:$A3686,0)),"")
</f>
        <v>1</v>
      </c>
      <c r="C1853" s="7">
        <f t="shared" si="1"/>
        <v>2</v>
      </c>
      <c r="D1853" s="6" t="str">
        <f t="array" ref="D1853">IFERROR(INDEX(user_table!$C$2:$C3686,MATCH(C1853,user_table!$B$2:$B3686,0)),"")
</f>
        <v>Dian Putri</v>
      </c>
      <c r="E1853" s="6" t="str">
        <f t="array" ref="E1853">IFERROR(INDEX(user_table!$E$2:$E3686,MATCH(C1853,user_table!$B$2:$B3686,0)),"")
</f>
        <v>1, 6</v>
      </c>
      <c r="F1853" s="6" t="str">
        <f t="shared" si="2"/>
        <v>113412</v>
      </c>
      <c r="G1853" s="16">
        <v>4.0</v>
      </c>
      <c r="H1853" s="17">
        <v>45106.0</v>
      </c>
      <c r="I1853" s="18" t="s">
        <v>1824</v>
      </c>
    </row>
    <row r="1854">
      <c r="A1854" s="5" t="str">
        <f t="array" ref="A1854">INDEX(event_table!$A$2:$A$69, RANDBETWEEN(1, COUNTA(event_table!$A$2:$A$69)))</f>
        <v>1530</v>
      </c>
      <c r="B1854" s="6">
        <f t="array" ref="B1854">IFERROR(INDEX(event_table!$E$1:$E3686,MATCH(A1854,event_table!$A$1:$A3686,0)),"")
</f>
        <v>5</v>
      </c>
      <c r="C1854" s="7">
        <f t="shared" si="1"/>
        <v>100</v>
      </c>
      <c r="D1854" s="6" t="str">
        <f t="array" ref="D1854">IFERROR(INDEX(user_table!$C$2:$C3686,MATCH(C1854,user_table!$B$2:$B3686,0)),"")
</f>
        <v>Lina Rahayu</v>
      </c>
      <c r="E1854" s="6" t="str">
        <f t="array" ref="E1854">IFERROR(INDEX(user_table!$E$2:$E3686,MATCH(C1854,user_table!$B$2:$B3686,0)),"")
</f>
        <v>6, 2</v>
      </c>
      <c r="F1854" s="6" t="str">
        <f t="shared" si="2"/>
        <v>153045100</v>
      </c>
      <c r="G1854" s="16">
        <v>4.0</v>
      </c>
      <c r="H1854" s="17">
        <v>44749.0</v>
      </c>
      <c r="I1854" s="18" t="s">
        <v>1825</v>
      </c>
    </row>
    <row r="1855">
      <c r="A1855" s="5" t="str">
        <f t="array" ref="A1855">INDEX(event_table!$A$2:$A$69, RANDBETWEEN(1, COUNTA(event_table!$A$2:$A$69)))</f>
        <v>1421</v>
      </c>
      <c r="B1855" s="6">
        <f t="array" ref="B1855">IFERROR(INDEX(event_table!$E$1:$E3686,MATCH(A1855,event_table!$A$1:$A3686,0)),"")
</f>
        <v>4</v>
      </c>
      <c r="C1855" s="7">
        <f t="shared" si="1"/>
        <v>157</v>
      </c>
      <c r="D1855" s="6" t="str">
        <f t="array" ref="D1855">IFERROR(INDEX(user_table!$C$2:$C3686,MATCH(C1855,user_table!$B$2:$B3686,0)),"")
</f>
        <v>Ani Susanto</v>
      </c>
      <c r="E1855" s="6" t="str">
        <f t="array" ref="E1855">IFERROR(INDEX(user_table!$E$2:$E3686,MATCH(C1855,user_table!$B$2:$B3686,0)),"")
</f>
        <v>4, 1</v>
      </c>
      <c r="F1855" s="6" t="str">
        <f t="shared" si="2"/>
        <v>142144157</v>
      </c>
      <c r="G1855" s="16">
        <v>4.0</v>
      </c>
      <c r="H1855" s="17">
        <v>44968.0</v>
      </c>
      <c r="I1855" s="18" t="s">
        <v>1826</v>
      </c>
    </row>
    <row r="1856">
      <c r="A1856" s="5" t="str">
        <f t="array" ref="A1856">INDEX(event_table!$A$2:$A$69, RANDBETWEEN(1, COUNTA(event_table!$A$2:$A$69)))</f>
        <v>1636</v>
      </c>
      <c r="B1856" s="6">
        <f t="array" ref="B1856">IFERROR(INDEX(event_table!$E$1:$E3686,MATCH(A1856,event_table!$A$1:$A3686,0)),"")
</f>
        <v>6</v>
      </c>
      <c r="C1856" s="7">
        <f t="shared" si="1"/>
        <v>54</v>
      </c>
      <c r="D1856" s="6" t="str">
        <f t="array" ref="D1856">IFERROR(INDEX(user_table!$C$2:$C3686,MATCH(C1856,user_table!$B$2:$B3686,0)),"")
</f>
        <v>Andi Kurniawan</v>
      </c>
      <c r="E1856" s="6" t="str">
        <f t="array" ref="E1856">IFERROR(INDEX(user_table!$E$2:$E3686,MATCH(C1856,user_table!$B$2:$B3686,0)),"")
</f>
        <v>4, 4</v>
      </c>
      <c r="F1856" s="6" t="str">
        <f t="shared" si="2"/>
        <v>16364654</v>
      </c>
      <c r="G1856" s="16">
        <v>4.0</v>
      </c>
      <c r="H1856" s="17">
        <v>44933.0</v>
      </c>
      <c r="I1856" s="18" t="s">
        <v>1827</v>
      </c>
    </row>
    <row r="1857">
      <c r="A1857" s="5" t="str">
        <f t="array" ref="A1857">INDEX(event_table!$A$2:$A$69, RANDBETWEEN(1, COUNTA(event_table!$A$2:$A$69)))</f>
        <v>3455</v>
      </c>
      <c r="B1857" s="6">
        <f t="array" ref="B1857">IFERROR(INDEX(event_table!$E$1:$E3686,MATCH(A1857,event_table!$A$1:$A3686,0)),"")
</f>
        <v>4</v>
      </c>
      <c r="C1857" s="7">
        <f t="shared" si="1"/>
        <v>168</v>
      </c>
      <c r="D1857" s="6" t="str">
        <f t="array" ref="D1857">IFERROR(INDEX(user_table!$C$2:$C3686,MATCH(C1857,user_table!$B$2:$B3686,0)),"")
</f>
        <v>Lina Kurniawan</v>
      </c>
      <c r="E1857" s="6" t="str">
        <f t="array" ref="E1857">IFERROR(INDEX(user_table!$E$2:$E3686,MATCH(C1857,user_table!$B$2:$B3686,0)),"")
</f>
        <v>2, 2</v>
      </c>
      <c r="F1857" s="6" t="str">
        <f t="shared" si="2"/>
        <v>345544168</v>
      </c>
      <c r="G1857" s="16">
        <v>4.0</v>
      </c>
      <c r="H1857" s="17">
        <v>44726.0</v>
      </c>
      <c r="I1857" s="18" t="s">
        <v>1828</v>
      </c>
    </row>
    <row r="1858">
      <c r="A1858" s="5" t="str">
        <f t="array" ref="A1858">INDEX(event_table!$A$2:$A$69, RANDBETWEEN(1, COUNTA(event_table!$A$2:$A$69)))</f>
        <v>1334</v>
      </c>
      <c r="B1858" s="6">
        <f t="array" ref="B1858">IFERROR(INDEX(event_table!$E$1:$E3686,MATCH(A1858,event_table!$A$1:$A3686,0)),"")
</f>
        <v>3</v>
      </c>
      <c r="C1858" s="7">
        <f t="shared" si="1"/>
        <v>185</v>
      </c>
      <c r="D1858" s="6" t="str">
        <f t="array" ref="D1858">IFERROR(INDEX(user_table!$C$2:$C3686,MATCH(C1858,user_table!$B$2:$B3686,0)),"")
</f>
        <v>Budi Wijaya</v>
      </c>
      <c r="E1858" s="6" t="str">
        <f t="array" ref="E1858">IFERROR(INDEX(user_table!$E$2:$E3686,MATCH(C1858,user_table!$B$2:$B3686,0)),"")
</f>
        <v>6, 3</v>
      </c>
      <c r="F1858" s="6" t="str">
        <f t="shared" si="2"/>
        <v>133443185</v>
      </c>
      <c r="G1858" s="16">
        <v>4.0</v>
      </c>
      <c r="H1858" s="17">
        <v>44698.0</v>
      </c>
      <c r="I1858" s="18" t="s">
        <v>1829</v>
      </c>
    </row>
    <row r="1859">
      <c r="A1859" s="5" t="str">
        <f t="array" ref="A1859">INDEX(event_table!$A$2:$A$69, RANDBETWEEN(1, COUNTA(event_table!$A$2:$A$69)))</f>
        <v>1646</v>
      </c>
      <c r="B1859" s="6">
        <f t="array" ref="B1859">IFERROR(INDEX(event_table!$E$1:$E3686,MATCH(A1859,event_table!$A$1:$A3686,0)),"")
</f>
        <v>6</v>
      </c>
      <c r="C1859" s="7">
        <f t="shared" si="1"/>
        <v>105</v>
      </c>
      <c r="D1859" s="6" t="str">
        <f t="array" ref="D1859">IFERROR(INDEX(user_table!$C$2:$C3686,MATCH(C1859,user_table!$B$2:$B3686,0)),"")
</f>
        <v>Siti Susanto</v>
      </c>
      <c r="E1859" s="6" t="str">
        <f t="array" ref="E1859">IFERROR(INDEX(user_table!$E$2:$E3686,MATCH(C1859,user_table!$B$2:$B3686,0)),"")
</f>
        <v>2, 6</v>
      </c>
      <c r="F1859" s="6" t="str">
        <f t="shared" si="2"/>
        <v>164646105</v>
      </c>
      <c r="G1859" s="16">
        <v>4.0</v>
      </c>
      <c r="H1859" s="17">
        <v>44695.0</v>
      </c>
      <c r="I1859" s="18" t="s">
        <v>1830</v>
      </c>
    </row>
    <row r="1860">
      <c r="A1860" s="5" t="str">
        <f t="array" ref="A1860">INDEX(event_table!$A$2:$A$69, RANDBETWEEN(1, COUNTA(event_table!$A$2:$A$69)))</f>
        <v>3163</v>
      </c>
      <c r="B1860" s="6">
        <f t="array" ref="B1860">IFERROR(INDEX(event_table!$E$1:$E3686,MATCH(A1860,event_table!$A$1:$A3686,0)),"")
</f>
        <v>1</v>
      </c>
      <c r="C1860" s="7">
        <f t="shared" si="1"/>
        <v>31</v>
      </c>
      <c r="D1860" s="6" t="str">
        <f t="array" ref="D1860">IFERROR(INDEX(user_table!$C$2:$C3686,MATCH(C1860,user_table!$B$2:$B3686,0)),"")
</f>
        <v>Dian Hidayat</v>
      </c>
      <c r="E1860" s="6" t="str">
        <f t="array" ref="E1860">IFERROR(INDEX(user_table!$E$2:$E3686,MATCH(C1860,user_table!$B$2:$B3686,0)),"")
</f>
        <v>3, 5</v>
      </c>
      <c r="F1860" s="6" t="str">
        <f t="shared" si="2"/>
        <v>31634131</v>
      </c>
      <c r="G1860" s="16">
        <v>4.0</v>
      </c>
      <c r="H1860" s="17">
        <v>44687.0</v>
      </c>
      <c r="I1860" s="18" t="s">
        <v>1831</v>
      </c>
    </row>
    <row r="1861">
      <c r="A1861" s="5" t="str">
        <f t="array" ref="A1861">INDEX(event_table!$A$2:$A$69, RANDBETWEEN(1, COUNTA(event_table!$A$2:$A$69)))</f>
        <v>3659</v>
      </c>
      <c r="B1861" s="6">
        <f t="array" ref="B1861">IFERROR(INDEX(event_table!$E$1:$E3686,MATCH(A1861,event_table!$A$1:$A3686,0)),"")
</f>
        <v>6</v>
      </c>
      <c r="C1861" s="7">
        <f t="shared" si="1"/>
        <v>78</v>
      </c>
      <c r="D1861" s="6" t="str">
        <f t="array" ref="D1861">IFERROR(INDEX(user_table!$C$2:$C3686,MATCH(C1861,user_table!$B$2:$B3686,0)),"")
</f>
        <v>Fandi Putri</v>
      </c>
      <c r="E1861" s="6" t="str">
        <f t="array" ref="E1861">IFERROR(INDEX(user_table!$E$2:$E3686,MATCH(C1861,user_table!$B$2:$B3686,0)),"")
</f>
        <v>3, 3</v>
      </c>
      <c r="F1861" s="6" t="str">
        <f t="shared" si="2"/>
        <v>36593678</v>
      </c>
      <c r="G1861" s="16">
        <v>3.0</v>
      </c>
      <c r="H1861" s="17">
        <v>45220.0</v>
      </c>
      <c r="I1861" s="18" t="s">
        <v>1832</v>
      </c>
    </row>
    <row r="1862">
      <c r="A1862" s="5" t="str">
        <f t="array" ref="A1862">INDEX(event_table!$A$2:$A$69, RANDBETWEEN(1, COUNTA(event_table!$A$2:$A$69)))</f>
        <v>3657</v>
      </c>
      <c r="B1862" s="6">
        <f t="array" ref="B1862">IFERROR(INDEX(event_table!$E$1:$E3686,MATCH(A1862,event_table!$A$1:$A3686,0)),"")
</f>
        <v>6</v>
      </c>
      <c r="C1862" s="7">
        <f t="shared" si="1"/>
        <v>159</v>
      </c>
      <c r="D1862" s="6" t="str">
        <f t="array" ref="D1862">IFERROR(INDEX(user_table!$C$2:$C3686,MATCH(C1862,user_table!$B$2:$B3686,0)),"")
</f>
        <v>Rudi Santoso</v>
      </c>
      <c r="E1862" s="6" t="str">
        <f t="array" ref="E1862">IFERROR(INDEX(user_table!$E$2:$E3686,MATCH(C1862,user_table!$B$2:$B3686,0)),"")
</f>
        <v>5, 1</v>
      </c>
      <c r="F1862" s="6" t="str">
        <f t="shared" si="2"/>
        <v>365736159</v>
      </c>
      <c r="G1862" s="16">
        <v>3.0</v>
      </c>
      <c r="H1862" s="17">
        <v>45149.0</v>
      </c>
      <c r="I1862" s="18" t="s">
        <v>1833</v>
      </c>
    </row>
    <row r="1863">
      <c r="A1863" s="5" t="str">
        <f t="array" ref="A1863">INDEX(event_table!$A$2:$A$69, RANDBETWEEN(1, COUNTA(event_table!$A$2:$A$69)))</f>
        <v>1333</v>
      </c>
      <c r="B1863" s="6">
        <f t="array" ref="B1863">IFERROR(INDEX(event_table!$E$1:$E3686,MATCH(A1863,event_table!$A$1:$A3686,0)),"")
</f>
        <v>3</v>
      </c>
      <c r="C1863" s="7">
        <f t="shared" si="1"/>
        <v>71</v>
      </c>
      <c r="D1863" s="6" t="str">
        <f t="array" ref="D1863">IFERROR(INDEX(user_table!$C$2:$C3686,MATCH(C1863,user_table!$B$2:$B3686,0)),"")
</f>
        <v>Hadi Putri</v>
      </c>
      <c r="E1863" s="6" t="str">
        <f t="array" ref="E1863">IFERROR(INDEX(user_table!$E$2:$E3686,MATCH(C1863,user_table!$B$2:$B3686,0)),"")
</f>
        <v>3, 3</v>
      </c>
      <c r="F1863" s="6" t="str">
        <f t="shared" si="2"/>
        <v>13332371</v>
      </c>
      <c r="G1863" s="16">
        <v>2.0</v>
      </c>
      <c r="H1863" s="17">
        <v>45100.0</v>
      </c>
      <c r="I1863" s="18" t="s">
        <v>1834</v>
      </c>
    </row>
    <row r="1864">
      <c r="A1864" s="5" t="str">
        <f t="array" ref="A1864">INDEX(event_table!$A$2:$A$69, RANDBETWEEN(1, COUNTA(event_table!$A$2:$A$69)))</f>
        <v>3164</v>
      </c>
      <c r="B1864" s="6">
        <f t="array" ref="B1864">IFERROR(INDEX(event_table!$E$1:$E3686,MATCH(A1864,event_table!$A$1:$A3686,0)),"")
</f>
        <v>1</v>
      </c>
      <c r="C1864" s="7">
        <f t="shared" si="1"/>
        <v>92</v>
      </c>
      <c r="D1864" s="6" t="str">
        <f t="array" ref="D1864">IFERROR(INDEX(user_table!$C$2:$C3686,MATCH(C1864,user_table!$B$2:$B3686,0)),"")
</f>
        <v>Andi Susanto</v>
      </c>
      <c r="E1864" s="6" t="str">
        <f t="array" ref="E1864">IFERROR(INDEX(user_table!$E$2:$E3686,MATCH(C1864,user_table!$B$2:$B3686,0)),"")
</f>
        <v>4, 4</v>
      </c>
      <c r="F1864" s="6" t="str">
        <f t="shared" si="2"/>
        <v>31642192</v>
      </c>
      <c r="G1864" s="16">
        <v>2.0</v>
      </c>
      <c r="H1864" s="17">
        <v>45258.0</v>
      </c>
      <c r="I1864" s="18" t="s">
        <v>1835</v>
      </c>
    </row>
    <row r="1865">
      <c r="A1865" s="5" t="str">
        <f t="array" ref="A1865">INDEX(event_table!$A$2:$A$69, RANDBETWEEN(1, COUNTA(event_table!$A$2:$A$69)))</f>
        <v>3164</v>
      </c>
      <c r="B1865" s="6">
        <f t="array" ref="B1865">IFERROR(INDEX(event_table!$E$1:$E3686,MATCH(A1865,event_table!$A$1:$A3686,0)),"")
</f>
        <v>1</v>
      </c>
      <c r="C1865" s="7">
        <f t="shared" si="1"/>
        <v>104</v>
      </c>
      <c r="D1865" s="6" t="str">
        <f t="array" ref="D1865">IFERROR(INDEX(user_table!$C$2:$C3686,MATCH(C1865,user_table!$B$2:$B3686,0)),"")
</f>
        <v>Fajar Utami</v>
      </c>
      <c r="E1865" s="6" t="str">
        <f t="array" ref="E1865">IFERROR(INDEX(user_table!$E$2:$E3686,MATCH(C1865,user_table!$B$2:$B3686,0)),"")
</f>
        <v>2, 5</v>
      </c>
      <c r="F1865" s="6" t="str">
        <f t="shared" si="2"/>
        <v>316421104</v>
      </c>
      <c r="G1865" s="16">
        <v>2.0</v>
      </c>
      <c r="H1865" s="17">
        <v>44867.0</v>
      </c>
      <c r="I1865" s="18" t="s">
        <v>1836</v>
      </c>
    </row>
    <row r="1866">
      <c r="A1866" s="5" t="str">
        <f t="array" ref="A1866">INDEX(event_table!$A$2:$A$69, RANDBETWEEN(1, COUNTA(event_table!$A$2:$A$69)))</f>
        <v>1418</v>
      </c>
      <c r="B1866" s="6">
        <f t="array" ref="B1866">IFERROR(INDEX(event_table!$E$1:$E3686,MATCH(A1866,event_table!$A$1:$A3686,0)),"")
</f>
        <v>4</v>
      </c>
      <c r="C1866" s="7">
        <f t="shared" si="1"/>
        <v>31</v>
      </c>
      <c r="D1866" s="6" t="str">
        <f t="array" ref="D1866">IFERROR(INDEX(user_table!$C$2:$C3686,MATCH(C1866,user_table!$B$2:$B3686,0)),"")
</f>
        <v>Dian Hidayat</v>
      </c>
      <c r="E1866" s="6" t="str">
        <f t="array" ref="E1866">IFERROR(INDEX(user_table!$E$2:$E3686,MATCH(C1866,user_table!$B$2:$B3686,0)),"")
</f>
        <v>3, 5</v>
      </c>
      <c r="F1866" s="6" t="str">
        <f t="shared" si="2"/>
        <v>14182431</v>
      </c>
      <c r="G1866" s="16">
        <v>2.0</v>
      </c>
      <c r="H1866" s="17">
        <v>44673.0</v>
      </c>
      <c r="I1866" s="18" t="s">
        <v>1837</v>
      </c>
    </row>
    <row r="1867">
      <c r="A1867" s="5" t="str">
        <f t="array" ref="A1867">INDEX(event_table!$A$2:$A$69, RANDBETWEEN(1, COUNTA(event_table!$A$2:$A$69)))</f>
        <v>118</v>
      </c>
      <c r="B1867" s="6">
        <f t="array" ref="B1867">IFERROR(INDEX(event_table!$E$1:$E3686,MATCH(A1867,event_table!$A$1:$A3686,0)),"")
</f>
        <v>1</v>
      </c>
      <c r="C1867" s="7">
        <f t="shared" si="1"/>
        <v>132</v>
      </c>
      <c r="D1867" s="6" t="str">
        <f t="array" ref="D1867">IFERROR(INDEX(user_table!$C$2:$C3686,MATCH(C1867,user_table!$B$2:$B3686,0)),"")
</f>
        <v>Joko Hartono</v>
      </c>
      <c r="E1867" s="6" t="str">
        <f t="array" ref="E1867">IFERROR(INDEX(user_table!$E$2:$E3686,MATCH(C1867,user_table!$B$2:$B3686,0)),"")
</f>
        <v>1, 3</v>
      </c>
      <c r="F1867" s="6" t="str">
        <f t="shared" si="2"/>
        <v>11821132</v>
      </c>
      <c r="G1867" s="16">
        <v>2.0</v>
      </c>
      <c r="H1867" s="17">
        <v>44401.0</v>
      </c>
      <c r="I1867" s="18" t="s">
        <v>1838</v>
      </c>
    </row>
    <row r="1868">
      <c r="A1868" s="5" t="str">
        <f t="array" ref="A1868">INDEX(event_table!$A$2:$A$69, RANDBETWEEN(1, COUNTA(event_table!$A$2:$A$69)))</f>
        <v>1647</v>
      </c>
      <c r="B1868" s="6">
        <f t="array" ref="B1868">IFERROR(INDEX(event_table!$E$1:$E3686,MATCH(A1868,event_table!$A$1:$A3686,0)),"")
</f>
        <v>6</v>
      </c>
      <c r="C1868" s="7">
        <f t="shared" si="1"/>
        <v>39</v>
      </c>
      <c r="D1868" s="6" t="str">
        <f t="array" ref="D1868">IFERROR(INDEX(user_table!$C$2:$C3686,MATCH(C1868,user_table!$B$2:$B3686,0)),"")
</f>
        <v>Desi Utami</v>
      </c>
      <c r="E1868" s="6" t="str">
        <f t="array" ref="E1868">IFERROR(INDEX(user_table!$E$2:$E3686,MATCH(C1868,user_table!$B$2:$B3686,0)),"")
</f>
        <v>3, 1</v>
      </c>
      <c r="F1868" s="6" t="str">
        <f t="shared" si="2"/>
        <v>16472639</v>
      </c>
      <c r="G1868" s="16">
        <v>2.0</v>
      </c>
      <c r="H1868" s="17">
        <v>44359.0</v>
      </c>
      <c r="I1868" s="18" t="s">
        <v>1839</v>
      </c>
    </row>
    <row r="1869">
      <c r="A1869" s="5" t="str">
        <f t="array" ref="A1869">INDEX(event_table!$A$2:$A$69, RANDBETWEEN(1, COUNTA(event_table!$A$2:$A$69)))</f>
        <v>114</v>
      </c>
      <c r="B1869" s="6">
        <f t="array" ref="B1869">IFERROR(INDEX(event_table!$E$1:$E3686,MATCH(A1869,event_table!$A$1:$A3686,0)),"")
</f>
        <v>1</v>
      </c>
      <c r="C1869" s="7">
        <f t="shared" si="1"/>
        <v>175</v>
      </c>
      <c r="D1869" s="6" t="str">
        <f t="array" ref="D1869">IFERROR(INDEX(user_table!$C$2:$C3686,MATCH(C1869,user_table!$B$2:$B3686,0)),"")
</f>
        <v>Siti Septiani</v>
      </c>
      <c r="E1869" s="6" t="str">
        <f t="array" ref="E1869">IFERROR(INDEX(user_table!$E$2:$E3686,MATCH(C1869,user_table!$B$2:$B3686,0)),"")
</f>
        <v>2, 5</v>
      </c>
      <c r="F1869" s="6" t="str">
        <f t="shared" si="2"/>
        <v>11421175</v>
      </c>
      <c r="G1869" s="16">
        <v>2.0</v>
      </c>
      <c r="H1869" s="17">
        <v>45144.0</v>
      </c>
      <c r="I1869" s="18" t="s">
        <v>1840</v>
      </c>
    </row>
    <row r="1870">
      <c r="A1870" s="5" t="str">
        <f t="array" ref="A1870">INDEX(event_table!$A$2:$A$69, RANDBETWEEN(1, COUNTA(event_table!$A$2:$A$69)))</f>
        <v>1519</v>
      </c>
      <c r="B1870" s="6">
        <f t="array" ref="B1870">IFERROR(INDEX(event_table!$E$1:$E3686,MATCH(A1870,event_table!$A$1:$A3686,0)),"")
</f>
        <v>5</v>
      </c>
      <c r="C1870" s="7">
        <f t="shared" si="1"/>
        <v>82</v>
      </c>
      <c r="D1870" s="6" t="str">
        <f t="array" ref="D1870">IFERROR(INDEX(user_table!$C$2:$C3686,MATCH(C1870,user_table!$B$2:$B3686,0)),"")
</f>
        <v>Fandi Nurhayati</v>
      </c>
      <c r="E1870" s="6" t="str">
        <f t="array" ref="E1870">IFERROR(INDEX(user_table!$E$2:$E3686,MATCH(C1870,user_table!$B$2:$B3686,0)),"")
</f>
        <v>3, 2</v>
      </c>
      <c r="F1870" s="6" t="str">
        <f t="shared" si="2"/>
        <v>15192582</v>
      </c>
      <c r="G1870" s="16">
        <v>2.0</v>
      </c>
      <c r="H1870" s="17">
        <v>45135.0</v>
      </c>
      <c r="I1870" s="18" t="s">
        <v>1841</v>
      </c>
    </row>
    <row r="1871">
      <c r="A1871" s="5" t="str">
        <f t="array" ref="A1871">INDEX(event_table!$A$2:$A$69, RANDBETWEEN(1, COUNTA(event_table!$A$2:$A$69)))</f>
        <v>1526</v>
      </c>
      <c r="B1871" s="6">
        <f t="array" ref="B1871">IFERROR(INDEX(event_table!$E$1:$E3686,MATCH(A1871,event_table!$A$1:$A3686,0)),"")
</f>
        <v>5</v>
      </c>
      <c r="C1871" s="7">
        <f t="shared" si="1"/>
        <v>196</v>
      </c>
      <c r="D1871" s="6" t="str">
        <f t="array" ref="D1871">IFERROR(INDEX(user_table!$C$2:$C3686,MATCH(C1871,user_table!$B$2:$B3686,0)),"")
</f>
        <v>Dewi Susanto</v>
      </c>
      <c r="E1871" s="6" t="str">
        <f t="array" ref="E1871">IFERROR(INDEX(user_table!$E$2:$E3686,MATCH(C1871,user_table!$B$2:$B3686,0)),"")
</f>
        <v>2, 1</v>
      </c>
      <c r="F1871" s="6" t="str">
        <f t="shared" si="2"/>
        <v>152625196</v>
      </c>
      <c r="G1871" s="16">
        <v>2.0</v>
      </c>
      <c r="H1871" s="17">
        <v>45042.0</v>
      </c>
      <c r="I1871" s="18" t="s">
        <v>1842</v>
      </c>
    </row>
    <row r="1872">
      <c r="A1872" s="5" t="str">
        <f t="array" ref="A1872">INDEX(event_table!$A$2:$A$69, RANDBETWEEN(1, COUNTA(event_table!$A$2:$A$69)))</f>
        <v>1422</v>
      </c>
      <c r="B1872" s="6">
        <f t="array" ref="B1872">IFERROR(INDEX(event_table!$E$1:$E3686,MATCH(A1872,event_table!$A$1:$A3686,0)),"")
</f>
        <v>4</v>
      </c>
      <c r="C1872" s="7">
        <f t="shared" si="1"/>
        <v>68</v>
      </c>
      <c r="D1872" s="6" t="str">
        <f t="array" ref="D1872">IFERROR(INDEX(user_table!$C$2:$C3686,MATCH(C1872,user_table!$B$2:$B3686,0)),"")
</f>
        <v>Wahyu Wijaya</v>
      </c>
      <c r="E1872" s="6" t="str">
        <f t="array" ref="E1872">IFERROR(INDEX(user_table!$E$2:$E3686,MATCH(C1872,user_table!$B$2:$B3686,0)),"")
</f>
        <v>4, 6</v>
      </c>
      <c r="F1872" s="6" t="str">
        <f t="shared" si="2"/>
        <v>14221468</v>
      </c>
      <c r="G1872" s="16">
        <v>1.0</v>
      </c>
      <c r="H1872" s="17">
        <v>45245.0</v>
      </c>
      <c r="I1872" s="18" t="s">
        <v>1843</v>
      </c>
    </row>
    <row r="1873">
      <c r="A1873" s="5" t="str">
        <f t="array" ref="A1873">INDEX(event_table!$A$2:$A$69, RANDBETWEEN(1, COUNTA(event_table!$A$2:$A$69)))</f>
        <v>1530</v>
      </c>
      <c r="B1873" s="6">
        <f t="array" ref="B1873">IFERROR(INDEX(event_table!$E$1:$E3686,MATCH(A1873,event_table!$A$1:$A3686,0)),"")
</f>
        <v>5</v>
      </c>
      <c r="C1873" s="7">
        <f t="shared" si="1"/>
        <v>61</v>
      </c>
      <c r="D1873" s="6" t="str">
        <f t="array" ref="D1873">IFERROR(INDEX(user_table!$C$2:$C3686,MATCH(C1873,user_table!$B$2:$B3686,0)),"")
</f>
        <v>Agus Setiawan</v>
      </c>
      <c r="E1873" s="6" t="str">
        <f t="array" ref="E1873">IFERROR(INDEX(user_table!$E$2:$E3686,MATCH(C1873,user_table!$B$2:$B3686,0)),"")
</f>
        <v>4, 5</v>
      </c>
      <c r="F1873" s="6" t="str">
        <f t="shared" si="2"/>
        <v>15301561</v>
      </c>
      <c r="G1873" s="16">
        <v>1.0</v>
      </c>
      <c r="H1873" s="17">
        <v>45216.0</v>
      </c>
      <c r="I1873" s="18" t="s">
        <v>1844</v>
      </c>
    </row>
    <row r="1874">
      <c r="A1874" s="5" t="str">
        <f t="array" ref="A1874">INDEX(event_table!$A$2:$A$69, RANDBETWEEN(1, COUNTA(event_table!$A$2:$A$69)))</f>
        <v>1422</v>
      </c>
      <c r="B1874" s="6">
        <f t="array" ref="B1874">IFERROR(INDEX(event_table!$E$1:$E3686,MATCH(A1874,event_table!$A$1:$A3686,0)),"")
</f>
        <v>4</v>
      </c>
      <c r="C1874" s="7">
        <f t="shared" si="1"/>
        <v>21</v>
      </c>
      <c r="D1874" s="6" t="str">
        <f t="array" ref="D1874">IFERROR(INDEX(user_table!$C$2:$C3686,MATCH(C1874,user_table!$B$2:$B3686,0)),"")
</f>
        <v>Budi Santoso</v>
      </c>
      <c r="E1874" s="6" t="str">
        <f t="array" ref="E1874">IFERROR(INDEX(user_table!$E$2:$E3686,MATCH(C1874,user_table!$B$2:$B3686,0)),"")
</f>
        <v>6, 1</v>
      </c>
      <c r="F1874" s="6" t="str">
        <f t="shared" si="2"/>
        <v>14221421</v>
      </c>
      <c r="G1874" s="16">
        <v>1.0</v>
      </c>
      <c r="H1874" s="17">
        <v>45179.0</v>
      </c>
      <c r="I1874" s="18" t="s">
        <v>1845</v>
      </c>
    </row>
    <row r="1875">
      <c r="A1875" s="5" t="str">
        <f t="array" ref="A1875">INDEX(event_table!$A$2:$A$69, RANDBETWEEN(1, COUNTA(event_table!$A$2:$A$69)))</f>
        <v>1637</v>
      </c>
      <c r="B1875" s="6">
        <f t="array" ref="B1875">IFERROR(INDEX(event_table!$E$1:$E3686,MATCH(A1875,event_table!$A$1:$A3686,0)),"")
</f>
        <v>6</v>
      </c>
      <c r="C1875" s="7">
        <f t="shared" si="1"/>
        <v>84</v>
      </c>
      <c r="D1875" s="6" t="str">
        <f t="array" ref="D1875">IFERROR(INDEX(user_table!$C$2:$C3686,MATCH(C1875,user_table!$B$2:$B3686,0)),"")
</f>
        <v>Budi Hermawan</v>
      </c>
      <c r="E1875" s="6" t="str">
        <f t="array" ref="E1875">IFERROR(INDEX(user_table!$E$2:$E3686,MATCH(C1875,user_table!$B$2:$B3686,0)),"")
</f>
        <v>5, 5</v>
      </c>
      <c r="F1875" s="6" t="str">
        <f t="shared" si="2"/>
        <v>16371684</v>
      </c>
      <c r="G1875" s="16">
        <v>1.0</v>
      </c>
      <c r="H1875" s="17">
        <v>45121.0</v>
      </c>
      <c r="I1875" s="18" t="s">
        <v>1846</v>
      </c>
    </row>
    <row r="1876">
      <c r="A1876" s="5" t="str">
        <f t="array" ref="A1876">INDEX(event_table!$A$2:$A$69, RANDBETWEEN(1, COUNTA(event_table!$A$2:$A$69)))</f>
        <v>1647</v>
      </c>
      <c r="B1876" s="6">
        <f t="array" ref="B1876">IFERROR(INDEX(event_table!$E$1:$E3686,MATCH(A1876,event_table!$A$1:$A3686,0)),"")
</f>
        <v>6</v>
      </c>
      <c r="C1876" s="7">
        <f t="shared" si="1"/>
        <v>78</v>
      </c>
      <c r="D1876" s="6" t="str">
        <f t="array" ref="D1876">IFERROR(INDEX(user_table!$C$2:$C3686,MATCH(C1876,user_table!$B$2:$B3686,0)),"")
</f>
        <v>Fandi Putri</v>
      </c>
      <c r="E1876" s="6" t="str">
        <f t="array" ref="E1876">IFERROR(INDEX(user_table!$E$2:$E3686,MATCH(C1876,user_table!$B$2:$B3686,0)),"")
</f>
        <v>3, 3</v>
      </c>
      <c r="F1876" s="6" t="str">
        <f t="shared" si="2"/>
        <v>16471678</v>
      </c>
      <c r="G1876" s="16">
        <v>1.0</v>
      </c>
      <c r="H1876" s="17">
        <v>45255.0</v>
      </c>
      <c r="I1876" s="18" t="s">
        <v>1847</v>
      </c>
    </row>
    <row r="1877">
      <c r="A1877" s="5" t="str">
        <f t="array" ref="A1877">INDEX(event_table!$A$2:$A$69, RANDBETWEEN(1, COUNTA(event_table!$A$2:$A$69)))</f>
        <v>1212</v>
      </c>
      <c r="B1877" s="6">
        <f t="array" ref="B1877">IFERROR(INDEX(event_table!$E$1:$E3686,MATCH(A1877,event_table!$A$1:$A3686,0)),"")
</f>
        <v>2</v>
      </c>
      <c r="C1877" s="7">
        <f t="shared" si="1"/>
        <v>177</v>
      </c>
      <c r="D1877" s="6" t="str">
        <f t="array" ref="D1877">IFERROR(INDEX(user_table!$C$2:$C3686,MATCH(C1877,user_table!$B$2:$B3686,0)),"")
</f>
        <v>Andi Susanto</v>
      </c>
      <c r="E1877" s="6" t="str">
        <f t="array" ref="E1877">IFERROR(INDEX(user_table!$E$2:$E3686,MATCH(C1877,user_table!$B$2:$B3686,0)),"")
</f>
        <v>2, 6</v>
      </c>
      <c r="F1877" s="6" t="str">
        <f t="shared" si="2"/>
        <v>121212177</v>
      </c>
      <c r="G1877" s="16">
        <v>1.0</v>
      </c>
      <c r="H1877" s="17">
        <v>45153.0</v>
      </c>
      <c r="I1877" s="18" t="s">
        <v>1848</v>
      </c>
    </row>
    <row r="1878">
      <c r="A1878" s="5" t="str">
        <f t="array" ref="A1878">INDEX(event_table!$A$2:$A$69, RANDBETWEEN(1, COUNTA(event_table!$A$2:$A$69)))</f>
        <v>116</v>
      </c>
      <c r="B1878" s="6">
        <f t="array" ref="B1878">IFERROR(INDEX(event_table!$E$1:$E3686,MATCH(A1878,event_table!$A$1:$A3686,0)),"")
</f>
        <v>1</v>
      </c>
      <c r="C1878" s="7">
        <f t="shared" si="1"/>
        <v>90</v>
      </c>
      <c r="D1878" s="6" t="str">
        <f t="array" ref="D1878">IFERROR(INDEX(user_table!$C$2:$C3686,MATCH(C1878,user_table!$B$2:$B3686,0)),"")
</f>
        <v>Dina Saputra</v>
      </c>
      <c r="E1878" s="6" t="str">
        <f t="array" ref="E1878">IFERROR(INDEX(user_table!$E$2:$E3686,MATCH(C1878,user_table!$B$2:$B3686,0)),"")
</f>
        <v>1, 2</v>
      </c>
      <c r="F1878" s="6" t="str">
        <f t="shared" si="2"/>
        <v>1161190</v>
      </c>
      <c r="G1878" s="16">
        <v>1.0</v>
      </c>
      <c r="H1878" s="17">
        <v>45081.0</v>
      </c>
      <c r="I1878" s="18" t="s">
        <v>1849</v>
      </c>
    </row>
    <row r="1879">
      <c r="A1879" s="5" t="str">
        <f t="array" ref="A1879">INDEX(event_table!$A$2:$A$69, RANDBETWEEN(1, COUNTA(event_table!$A$2:$A$69)))</f>
        <v>3356</v>
      </c>
      <c r="B1879" s="6">
        <f t="array" ref="B1879">IFERROR(INDEX(event_table!$E$1:$E3686,MATCH(A1879,event_table!$A$1:$A3686,0)),"")
</f>
        <v>3</v>
      </c>
      <c r="C1879" s="7">
        <f t="shared" si="1"/>
        <v>111</v>
      </c>
      <c r="D1879" s="6" t="str">
        <f t="array" ref="D1879">IFERROR(INDEX(user_table!$C$2:$C3686,MATCH(C1879,user_table!$B$2:$B3686,0)),"")
</f>
        <v>Hadi Kurniawan</v>
      </c>
      <c r="E1879" s="6" t="str">
        <f t="array" ref="E1879">IFERROR(INDEX(user_table!$E$2:$E3686,MATCH(C1879,user_table!$B$2:$B3686,0)),"")
</f>
        <v>3, 4</v>
      </c>
      <c r="F1879" s="6" t="str">
        <f t="shared" si="2"/>
        <v>335613111</v>
      </c>
      <c r="G1879" s="16">
        <v>1.0</v>
      </c>
      <c r="H1879" s="17">
        <v>45030.0</v>
      </c>
      <c r="I1879" s="18" t="s">
        <v>1850</v>
      </c>
    </row>
    <row r="1880">
      <c r="A1880" s="5" t="str">
        <f t="array" ref="A1880">INDEX(event_table!$A$2:$A$69, RANDBETWEEN(1, COUNTA(event_table!$A$2:$A$69)))</f>
        <v>1519</v>
      </c>
      <c r="B1880" s="6">
        <f t="array" ref="B1880">IFERROR(INDEX(event_table!$E$1:$E3686,MATCH(A1880,event_table!$A$1:$A3686,0)),"")
</f>
        <v>5</v>
      </c>
      <c r="C1880" s="7">
        <f t="shared" si="1"/>
        <v>111</v>
      </c>
      <c r="D1880" s="6" t="str">
        <f t="array" ref="D1880">IFERROR(INDEX(user_table!$C$2:$C3686,MATCH(C1880,user_table!$B$2:$B3686,0)),"")
</f>
        <v>Hadi Kurniawan</v>
      </c>
      <c r="E1880" s="6" t="str">
        <f t="array" ref="E1880">IFERROR(INDEX(user_table!$E$2:$E3686,MATCH(C1880,user_table!$B$2:$B3686,0)),"")
</f>
        <v>3, 4</v>
      </c>
      <c r="F1880" s="6" t="str">
        <f t="shared" si="2"/>
        <v>151955111</v>
      </c>
      <c r="G1880" s="16">
        <v>5.0</v>
      </c>
      <c r="H1880" s="17">
        <v>44749.0</v>
      </c>
      <c r="I1880" s="18" t="s">
        <v>1851</v>
      </c>
    </row>
    <row r="1881">
      <c r="A1881" s="5" t="str">
        <f t="array" ref="A1881">INDEX(event_table!$A$2:$A$69, RANDBETWEEN(1, COUNTA(event_table!$A$2:$A$69)))</f>
        <v>3657</v>
      </c>
      <c r="B1881" s="6">
        <f t="array" ref="B1881">IFERROR(INDEX(event_table!$E$1:$E3686,MATCH(A1881,event_table!$A$1:$A3686,0)),"")
</f>
        <v>6</v>
      </c>
      <c r="C1881" s="7">
        <f t="shared" si="1"/>
        <v>129</v>
      </c>
      <c r="D1881" s="6" t="str">
        <f t="array" ref="D1881">IFERROR(INDEX(user_table!$C$2:$C3686,MATCH(C1881,user_table!$B$2:$B3686,0)),"")
</f>
        <v>Maya Kusuma</v>
      </c>
      <c r="E1881" s="6" t="str">
        <f t="array" ref="E1881">IFERROR(INDEX(user_table!$E$2:$E3686,MATCH(C1881,user_table!$B$2:$B3686,0)),"")
</f>
        <v>4, 6</v>
      </c>
      <c r="F1881" s="6" t="str">
        <f t="shared" si="2"/>
        <v>365756129</v>
      </c>
      <c r="G1881" s="16">
        <v>5.0</v>
      </c>
      <c r="H1881" s="17">
        <v>44745.0</v>
      </c>
      <c r="I1881" s="18" t="s">
        <v>1852</v>
      </c>
    </row>
    <row r="1882">
      <c r="A1882" s="5" t="str">
        <f t="array" ref="A1882">INDEX(event_table!$A$2:$A$69, RANDBETWEEN(1, COUNTA(event_table!$A$2:$A$69)))</f>
        <v>1111</v>
      </c>
      <c r="B1882" s="6">
        <f t="array" ref="B1882">IFERROR(INDEX(event_table!$E$1:$E3686,MATCH(A1882,event_table!$A$1:$A3686,0)),"")
</f>
        <v>1</v>
      </c>
      <c r="C1882" s="7">
        <f t="shared" si="1"/>
        <v>102</v>
      </c>
      <c r="D1882" s="6" t="str">
        <f t="array" ref="D1882">IFERROR(INDEX(user_table!$C$2:$C3686,MATCH(C1882,user_table!$B$2:$B3686,0)),"")
</f>
        <v>Lina Nurhayati</v>
      </c>
      <c r="E1882" s="6" t="str">
        <f t="array" ref="E1882">IFERROR(INDEX(user_table!$E$2:$E3686,MATCH(C1882,user_table!$B$2:$B3686,0)),"")
</f>
        <v>1, 2</v>
      </c>
      <c r="F1882" s="6" t="str">
        <f t="shared" si="2"/>
        <v>111151102</v>
      </c>
      <c r="G1882" s="16">
        <v>5.0</v>
      </c>
      <c r="H1882" s="17">
        <v>44715.0</v>
      </c>
      <c r="I1882" s="18" t="s">
        <v>1853</v>
      </c>
    </row>
    <row r="1883">
      <c r="A1883" s="5" t="str">
        <f t="array" ref="A1883">INDEX(event_table!$A$2:$A$69, RANDBETWEEN(1, COUNTA(event_table!$A$2:$A$69)))</f>
        <v>1519</v>
      </c>
      <c r="B1883" s="6">
        <f t="array" ref="B1883">IFERROR(INDEX(event_table!$E$1:$E3686,MATCH(A1883,event_table!$A$1:$A3686,0)),"")
</f>
        <v>5</v>
      </c>
      <c r="C1883" s="7">
        <f t="shared" si="1"/>
        <v>199</v>
      </c>
      <c r="D1883" s="6" t="str">
        <f t="array" ref="D1883">IFERROR(INDEX(user_table!$C$2:$C3686,MATCH(C1883,user_table!$B$2:$B3686,0)),"")
</f>
        <v>Rudi Putri</v>
      </c>
      <c r="E1883" s="6" t="str">
        <f t="array" ref="E1883">IFERROR(INDEX(user_table!$E$2:$E3686,MATCH(C1883,user_table!$B$2:$B3686,0)),"")
</f>
        <v>2, 1</v>
      </c>
      <c r="F1883" s="6" t="str">
        <f t="shared" si="2"/>
        <v>151955199</v>
      </c>
      <c r="G1883" s="16">
        <v>5.0</v>
      </c>
      <c r="H1883" s="17">
        <v>44698.0</v>
      </c>
      <c r="I1883" s="18" t="s">
        <v>1854</v>
      </c>
    </row>
    <row r="1884">
      <c r="A1884" s="5" t="str">
        <f t="array" ref="A1884">INDEX(event_table!$A$2:$A$69, RANDBETWEEN(1, COUNTA(event_table!$A$2:$A$69)))</f>
        <v>3168</v>
      </c>
      <c r="B1884" s="6">
        <f t="array" ref="B1884">IFERROR(INDEX(event_table!$E$1:$E3686,MATCH(A1884,event_table!$A$1:$A3686,0)),"")
</f>
        <v>1</v>
      </c>
      <c r="C1884" s="7">
        <f t="shared" si="1"/>
        <v>11</v>
      </c>
      <c r="D1884" s="6" t="str">
        <f t="array" ref="D1884">IFERROR(INDEX(user_table!$C$2:$C3686,MATCH(C1884,user_table!$B$2:$B3686,0)),"")
</f>
        <v>Arif Sari</v>
      </c>
      <c r="E1884" s="6" t="str">
        <f t="array" ref="E1884">IFERROR(INDEX(user_table!$E$2:$E3686,MATCH(C1884,user_table!$B$2:$B3686,0)),"")
</f>
        <v>5, 2</v>
      </c>
      <c r="F1884" s="6" t="str">
        <f t="shared" si="2"/>
        <v>31685111</v>
      </c>
      <c r="G1884" s="16">
        <v>5.0</v>
      </c>
      <c r="H1884" s="17">
        <v>44693.0</v>
      </c>
      <c r="I1884" s="18" t="s">
        <v>1855</v>
      </c>
    </row>
    <row r="1885">
      <c r="A1885" s="5" t="str">
        <f t="array" ref="A1885">INDEX(event_table!$A$2:$A$69, RANDBETWEEN(1, COUNTA(event_table!$A$2:$A$69)))</f>
        <v>1648</v>
      </c>
      <c r="B1885" s="6">
        <f t="array" ref="B1885">IFERROR(INDEX(event_table!$E$1:$E3686,MATCH(A1885,event_table!$A$1:$A3686,0)),"")
</f>
        <v>6</v>
      </c>
      <c r="C1885" s="7">
        <f t="shared" si="1"/>
        <v>157</v>
      </c>
      <c r="D1885" s="6" t="str">
        <f t="array" ref="D1885">IFERROR(INDEX(user_table!$C$2:$C3686,MATCH(C1885,user_table!$B$2:$B3686,0)),"")
</f>
        <v>Ani Susanto</v>
      </c>
      <c r="E1885" s="6" t="str">
        <f t="array" ref="E1885">IFERROR(INDEX(user_table!$E$2:$E3686,MATCH(C1885,user_table!$B$2:$B3686,0)),"")
</f>
        <v>4, 1</v>
      </c>
      <c r="F1885" s="6" t="str">
        <f t="shared" si="2"/>
        <v>164856157</v>
      </c>
      <c r="G1885" s="16">
        <v>5.0</v>
      </c>
      <c r="H1885" s="17">
        <v>44691.0</v>
      </c>
      <c r="I1885" s="18" t="s">
        <v>1856</v>
      </c>
    </row>
    <row r="1886">
      <c r="A1886" s="5" t="str">
        <f t="array" ref="A1886">INDEX(event_table!$A$2:$A$69, RANDBETWEEN(1, COUNTA(event_table!$A$2:$A$69)))</f>
        <v>1637</v>
      </c>
      <c r="B1886" s="6">
        <f t="array" ref="B1886">IFERROR(INDEX(event_table!$E$1:$E3686,MATCH(A1886,event_table!$A$1:$A3686,0)),"")
</f>
        <v>6</v>
      </c>
      <c r="C1886" s="7">
        <f t="shared" si="1"/>
        <v>47</v>
      </c>
      <c r="D1886" s="6" t="str">
        <f t="array" ref="D1886">IFERROR(INDEX(user_table!$C$2:$C3686,MATCH(C1886,user_table!$B$2:$B3686,0)),"")
</f>
        <v>Fandi Kurniawan</v>
      </c>
      <c r="E1886" s="6" t="str">
        <f t="array" ref="E1886">IFERROR(INDEX(user_table!$E$2:$E3686,MATCH(C1886,user_table!$B$2:$B3686,0)),"")
</f>
        <v>5, 6</v>
      </c>
      <c r="F1886" s="6" t="str">
        <f t="shared" si="2"/>
        <v>16375647</v>
      </c>
      <c r="G1886" s="16">
        <v>5.0</v>
      </c>
      <c r="H1886" s="17">
        <v>45090.0</v>
      </c>
      <c r="I1886" s="18" t="s">
        <v>1857</v>
      </c>
    </row>
    <row r="1887">
      <c r="A1887" s="5" t="str">
        <f t="array" ref="A1887">INDEX(event_table!$A$2:$A$69, RANDBETWEEN(1, COUNTA(event_table!$A$2:$A$69)))</f>
        <v>1531</v>
      </c>
      <c r="B1887" s="6">
        <f t="array" ref="B1887">IFERROR(INDEX(event_table!$E$1:$E3686,MATCH(A1887,event_table!$A$1:$A3686,0)),"")
</f>
        <v>5</v>
      </c>
      <c r="C1887" s="7">
        <f t="shared" si="1"/>
        <v>162</v>
      </c>
      <c r="D1887" s="6" t="str">
        <f t="array" ref="D1887">IFERROR(INDEX(user_table!$C$2:$C3686,MATCH(C1887,user_table!$B$2:$B3686,0)),"")
</f>
        <v>Dewi Nugroho</v>
      </c>
      <c r="E1887" s="6" t="str">
        <f t="array" ref="E1887">IFERROR(INDEX(user_table!$E$2:$E3686,MATCH(C1887,user_table!$B$2:$B3686,0)),"")
</f>
        <v>2, 5</v>
      </c>
      <c r="F1887" s="6" t="str">
        <f t="shared" si="2"/>
        <v>153155162</v>
      </c>
      <c r="G1887" s="16">
        <v>5.0</v>
      </c>
      <c r="H1887" s="17">
        <v>45075.0</v>
      </c>
      <c r="I1887" s="18" t="s">
        <v>1858</v>
      </c>
    </row>
    <row r="1888">
      <c r="A1888" s="5" t="str">
        <f t="array" ref="A1888">INDEX(event_table!$A$2:$A$69, RANDBETWEEN(1, COUNTA(event_table!$A$2:$A$69)))</f>
        <v>1651</v>
      </c>
      <c r="B1888" s="6">
        <f t="array" ref="B1888">IFERROR(INDEX(event_table!$E$1:$E3686,MATCH(A1888,event_table!$A$1:$A3686,0)),"")
</f>
        <v>6</v>
      </c>
      <c r="C1888" s="7">
        <f t="shared" si="1"/>
        <v>151</v>
      </c>
      <c r="D1888" s="6" t="str">
        <f t="array" ref="D1888">IFERROR(INDEX(user_table!$C$2:$C3686,MATCH(C1888,user_table!$B$2:$B3686,0)),"")
</f>
        <v>Maya Hidayat</v>
      </c>
      <c r="E1888" s="6" t="str">
        <f t="array" ref="E1888">IFERROR(INDEX(user_table!$E$2:$E3686,MATCH(C1888,user_table!$B$2:$B3686,0)),"")
</f>
        <v>2, 3</v>
      </c>
      <c r="F1888" s="6" t="str">
        <f t="shared" si="2"/>
        <v>165156151</v>
      </c>
      <c r="G1888" s="16">
        <v>5.0</v>
      </c>
      <c r="H1888" s="17">
        <v>45054.0</v>
      </c>
      <c r="I1888" s="18" t="s">
        <v>1859</v>
      </c>
    </row>
    <row r="1889">
      <c r="A1889" s="5" t="str">
        <f t="array" ref="A1889">INDEX(event_table!$A$2:$A$69, RANDBETWEEN(1, COUNTA(event_table!$A$2:$A$69)))</f>
        <v>1531</v>
      </c>
      <c r="B1889" s="6">
        <f t="array" ref="B1889">IFERROR(INDEX(event_table!$E$1:$E3686,MATCH(A1889,event_table!$A$1:$A3686,0)),"")
</f>
        <v>5</v>
      </c>
      <c r="C1889" s="7">
        <f t="shared" si="1"/>
        <v>130</v>
      </c>
      <c r="D1889" s="6" t="str">
        <f t="array" ref="D1889">IFERROR(INDEX(user_table!$C$2:$C3686,MATCH(C1889,user_table!$B$2:$B3686,0)),"")
</f>
        <v>Andi Putri</v>
      </c>
      <c r="E1889" s="6" t="str">
        <f t="array" ref="E1889">IFERROR(INDEX(user_table!$E$2:$E3686,MATCH(C1889,user_table!$B$2:$B3686,0)),"")
</f>
        <v>2, 3</v>
      </c>
      <c r="F1889" s="6" t="str">
        <f t="shared" si="2"/>
        <v>153155130</v>
      </c>
      <c r="G1889" s="16">
        <v>5.0</v>
      </c>
      <c r="H1889" s="17">
        <v>44984.0</v>
      </c>
      <c r="I1889" s="18" t="s">
        <v>1860</v>
      </c>
    </row>
    <row r="1890">
      <c r="A1890" s="5" t="str">
        <f t="array" ref="A1890">INDEX(event_table!$A$2:$A$69, RANDBETWEEN(1, COUNTA(event_table!$A$2:$A$69)))</f>
        <v>1424</v>
      </c>
      <c r="B1890" s="6">
        <f t="array" ref="B1890">IFERROR(INDEX(event_table!$E$1:$E3686,MATCH(A1890,event_table!$A$1:$A3686,0)),"")
</f>
        <v>4</v>
      </c>
      <c r="C1890" s="7">
        <f t="shared" si="1"/>
        <v>28</v>
      </c>
      <c r="D1890" s="6" t="str">
        <f t="array" ref="D1890">IFERROR(INDEX(user_table!$C$2:$C3686,MATCH(C1890,user_table!$B$2:$B3686,0)),"")
</f>
        <v>Fandi Putri</v>
      </c>
      <c r="E1890" s="6" t="str">
        <f t="array" ref="E1890">IFERROR(INDEX(user_table!$E$2:$E3686,MATCH(C1890,user_table!$B$2:$B3686,0)),"")
</f>
        <v>5, 1</v>
      </c>
      <c r="F1890" s="6" t="str">
        <f t="shared" si="2"/>
        <v>14245428</v>
      </c>
      <c r="G1890" s="16">
        <v>5.0</v>
      </c>
      <c r="H1890" s="17">
        <v>44947.0</v>
      </c>
      <c r="I1890" s="18" t="s">
        <v>1861</v>
      </c>
    </row>
    <row r="1891">
      <c r="A1891" s="5" t="str">
        <f t="array" ref="A1891">INDEX(event_table!$A$2:$A$69, RANDBETWEEN(1, COUNTA(event_table!$A$2:$A$69)))</f>
        <v>1420</v>
      </c>
      <c r="B1891" s="6">
        <f t="array" ref="B1891">IFERROR(INDEX(event_table!$E$1:$E3686,MATCH(A1891,event_table!$A$1:$A3686,0)),"")
</f>
        <v>4</v>
      </c>
      <c r="C1891" s="7">
        <f t="shared" si="1"/>
        <v>139</v>
      </c>
      <c r="D1891" s="6" t="str">
        <f t="array" ref="D1891">IFERROR(INDEX(user_table!$C$2:$C3686,MATCH(C1891,user_table!$B$2:$B3686,0)),"")
</f>
        <v>Sinta Kurniawan</v>
      </c>
      <c r="E1891" s="6" t="str">
        <f t="array" ref="E1891">IFERROR(INDEX(user_table!$E$2:$E3686,MATCH(C1891,user_table!$B$2:$B3686,0)),"")
</f>
        <v>4, 6</v>
      </c>
      <c r="F1891" s="6" t="str">
        <f t="shared" si="2"/>
        <v>142054139</v>
      </c>
      <c r="G1891" s="16">
        <v>5.0</v>
      </c>
      <c r="H1891" s="17">
        <v>44937.0</v>
      </c>
      <c r="I1891" s="18" t="s">
        <v>1862</v>
      </c>
    </row>
    <row r="1892">
      <c r="A1892" s="5" t="str">
        <f t="array" ref="A1892">INDEX(event_table!$A$2:$A$69, RANDBETWEEN(1, COUNTA(event_table!$A$2:$A$69)))</f>
        <v>119</v>
      </c>
      <c r="B1892" s="6">
        <f t="array" ref="B1892">IFERROR(INDEX(event_table!$E$1:$E3686,MATCH(A1892,event_table!$A$1:$A3686,0)),"")
</f>
        <v>1</v>
      </c>
      <c r="C1892" s="7">
        <f t="shared" si="1"/>
        <v>46</v>
      </c>
      <c r="D1892" s="6" t="str">
        <f t="array" ref="D1892">IFERROR(INDEX(user_table!$C$2:$C3686,MATCH(C1892,user_table!$B$2:$B3686,0)),"")
</f>
        <v>Dian Wijaya</v>
      </c>
      <c r="E1892" s="6" t="str">
        <f t="array" ref="E1892">IFERROR(INDEX(user_table!$E$2:$E3686,MATCH(C1892,user_table!$B$2:$B3686,0)),"")
</f>
        <v>2, 2</v>
      </c>
      <c r="F1892" s="6" t="str">
        <f t="shared" si="2"/>
        <v>1195146</v>
      </c>
      <c r="G1892" s="16">
        <v>5.0</v>
      </c>
      <c r="H1892" s="17">
        <v>44855.0</v>
      </c>
      <c r="I1892" s="18" t="s">
        <v>1863</v>
      </c>
    </row>
    <row r="1893">
      <c r="A1893" s="5" t="str">
        <f t="array" ref="A1893">INDEX(event_table!$A$2:$A$69, RANDBETWEEN(1, COUNTA(event_table!$A$2:$A$69)))</f>
        <v>1519</v>
      </c>
      <c r="B1893" s="6">
        <f t="array" ref="B1893">IFERROR(INDEX(event_table!$E$1:$E3686,MATCH(A1893,event_table!$A$1:$A3686,0)),"")
</f>
        <v>5</v>
      </c>
      <c r="C1893" s="7">
        <f t="shared" si="1"/>
        <v>194</v>
      </c>
      <c r="D1893" s="6" t="str">
        <f t="array" ref="D1893">IFERROR(INDEX(user_table!$C$2:$C3686,MATCH(C1893,user_table!$B$2:$B3686,0)),"")
</f>
        <v>Andi Putri</v>
      </c>
      <c r="E1893" s="6" t="str">
        <f t="array" ref="E1893">IFERROR(INDEX(user_table!$E$2:$E3686,MATCH(C1893,user_table!$B$2:$B3686,0)),"")
</f>
        <v>4, 4</v>
      </c>
      <c r="F1893" s="6" t="str">
        <f t="shared" si="2"/>
        <v>151955194</v>
      </c>
      <c r="G1893" s="16">
        <v>5.0</v>
      </c>
      <c r="H1893" s="17">
        <v>44839.0</v>
      </c>
      <c r="I1893" s="18" t="s">
        <v>1864</v>
      </c>
    </row>
    <row r="1894">
      <c r="A1894" s="5" t="str">
        <f t="array" ref="A1894">INDEX(event_table!$A$2:$A$69, RANDBETWEEN(1, COUNTA(event_table!$A$2:$A$69)))</f>
        <v>1526</v>
      </c>
      <c r="B1894" s="6">
        <f t="array" ref="B1894">IFERROR(INDEX(event_table!$E$1:$E3686,MATCH(A1894,event_table!$A$1:$A3686,0)),"")
</f>
        <v>5</v>
      </c>
      <c r="C1894" s="7">
        <f t="shared" si="1"/>
        <v>148</v>
      </c>
      <c r="D1894" s="6" t="str">
        <f t="array" ref="D1894">IFERROR(INDEX(user_table!$C$2:$C3686,MATCH(C1894,user_table!$B$2:$B3686,0)),"")
</f>
        <v>Fajar Setiawan</v>
      </c>
      <c r="E1894" s="6" t="str">
        <f t="array" ref="E1894">IFERROR(INDEX(user_table!$E$2:$E3686,MATCH(C1894,user_table!$B$2:$B3686,0)),"")
</f>
        <v>6, 4</v>
      </c>
      <c r="F1894" s="6" t="str">
        <f t="shared" si="2"/>
        <v>152655148</v>
      </c>
      <c r="G1894" s="16">
        <v>5.0</v>
      </c>
      <c r="H1894" s="17">
        <v>44790.0</v>
      </c>
      <c r="I1894" s="18" t="s">
        <v>1865</v>
      </c>
    </row>
    <row r="1895">
      <c r="A1895" s="5" t="str">
        <f t="array" ref="A1895">INDEX(event_table!$A$2:$A$69, RANDBETWEEN(1, COUNTA(event_table!$A$2:$A$69)))</f>
        <v>1529</v>
      </c>
      <c r="B1895" s="6">
        <f t="array" ref="B1895">IFERROR(INDEX(event_table!$E$1:$E3686,MATCH(A1895,event_table!$A$1:$A3686,0)),"")
</f>
        <v>5</v>
      </c>
      <c r="C1895" s="7">
        <f t="shared" si="1"/>
        <v>79</v>
      </c>
      <c r="D1895" s="6" t="str">
        <f t="array" ref="D1895">IFERROR(INDEX(user_table!$C$2:$C3686,MATCH(C1895,user_table!$B$2:$B3686,0)),"")
</f>
        <v>Arif Nugroho</v>
      </c>
      <c r="E1895" s="6" t="str">
        <f t="array" ref="E1895">IFERROR(INDEX(user_table!$E$2:$E3686,MATCH(C1895,user_table!$B$2:$B3686,0)),"")
</f>
        <v>2, 3</v>
      </c>
      <c r="F1895" s="6" t="str">
        <f t="shared" si="2"/>
        <v>15295579</v>
      </c>
      <c r="G1895" s="16">
        <v>5.0</v>
      </c>
      <c r="H1895" s="17">
        <v>44781.0</v>
      </c>
      <c r="I1895" s="18" t="s">
        <v>1866</v>
      </c>
    </row>
    <row r="1896">
      <c r="A1896" s="5" t="str">
        <f t="array" ref="A1896">INDEX(event_table!$A$2:$A$69, RANDBETWEEN(1, COUNTA(event_table!$A$2:$A$69)))</f>
        <v>1652</v>
      </c>
      <c r="B1896" s="6">
        <f t="array" ref="B1896">IFERROR(INDEX(event_table!$E$1:$E3686,MATCH(A1896,event_table!$A$1:$A3686,0)),"")
</f>
        <v>6</v>
      </c>
      <c r="C1896" s="7">
        <f t="shared" si="1"/>
        <v>34</v>
      </c>
      <c r="D1896" s="6" t="str">
        <f t="array" ref="D1896">IFERROR(INDEX(user_table!$C$2:$C3686,MATCH(C1896,user_table!$B$2:$B3686,0)),"")
</f>
        <v>Bambang Putri</v>
      </c>
      <c r="E1896" s="6" t="str">
        <f t="array" ref="E1896">IFERROR(INDEX(user_table!$E$2:$E3686,MATCH(C1896,user_table!$B$2:$B3686,0)),"")
</f>
        <v>3, 5</v>
      </c>
      <c r="F1896" s="6" t="str">
        <f t="shared" si="2"/>
        <v>16524634</v>
      </c>
      <c r="G1896" s="16">
        <v>4.0</v>
      </c>
      <c r="H1896" s="17">
        <v>45056.0</v>
      </c>
      <c r="I1896" s="18" t="s">
        <v>1867</v>
      </c>
    </row>
    <row r="1897">
      <c r="A1897" s="5" t="str">
        <f t="array" ref="A1897">INDEX(event_table!$A$2:$A$69, RANDBETWEEN(1, COUNTA(event_table!$A$2:$A$69)))</f>
        <v>1652</v>
      </c>
      <c r="B1897" s="6">
        <f t="array" ref="B1897">IFERROR(INDEX(event_table!$E$1:$E3686,MATCH(A1897,event_table!$A$1:$A3686,0)),"")
</f>
        <v>6</v>
      </c>
      <c r="C1897" s="7">
        <f t="shared" si="1"/>
        <v>197</v>
      </c>
      <c r="D1897" s="6" t="str">
        <f t="array" ref="D1897">IFERROR(INDEX(user_table!$C$2:$C3686,MATCH(C1897,user_table!$B$2:$B3686,0)),"")
</f>
        <v>Dian Sari</v>
      </c>
      <c r="E1897" s="6" t="str">
        <f t="array" ref="E1897">IFERROR(INDEX(user_table!$E$2:$E3686,MATCH(C1897,user_table!$B$2:$B3686,0)),"")
</f>
        <v>6, 3</v>
      </c>
      <c r="F1897" s="6" t="str">
        <f t="shared" si="2"/>
        <v>165246197</v>
      </c>
      <c r="G1897" s="16">
        <v>4.0</v>
      </c>
      <c r="H1897" s="17">
        <v>44827.0</v>
      </c>
      <c r="I1897" s="18" t="s">
        <v>1868</v>
      </c>
    </row>
    <row r="1898">
      <c r="A1898" s="5" t="str">
        <f t="array" ref="A1898">INDEX(event_table!$A$2:$A$69, RANDBETWEEN(1, COUNTA(event_table!$A$2:$A$69)))</f>
        <v>1215</v>
      </c>
      <c r="B1898" s="6">
        <f t="array" ref="B1898">IFERROR(INDEX(event_table!$E$1:$E3686,MATCH(A1898,event_table!$A$1:$A3686,0)),"")
</f>
        <v>2</v>
      </c>
      <c r="C1898" s="7">
        <f t="shared" si="1"/>
        <v>124</v>
      </c>
      <c r="D1898" s="6" t="str">
        <f t="array" ref="D1898">IFERROR(INDEX(user_table!$C$2:$C3686,MATCH(C1898,user_table!$B$2:$B3686,0)),"")
</f>
        <v>Fandi Setiawan</v>
      </c>
      <c r="E1898" s="6" t="str">
        <f t="array" ref="E1898">IFERROR(INDEX(user_table!$E$2:$E3686,MATCH(C1898,user_table!$B$2:$B3686,0)),"")
</f>
        <v>5, 4</v>
      </c>
      <c r="F1898" s="6" t="str">
        <f t="shared" si="2"/>
        <v>121542124</v>
      </c>
      <c r="G1898" s="16">
        <v>4.0</v>
      </c>
      <c r="H1898" s="17">
        <v>44689.0</v>
      </c>
      <c r="I1898" s="18" t="s">
        <v>1869</v>
      </c>
    </row>
    <row r="1899">
      <c r="A1899" s="5" t="str">
        <f t="array" ref="A1899">INDEX(event_table!$A$2:$A$69, RANDBETWEEN(1, COUNTA(event_table!$A$2:$A$69)))</f>
        <v>1423</v>
      </c>
      <c r="B1899" s="6">
        <f t="array" ref="B1899">IFERROR(INDEX(event_table!$E$1:$E3686,MATCH(A1899,event_table!$A$1:$A3686,0)),"")
</f>
        <v>4</v>
      </c>
      <c r="C1899" s="7">
        <f t="shared" si="1"/>
        <v>17</v>
      </c>
      <c r="D1899" s="6" t="str">
        <f t="array" ref="D1899">IFERROR(INDEX(user_table!$C$2:$C3686,MATCH(C1899,user_table!$B$2:$B3686,0)),"")
</f>
        <v>Fajar Wijaya</v>
      </c>
      <c r="E1899" s="6" t="str">
        <f t="array" ref="E1899">IFERROR(INDEX(user_table!$E$2:$E3686,MATCH(C1899,user_table!$B$2:$B3686,0)),"")
</f>
        <v>1, 1</v>
      </c>
      <c r="F1899" s="6" t="str">
        <f t="shared" si="2"/>
        <v>14234417</v>
      </c>
      <c r="G1899" s="16">
        <v>4.0</v>
      </c>
      <c r="H1899" s="17">
        <v>44753.0</v>
      </c>
      <c r="I1899" s="18" t="s">
        <v>1870</v>
      </c>
    </row>
    <row r="1900">
      <c r="A1900" s="5" t="str">
        <f t="array" ref="A1900">INDEX(event_table!$A$2:$A$69, RANDBETWEEN(1, COUNTA(event_table!$A$2:$A$69)))</f>
        <v>115</v>
      </c>
      <c r="B1900" s="6">
        <f t="array" ref="B1900">IFERROR(INDEX(event_table!$E$1:$E3686,MATCH(A1900,event_table!$A$1:$A3686,0)),"")
</f>
        <v>1</v>
      </c>
      <c r="C1900" s="7">
        <f t="shared" si="1"/>
        <v>26</v>
      </c>
      <c r="D1900" s="6" t="str">
        <f t="array" ref="D1900">IFERROR(INDEX(user_table!$C$2:$C3686,MATCH(C1900,user_table!$B$2:$B3686,0)),"")
</f>
        <v>Citra Sari</v>
      </c>
      <c r="E1900" s="6" t="str">
        <f t="array" ref="E1900">IFERROR(INDEX(user_table!$E$2:$E3686,MATCH(C1900,user_table!$B$2:$B3686,0)),"")
</f>
        <v>5, 1</v>
      </c>
      <c r="F1900" s="6" t="str">
        <f t="shared" si="2"/>
        <v>1154126</v>
      </c>
      <c r="G1900" s="16">
        <v>4.0</v>
      </c>
      <c r="H1900" s="17">
        <v>44739.0</v>
      </c>
      <c r="I1900" s="18" t="s">
        <v>1871</v>
      </c>
    </row>
    <row r="1901">
      <c r="A1901" s="5" t="str">
        <f t="array" ref="A1901">INDEX(event_table!$A$2:$A$69, RANDBETWEEN(1, COUNTA(event_table!$A$2:$A$69)))</f>
        <v>1519</v>
      </c>
      <c r="B1901" s="6">
        <f t="array" ref="B1901">IFERROR(INDEX(event_table!$E$1:$E3686,MATCH(A1901,event_table!$A$1:$A3686,0)),"")
</f>
        <v>5</v>
      </c>
      <c r="C1901" s="7">
        <f t="shared" si="1"/>
        <v>159</v>
      </c>
      <c r="D1901" s="6" t="str">
        <f t="array" ref="D1901">IFERROR(INDEX(user_table!$C$2:$C3686,MATCH(C1901,user_table!$B$2:$B3686,0)),"")
</f>
        <v>Rudi Santoso</v>
      </c>
      <c r="E1901" s="6" t="str">
        <f t="array" ref="E1901">IFERROR(INDEX(user_table!$E$2:$E3686,MATCH(C1901,user_table!$B$2:$B3686,0)),"")
</f>
        <v>5, 1</v>
      </c>
      <c r="F1901" s="6" t="str">
        <f t="shared" si="2"/>
        <v>151945159</v>
      </c>
      <c r="G1901" s="16">
        <v>4.0</v>
      </c>
      <c r="H1901" s="17">
        <v>44700.0</v>
      </c>
      <c r="I1901" s="18" t="s">
        <v>1872</v>
      </c>
    </row>
    <row r="1902">
      <c r="A1902" s="5" t="str">
        <f t="array" ref="A1902">INDEX(event_table!$A$2:$A$69, RANDBETWEEN(1, COUNTA(event_table!$A$2:$A$69)))</f>
        <v>3170</v>
      </c>
      <c r="B1902" s="6">
        <f t="array" ref="B1902">IFERROR(INDEX(event_table!$E$1:$E3686,MATCH(A1902,event_table!$A$1:$A3686,0)),"")
</f>
        <v>1</v>
      </c>
      <c r="C1902" s="7">
        <f t="shared" si="1"/>
        <v>48</v>
      </c>
      <c r="D1902" s="6" t="str">
        <f t="array" ref="D1902">IFERROR(INDEX(user_table!$C$2:$C3686,MATCH(C1902,user_table!$B$2:$B3686,0)),"")
</f>
        <v>Maya Kusuma</v>
      </c>
      <c r="E1902" s="6" t="str">
        <f t="array" ref="E1902">IFERROR(INDEX(user_table!$E$2:$E3686,MATCH(C1902,user_table!$B$2:$B3686,0)),"")
</f>
        <v>2, 3</v>
      </c>
      <c r="F1902" s="6" t="str">
        <f t="shared" si="2"/>
        <v>31704148</v>
      </c>
      <c r="G1902" s="16">
        <v>4.0</v>
      </c>
      <c r="H1902" s="17">
        <v>44689.0</v>
      </c>
      <c r="I1902" s="18" t="s">
        <v>1873</v>
      </c>
    </row>
    <row r="1903">
      <c r="A1903" s="5" t="str">
        <f t="array" ref="A1903">INDEX(event_table!$A$2:$A$69, RANDBETWEEN(1, COUNTA(event_table!$A$2:$A$69)))</f>
        <v>1420</v>
      </c>
      <c r="B1903" s="6">
        <f t="array" ref="B1903">IFERROR(INDEX(event_table!$E$1:$E3686,MATCH(A1903,event_table!$A$1:$A3686,0)),"")
</f>
        <v>4</v>
      </c>
      <c r="C1903" s="7">
        <f t="shared" si="1"/>
        <v>136</v>
      </c>
      <c r="D1903" s="6" t="str">
        <f t="array" ref="D1903">IFERROR(INDEX(user_table!$C$2:$C3686,MATCH(C1903,user_table!$B$2:$B3686,0)),"")
</f>
        <v>Fandi Purnama</v>
      </c>
      <c r="E1903" s="6" t="str">
        <f t="array" ref="E1903">IFERROR(INDEX(user_table!$E$2:$E3686,MATCH(C1903,user_table!$B$2:$B3686,0)),"")
</f>
        <v>5, 6</v>
      </c>
      <c r="F1903" s="6" t="str">
        <f t="shared" si="2"/>
        <v>142034136</v>
      </c>
      <c r="G1903" s="16">
        <v>3.0</v>
      </c>
      <c r="H1903" s="17">
        <v>44746.0</v>
      </c>
      <c r="I1903" s="18" t="s">
        <v>1874</v>
      </c>
    </row>
    <row r="1904">
      <c r="A1904" s="5" t="str">
        <f t="array" ref="A1904">INDEX(event_table!$A$2:$A$69, RANDBETWEEN(1, COUNTA(event_table!$A$2:$A$69)))</f>
        <v>3170</v>
      </c>
      <c r="B1904" s="6">
        <f t="array" ref="B1904">IFERROR(INDEX(event_table!$E$1:$E3686,MATCH(A1904,event_table!$A$1:$A3686,0)),"")
</f>
        <v>1</v>
      </c>
      <c r="C1904" s="7">
        <f t="shared" si="1"/>
        <v>65</v>
      </c>
      <c r="D1904" s="6" t="str">
        <f t="array" ref="D1904">IFERROR(INDEX(user_table!$C$2:$C3686,MATCH(C1904,user_table!$B$2:$B3686,0)),"")
</f>
        <v>Siti Pratama</v>
      </c>
      <c r="E1904" s="6" t="str">
        <f t="array" ref="E1904">IFERROR(INDEX(user_table!$E$2:$E3686,MATCH(C1904,user_table!$B$2:$B3686,0)),"")
</f>
        <v>5, 6</v>
      </c>
      <c r="F1904" s="6" t="str">
        <f t="shared" si="2"/>
        <v>31703165</v>
      </c>
      <c r="G1904" s="16">
        <v>3.0</v>
      </c>
      <c r="H1904" s="17">
        <v>44918.0</v>
      </c>
      <c r="I1904" s="18" t="s">
        <v>1875</v>
      </c>
    </row>
    <row r="1905">
      <c r="A1905" s="5" t="str">
        <f t="array" ref="A1905">INDEX(event_table!$A$2:$A$69, RANDBETWEEN(1, COUNTA(event_table!$A$2:$A$69)))</f>
        <v>116</v>
      </c>
      <c r="B1905" s="6">
        <f t="array" ref="B1905">IFERROR(INDEX(event_table!$E$1:$E3686,MATCH(A1905,event_table!$A$1:$A3686,0)),"")
</f>
        <v>1</v>
      </c>
      <c r="C1905" s="7">
        <f t="shared" si="1"/>
        <v>8</v>
      </c>
      <c r="D1905" s="6" t="str">
        <f t="array" ref="D1905">IFERROR(INDEX(user_table!$C$2:$C3686,MATCH(C1905,user_table!$B$2:$B3686,0)),"")
</f>
        <v>Bambang Kurniawan</v>
      </c>
      <c r="E1905" s="6" t="str">
        <f t="array" ref="E1905">IFERROR(INDEX(user_table!$E$2:$E3686,MATCH(C1905,user_table!$B$2:$B3686,0)),"")
</f>
        <v>2, 1</v>
      </c>
      <c r="F1905" s="6" t="str">
        <f t="shared" si="2"/>
        <v>116318</v>
      </c>
      <c r="G1905" s="16">
        <v>3.0</v>
      </c>
      <c r="H1905" s="17">
        <v>44746.0</v>
      </c>
      <c r="I1905" s="18" t="s">
        <v>1876</v>
      </c>
    </row>
    <row r="1906">
      <c r="A1906" s="5" t="str">
        <f t="array" ref="A1906">INDEX(event_table!$A$2:$A$69, RANDBETWEEN(1, COUNTA(event_table!$A$2:$A$69)))</f>
        <v>1642</v>
      </c>
      <c r="B1906" s="6">
        <f t="array" ref="B1906">IFERROR(INDEX(event_table!$E$1:$E3686,MATCH(A1906,event_table!$A$1:$A3686,0)),"")
</f>
        <v>6</v>
      </c>
      <c r="C1906" s="7">
        <f t="shared" si="1"/>
        <v>112</v>
      </c>
      <c r="D1906" s="6" t="str">
        <f t="array" ref="D1906">IFERROR(INDEX(user_table!$C$2:$C3686,MATCH(C1906,user_table!$B$2:$B3686,0)),"")
</f>
        <v>Ani Hadiwijaya</v>
      </c>
      <c r="E1906" s="6" t="str">
        <f t="array" ref="E1906">IFERROR(INDEX(user_table!$E$2:$E3686,MATCH(C1906,user_table!$B$2:$B3686,0)),"")
</f>
        <v>3, 5</v>
      </c>
      <c r="F1906" s="6" t="str">
        <f t="shared" si="2"/>
        <v>164236112</v>
      </c>
      <c r="G1906" s="16">
        <v>3.0</v>
      </c>
      <c r="H1906" s="17">
        <v>45151.0</v>
      </c>
      <c r="I1906" s="18" t="s">
        <v>1877</v>
      </c>
    </row>
    <row r="1907">
      <c r="A1907" s="5" t="str">
        <f t="array" ref="A1907">INDEX(event_table!$A$2:$A$69, RANDBETWEEN(1, COUNTA(event_table!$A$2:$A$69)))</f>
        <v>1417</v>
      </c>
      <c r="B1907" s="6">
        <f t="array" ref="B1907">IFERROR(INDEX(event_table!$E$1:$E3686,MATCH(A1907,event_table!$A$1:$A3686,0)),"")
</f>
        <v>4</v>
      </c>
      <c r="C1907" s="7">
        <f t="shared" si="1"/>
        <v>132</v>
      </c>
      <c r="D1907" s="6" t="str">
        <f t="array" ref="D1907">IFERROR(INDEX(user_table!$C$2:$C3686,MATCH(C1907,user_table!$B$2:$B3686,0)),"")
</f>
        <v>Joko Hartono</v>
      </c>
      <c r="E1907" s="6" t="str">
        <f t="array" ref="E1907">IFERROR(INDEX(user_table!$E$2:$E3686,MATCH(C1907,user_table!$B$2:$B3686,0)),"")
</f>
        <v>1, 3</v>
      </c>
      <c r="F1907" s="6" t="str">
        <f t="shared" si="2"/>
        <v>141724132</v>
      </c>
      <c r="G1907" s="16">
        <v>2.0</v>
      </c>
      <c r="H1907" s="17">
        <v>44734.0</v>
      </c>
      <c r="I1907" s="18" t="s">
        <v>1878</v>
      </c>
    </row>
    <row r="1908">
      <c r="A1908" s="5" t="str">
        <f t="array" ref="A1908">INDEX(event_table!$A$2:$A$69, RANDBETWEEN(1, COUNTA(event_table!$A$2:$A$69)))</f>
        <v>3165</v>
      </c>
      <c r="B1908" s="6">
        <f t="array" ref="B1908">IFERROR(INDEX(event_table!$E$1:$E3686,MATCH(A1908,event_table!$A$1:$A3686,0)),"")
</f>
        <v>1</v>
      </c>
      <c r="C1908" s="7">
        <f t="shared" si="1"/>
        <v>73</v>
      </c>
      <c r="D1908" s="6" t="str">
        <f t="array" ref="D1908">IFERROR(INDEX(user_table!$C$2:$C3686,MATCH(C1908,user_table!$B$2:$B3686,0)),"")
</f>
        <v>Hadi Santoso</v>
      </c>
      <c r="E1908" s="6" t="str">
        <f t="array" ref="E1908">IFERROR(INDEX(user_table!$E$2:$E3686,MATCH(C1908,user_table!$B$2:$B3686,0)),"")
</f>
        <v>6, 3</v>
      </c>
      <c r="F1908" s="6" t="str">
        <f t="shared" si="2"/>
        <v>31652173</v>
      </c>
      <c r="G1908" s="16">
        <v>2.0</v>
      </c>
      <c r="H1908" s="17">
        <v>44428.0</v>
      </c>
      <c r="I1908" s="18" t="s">
        <v>1879</v>
      </c>
    </row>
    <row r="1909">
      <c r="A1909" s="5" t="str">
        <f t="array" ref="A1909">INDEX(event_table!$A$2:$A$69, RANDBETWEEN(1, COUNTA(event_table!$A$2:$A$69)))</f>
        <v>3455</v>
      </c>
      <c r="B1909" s="6">
        <f t="array" ref="B1909">IFERROR(INDEX(event_table!$E$1:$E3686,MATCH(A1909,event_table!$A$1:$A3686,0)),"")
</f>
        <v>4</v>
      </c>
      <c r="C1909" s="7">
        <f t="shared" si="1"/>
        <v>52</v>
      </c>
      <c r="D1909" s="6" t="str">
        <f t="array" ref="D1909">IFERROR(INDEX(user_table!$C$2:$C3686,MATCH(C1909,user_table!$B$2:$B3686,0)),"")
</f>
        <v>Ani Nurhayati</v>
      </c>
      <c r="E1909" s="6" t="str">
        <f t="array" ref="E1909">IFERROR(INDEX(user_table!$E$2:$E3686,MATCH(C1909,user_table!$B$2:$B3686,0)),"")
</f>
        <v>2, 2</v>
      </c>
      <c r="F1909" s="6" t="str">
        <f t="shared" si="2"/>
        <v>34552452</v>
      </c>
      <c r="G1909" s="16">
        <v>2.0</v>
      </c>
      <c r="H1909" s="17">
        <v>45170.0</v>
      </c>
      <c r="I1909" s="18" t="s">
        <v>1880</v>
      </c>
    </row>
    <row r="1910">
      <c r="A1910" s="5" t="str">
        <f t="array" ref="A1910">INDEX(event_table!$A$2:$A$69, RANDBETWEEN(1, COUNTA(event_table!$A$2:$A$69)))</f>
        <v>1425</v>
      </c>
      <c r="B1910" s="6">
        <f t="array" ref="B1910">IFERROR(INDEX(event_table!$E$1:$E3686,MATCH(A1910,event_table!$A$1:$A3686,0)),"")
</f>
        <v>4</v>
      </c>
      <c r="C1910" s="7">
        <f t="shared" si="1"/>
        <v>165</v>
      </c>
      <c r="D1910" s="6" t="str">
        <f t="array" ref="D1910">IFERROR(INDEX(user_table!$C$2:$C3686,MATCH(C1910,user_table!$B$2:$B3686,0)),"")
</f>
        <v>Agus Pratama</v>
      </c>
      <c r="E1910" s="6" t="str">
        <f t="array" ref="E1910">IFERROR(INDEX(user_table!$E$2:$E3686,MATCH(C1910,user_table!$B$2:$B3686,0)),"")
</f>
        <v>6, 2</v>
      </c>
      <c r="F1910" s="6" t="str">
        <f t="shared" si="2"/>
        <v>142524165</v>
      </c>
      <c r="G1910" s="16">
        <v>2.0</v>
      </c>
      <c r="H1910" s="17">
        <v>45123.0</v>
      </c>
      <c r="I1910" s="18" t="s">
        <v>1881</v>
      </c>
    </row>
    <row r="1911">
      <c r="A1911" s="5" t="str">
        <f t="array" ref="A1911">INDEX(event_table!$A$2:$A$69, RANDBETWEEN(1, COUNTA(event_table!$A$2:$A$69)))</f>
        <v>119</v>
      </c>
      <c r="B1911" s="6">
        <f t="array" ref="B1911">IFERROR(INDEX(event_table!$E$1:$E3686,MATCH(A1911,event_table!$A$1:$A3686,0)),"")
</f>
        <v>1</v>
      </c>
      <c r="C1911" s="7">
        <f t="shared" si="1"/>
        <v>199</v>
      </c>
      <c r="D1911" s="6" t="str">
        <f t="array" ref="D1911">IFERROR(INDEX(user_table!$C$2:$C3686,MATCH(C1911,user_table!$B$2:$B3686,0)),"")
</f>
        <v>Rudi Putri</v>
      </c>
      <c r="E1911" s="6" t="str">
        <f t="array" ref="E1911">IFERROR(INDEX(user_table!$E$2:$E3686,MATCH(C1911,user_table!$B$2:$B3686,0)),"")
</f>
        <v>2, 1</v>
      </c>
      <c r="F1911" s="6" t="str">
        <f t="shared" si="2"/>
        <v>11921199</v>
      </c>
      <c r="G1911" s="16">
        <v>2.0</v>
      </c>
      <c r="H1911" s="17">
        <v>45106.0</v>
      </c>
      <c r="I1911" s="18" t="s">
        <v>1882</v>
      </c>
    </row>
    <row r="1912">
      <c r="A1912" s="5" t="str">
        <f t="array" ref="A1912">INDEX(event_table!$A$2:$A$69, RANDBETWEEN(1, COUNTA(event_table!$A$2:$A$69)))</f>
        <v>1640</v>
      </c>
      <c r="B1912" s="6">
        <f t="array" ref="B1912">IFERROR(INDEX(event_table!$E$1:$E3686,MATCH(A1912,event_table!$A$1:$A3686,0)),"")
</f>
        <v>6</v>
      </c>
      <c r="C1912" s="7">
        <f t="shared" si="1"/>
        <v>143</v>
      </c>
      <c r="D1912" s="6" t="str">
        <f t="array" ref="D1912">IFERROR(INDEX(user_table!$C$2:$C3686,MATCH(C1912,user_table!$B$2:$B3686,0)),"")
</f>
        <v>Agus Putri</v>
      </c>
      <c r="E1912" s="6" t="str">
        <f t="array" ref="E1912">IFERROR(INDEX(user_table!$E$2:$E3686,MATCH(C1912,user_table!$B$2:$B3686,0)),"")
</f>
        <v>3, 3</v>
      </c>
      <c r="F1912" s="6" t="str">
        <f t="shared" si="2"/>
        <v>164016143</v>
      </c>
      <c r="G1912" s="16">
        <v>1.0</v>
      </c>
      <c r="H1912" s="17">
        <v>45187.0</v>
      </c>
      <c r="I1912" s="18" t="s">
        <v>1883</v>
      </c>
    </row>
    <row r="1913">
      <c r="A1913" s="5" t="str">
        <f t="array" ref="A1913">INDEX(event_table!$A$2:$A$69, RANDBETWEEN(1, COUNTA(event_table!$A$2:$A$69)))</f>
        <v>1519</v>
      </c>
      <c r="B1913" s="6">
        <f t="array" ref="B1913">IFERROR(INDEX(event_table!$E$1:$E3686,MATCH(A1913,event_table!$A$1:$A3686,0)),"")
</f>
        <v>5</v>
      </c>
      <c r="C1913" s="7">
        <f t="shared" si="1"/>
        <v>103</v>
      </c>
      <c r="D1913" s="6" t="str">
        <f t="array" ref="D1913">IFERROR(INDEX(user_table!$C$2:$C3686,MATCH(C1913,user_table!$B$2:$B3686,0)),"")
</f>
        <v>Hadi Sari</v>
      </c>
      <c r="E1913" s="6" t="str">
        <f t="array" ref="E1913">IFERROR(INDEX(user_table!$E$2:$E3686,MATCH(C1913,user_table!$B$2:$B3686,0)),"")
</f>
        <v>3, 1</v>
      </c>
      <c r="F1913" s="6" t="str">
        <f t="shared" si="2"/>
        <v>151915103</v>
      </c>
      <c r="G1913" s="16">
        <v>1.0</v>
      </c>
      <c r="H1913" s="17">
        <v>45184.0</v>
      </c>
      <c r="I1913" s="18" t="s">
        <v>1884</v>
      </c>
    </row>
    <row r="1914">
      <c r="A1914" s="5" t="str">
        <f t="array" ref="A1914">INDEX(event_table!$A$2:$A$69, RANDBETWEEN(1, COUNTA(event_table!$A$2:$A$69)))</f>
        <v>3169</v>
      </c>
      <c r="B1914" s="6">
        <f t="array" ref="B1914">IFERROR(INDEX(event_table!$E$1:$E3686,MATCH(A1914,event_table!$A$1:$A3686,0)),"")
</f>
        <v>1</v>
      </c>
      <c r="C1914" s="7">
        <f t="shared" si="1"/>
        <v>146</v>
      </c>
      <c r="D1914" s="6" t="str">
        <f t="array" ref="D1914">IFERROR(INDEX(user_table!$C$2:$C3686,MATCH(C1914,user_table!$B$2:$B3686,0)),"")
</f>
        <v>Rudi Susanto</v>
      </c>
      <c r="E1914" s="6" t="str">
        <f t="array" ref="E1914">IFERROR(INDEX(user_table!$E$2:$E3686,MATCH(C1914,user_table!$B$2:$B3686,0)),"")
</f>
        <v>6, 1</v>
      </c>
      <c r="F1914" s="6" t="str">
        <f t="shared" si="2"/>
        <v>316911146</v>
      </c>
      <c r="G1914" s="16">
        <v>1.0</v>
      </c>
      <c r="H1914" s="17">
        <v>45134.0</v>
      </c>
      <c r="I1914" s="18" t="s">
        <v>1885</v>
      </c>
    </row>
    <row r="1915">
      <c r="A1915" s="5" t="str">
        <f t="array" ref="A1915">INDEX(event_table!$A$2:$A$69, RANDBETWEEN(1, COUNTA(event_table!$A$2:$A$69)))</f>
        <v>1529</v>
      </c>
      <c r="B1915" s="6">
        <f t="array" ref="B1915">IFERROR(INDEX(event_table!$E$1:$E3686,MATCH(A1915,event_table!$A$1:$A3686,0)),"")
</f>
        <v>5</v>
      </c>
      <c r="C1915" s="7">
        <f t="shared" si="1"/>
        <v>158</v>
      </c>
      <c r="D1915" s="6" t="str">
        <f t="array" ref="D1915">IFERROR(INDEX(user_table!$C$2:$C3686,MATCH(C1915,user_table!$B$2:$B3686,0)),"")
</f>
        <v>Maya Wijaya</v>
      </c>
      <c r="E1915" s="6" t="str">
        <f t="array" ref="E1915">IFERROR(INDEX(user_table!$E$2:$E3686,MATCH(C1915,user_table!$B$2:$B3686,0)),"")
</f>
        <v>3, 4</v>
      </c>
      <c r="F1915" s="6" t="str">
        <f t="shared" si="2"/>
        <v>152915158</v>
      </c>
      <c r="G1915" s="16">
        <v>1.0</v>
      </c>
      <c r="H1915" s="17">
        <v>45265.0</v>
      </c>
      <c r="I1915" s="18" t="s">
        <v>1886</v>
      </c>
    </row>
    <row r="1916">
      <c r="A1916" s="5" t="str">
        <f t="array" ref="A1916">INDEX(event_table!$A$2:$A$69, RANDBETWEEN(1, COUNTA(event_table!$A$2:$A$69)))</f>
        <v>1531</v>
      </c>
      <c r="B1916" s="6">
        <f t="array" ref="B1916">IFERROR(INDEX(event_table!$E$1:$E3686,MATCH(A1916,event_table!$A$1:$A3686,0)),"")
</f>
        <v>5</v>
      </c>
      <c r="C1916" s="7">
        <f t="shared" si="1"/>
        <v>150</v>
      </c>
      <c r="D1916" s="6" t="str">
        <f t="array" ref="D1916">IFERROR(INDEX(user_table!$C$2:$C3686,MATCH(C1916,user_table!$B$2:$B3686,0)),"")
</f>
        <v>Dina Susanto</v>
      </c>
      <c r="E1916" s="6" t="str">
        <f t="array" ref="E1916">IFERROR(INDEX(user_table!$E$2:$E3686,MATCH(C1916,user_table!$B$2:$B3686,0)),"")
</f>
        <v>2, 6</v>
      </c>
      <c r="F1916" s="6" t="str">
        <f t="shared" si="2"/>
        <v>153115150</v>
      </c>
      <c r="G1916" s="16">
        <v>1.0</v>
      </c>
      <c r="H1916" s="17">
        <v>45144.0</v>
      </c>
      <c r="I1916" s="18" t="s">
        <v>1887</v>
      </c>
    </row>
    <row r="1917">
      <c r="A1917" s="5" t="str">
        <f t="array" ref="A1917">INDEX(event_table!$A$2:$A$69, RANDBETWEEN(1, COUNTA(event_table!$A$2:$A$69)))</f>
        <v>1643</v>
      </c>
      <c r="B1917" s="6">
        <f t="array" ref="B1917">IFERROR(INDEX(event_table!$E$1:$E3686,MATCH(A1917,event_table!$A$1:$A3686,0)),"")
</f>
        <v>6</v>
      </c>
      <c r="C1917" s="7">
        <f t="shared" si="1"/>
        <v>170</v>
      </c>
      <c r="D1917" s="6" t="str">
        <f t="array" ref="D1917">IFERROR(INDEX(user_table!$C$2:$C3686,MATCH(C1917,user_table!$B$2:$B3686,0)),"")
</f>
        <v>Andi Sari</v>
      </c>
      <c r="E1917" s="6" t="str">
        <f t="array" ref="E1917">IFERROR(INDEX(user_table!$E$2:$E3686,MATCH(C1917,user_table!$B$2:$B3686,0)),"")
</f>
        <v>4, 6</v>
      </c>
      <c r="F1917" s="6" t="str">
        <f t="shared" si="2"/>
        <v>164316170</v>
      </c>
      <c r="G1917" s="16">
        <v>1.0</v>
      </c>
      <c r="H1917" s="17">
        <v>45143.0</v>
      </c>
      <c r="I1917" s="18" t="s">
        <v>1888</v>
      </c>
    </row>
    <row r="1918">
      <c r="A1918" s="5" t="str">
        <f t="array" ref="A1918">INDEX(event_table!$A$2:$A$69, RANDBETWEEN(1, COUNTA(event_table!$A$2:$A$69)))</f>
        <v>3659</v>
      </c>
      <c r="B1918" s="6">
        <f t="array" ref="B1918">IFERROR(INDEX(event_table!$E$1:$E3686,MATCH(A1918,event_table!$A$1:$A3686,0)),"")
</f>
        <v>6</v>
      </c>
      <c r="C1918" s="7">
        <f t="shared" si="1"/>
        <v>156</v>
      </c>
      <c r="D1918" s="6" t="str">
        <f t="array" ref="D1918">IFERROR(INDEX(user_table!$C$2:$C3686,MATCH(C1918,user_table!$B$2:$B3686,0)),"")
</f>
        <v>Lina Kusuma</v>
      </c>
      <c r="E1918" s="6" t="str">
        <f t="array" ref="E1918">IFERROR(INDEX(user_table!$E$2:$E3686,MATCH(C1918,user_table!$B$2:$B3686,0)),"")
</f>
        <v>4, 3</v>
      </c>
      <c r="F1918" s="6" t="str">
        <f t="shared" si="2"/>
        <v>365916156</v>
      </c>
      <c r="G1918" s="16">
        <v>1.0</v>
      </c>
      <c r="H1918" s="17">
        <v>45143.0</v>
      </c>
      <c r="I1918" s="18" t="s">
        <v>1889</v>
      </c>
    </row>
    <row r="1919">
      <c r="A1919" s="5" t="str">
        <f t="array" ref="A1919">INDEX(event_table!$A$2:$A$69, RANDBETWEEN(1, COUNTA(event_table!$A$2:$A$69)))</f>
        <v>1332</v>
      </c>
      <c r="B1919" s="6">
        <f t="array" ref="B1919">IFERROR(INDEX(event_table!$E$1:$E3686,MATCH(A1919,event_table!$A$1:$A3686,0)),"")
</f>
        <v>3</v>
      </c>
      <c r="C1919" s="7">
        <f t="shared" si="1"/>
        <v>198</v>
      </c>
      <c r="D1919" s="6" t="str">
        <f t="array" ref="D1919">IFERROR(INDEX(user_table!$C$2:$C3686,MATCH(C1919,user_table!$B$2:$B3686,0)),"")
</f>
        <v>Siti Nugroho</v>
      </c>
      <c r="E1919" s="6" t="str">
        <f t="array" ref="E1919">IFERROR(INDEX(user_table!$E$2:$E3686,MATCH(C1919,user_table!$B$2:$B3686,0)),"")
</f>
        <v>5, 2</v>
      </c>
      <c r="F1919" s="6" t="str">
        <f t="shared" si="2"/>
        <v>133213198</v>
      </c>
      <c r="G1919" s="16">
        <v>1.0</v>
      </c>
      <c r="H1919" s="17">
        <v>45099.0</v>
      </c>
      <c r="I1919" s="18" t="s">
        <v>1890</v>
      </c>
    </row>
    <row r="1920">
      <c r="A1920" s="5" t="str">
        <f t="array" ref="A1920">INDEX(event_table!$A$2:$A$69, RANDBETWEEN(1, COUNTA(event_table!$A$2:$A$69)))</f>
        <v>115</v>
      </c>
      <c r="B1920" s="6">
        <f t="array" ref="B1920">IFERROR(INDEX(event_table!$E$1:$E3686,MATCH(A1920,event_table!$A$1:$A3686,0)),"")
</f>
        <v>1</v>
      </c>
      <c r="C1920" s="7">
        <f t="shared" si="1"/>
        <v>67</v>
      </c>
      <c r="D1920" s="6" t="str">
        <f t="array" ref="D1920">IFERROR(INDEX(user_table!$C$2:$C3686,MATCH(C1920,user_table!$B$2:$B3686,0)),"")
</f>
        <v>Joko Pratama</v>
      </c>
      <c r="E1920" s="6" t="str">
        <f t="array" ref="E1920">IFERROR(INDEX(user_table!$E$2:$E3686,MATCH(C1920,user_table!$B$2:$B3686,0)),"")
</f>
        <v>1, 3</v>
      </c>
      <c r="F1920" s="6" t="str">
        <f t="shared" si="2"/>
        <v>1151167</v>
      </c>
      <c r="G1920" s="16">
        <v>1.0</v>
      </c>
      <c r="H1920" s="17">
        <v>45069.0</v>
      </c>
      <c r="I1920" s="18" t="s">
        <v>1891</v>
      </c>
    </row>
    <row r="1921">
      <c r="A1921" s="5" t="str">
        <f t="array" ref="A1921">INDEX(event_table!$A$2:$A$69, RANDBETWEEN(1, COUNTA(event_table!$A$2:$A$69)))</f>
        <v>1645</v>
      </c>
      <c r="B1921" s="6">
        <f t="array" ref="B1921">IFERROR(INDEX(event_table!$E$1:$E3686,MATCH(A1921,event_table!$A$1:$A3686,0)),"")
</f>
        <v>6</v>
      </c>
      <c r="C1921" s="7">
        <f t="shared" si="1"/>
        <v>168</v>
      </c>
      <c r="D1921" s="6" t="str">
        <f t="array" ref="D1921">IFERROR(INDEX(user_table!$C$2:$C3686,MATCH(C1921,user_table!$B$2:$B3686,0)),"")
</f>
        <v>Lina Kurniawan</v>
      </c>
      <c r="E1921" s="6" t="str">
        <f t="array" ref="E1921">IFERROR(INDEX(user_table!$E$2:$E3686,MATCH(C1921,user_table!$B$2:$B3686,0)),"")
</f>
        <v>2, 2</v>
      </c>
      <c r="F1921" s="6" t="str">
        <f t="shared" si="2"/>
        <v>164516168</v>
      </c>
      <c r="G1921" s="16">
        <v>1.0</v>
      </c>
      <c r="H1921" s="17">
        <v>45035.0</v>
      </c>
      <c r="I1921" s="18" t="s">
        <v>1892</v>
      </c>
    </row>
    <row r="1922">
      <c r="A1922" s="5" t="str">
        <f t="array" ref="A1922">INDEX(event_table!$A$2:$A$69, RANDBETWEEN(1, COUNTA(event_table!$A$2:$A$69)))</f>
        <v>113</v>
      </c>
      <c r="B1922" s="6">
        <f t="array" ref="B1922">IFERROR(INDEX(event_table!$E$1:$E3686,MATCH(A1922,event_table!$A$1:$A3686,0)),"")
</f>
        <v>1</v>
      </c>
      <c r="C1922" s="7">
        <f t="shared" si="1"/>
        <v>77</v>
      </c>
      <c r="D1922" s="6" t="str">
        <f t="array" ref="D1922">IFERROR(INDEX(user_table!$C$2:$C3686,MATCH(C1922,user_table!$B$2:$B3686,0)),"")
</f>
        <v>Desi Wijaya</v>
      </c>
      <c r="E1922" s="6" t="str">
        <f t="array" ref="E1922">IFERROR(INDEX(user_table!$E$2:$E3686,MATCH(C1922,user_table!$B$2:$B3686,0)),"")
</f>
        <v>3, 1</v>
      </c>
      <c r="F1922" s="6" t="str">
        <f t="shared" si="2"/>
        <v>1131177</v>
      </c>
      <c r="G1922" s="16">
        <v>1.0</v>
      </c>
      <c r="H1922" s="17">
        <v>45019.0</v>
      </c>
      <c r="I1922" s="18" t="s">
        <v>1893</v>
      </c>
    </row>
    <row r="1923">
      <c r="A1923" s="5" t="str">
        <f t="array" ref="A1923">INDEX(event_table!$A$2:$A$69, RANDBETWEEN(1, COUNTA(event_table!$A$2:$A$69)))</f>
        <v>122</v>
      </c>
      <c r="B1923" s="6">
        <f t="array" ref="B1923">IFERROR(INDEX(event_table!$E$1:$E3686,MATCH(A1923,event_table!$A$1:$A3686,0)),"")
</f>
        <v>2</v>
      </c>
      <c r="C1923" s="7">
        <f t="shared" si="1"/>
        <v>171</v>
      </c>
      <c r="D1923" s="6" t="str">
        <f t="array" ref="D1923">IFERROR(INDEX(user_table!$C$2:$C3686,MATCH(C1923,user_table!$B$2:$B3686,0)),"")
</f>
        <v>Andi Santoso</v>
      </c>
      <c r="E1923" s="6" t="str">
        <f t="array" ref="E1923">IFERROR(INDEX(user_table!$E$2:$E3686,MATCH(C1923,user_table!$B$2:$B3686,0)),"")
</f>
        <v>4, 3</v>
      </c>
      <c r="F1923" s="6" t="str">
        <f t="shared" si="2"/>
        <v>12252171</v>
      </c>
      <c r="G1923" s="16">
        <v>5.0</v>
      </c>
      <c r="H1923" s="17">
        <v>44738.0</v>
      </c>
      <c r="I1923" s="18" t="s">
        <v>1894</v>
      </c>
    </row>
    <row r="1924">
      <c r="A1924" s="5" t="str">
        <f t="array" ref="A1924">INDEX(event_table!$A$2:$A$69, RANDBETWEEN(1, COUNTA(event_table!$A$2:$A$69)))</f>
        <v>1424</v>
      </c>
      <c r="B1924" s="6">
        <f t="array" ref="B1924">IFERROR(INDEX(event_table!$E$1:$E3686,MATCH(A1924,event_table!$A$1:$A3686,0)),"")
</f>
        <v>4</v>
      </c>
      <c r="C1924" s="7">
        <f t="shared" si="1"/>
        <v>186</v>
      </c>
      <c r="D1924" s="6" t="str">
        <f t="array" ref="D1924">IFERROR(INDEX(user_table!$C$2:$C3686,MATCH(C1924,user_table!$B$2:$B3686,0)),"")
</f>
        <v>Budi Wijaya</v>
      </c>
      <c r="E1924" s="6" t="str">
        <f t="array" ref="E1924">IFERROR(INDEX(user_table!$E$2:$E3686,MATCH(C1924,user_table!$B$2:$B3686,0)),"")
</f>
        <v>1, 4</v>
      </c>
      <c r="F1924" s="6" t="str">
        <f t="shared" si="2"/>
        <v>142454186</v>
      </c>
      <c r="G1924" s="16">
        <v>5.0</v>
      </c>
      <c r="H1924" s="17">
        <v>44733.0</v>
      </c>
      <c r="I1924" s="18" t="s">
        <v>1895</v>
      </c>
    </row>
    <row r="1925">
      <c r="A1925" s="5" t="str">
        <f t="array" ref="A1925">INDEX(event_table!$A$2:$A$69, RANDBETWEEN(1, COUNTA(event_table!$A$2:$A$69)))</f>
        <v>1422</v>
      </c>
      <c r="B1925" s="6">
        <f t="array" ref="B1925">IFERROR(INDEX(event_table!$E$1:$E3686,MATCH(A1925,event_table!$A$1:$A3686,0)),"")
</f>
        <v>4</v>
      </c>
      <c r="C1925" s="7">
        <f t="shared" si="1"/>
        <v>196</v>
      </c>
      <c r="D1925" s="6" t="str">
        <f t="array" ref="D1925">IFERROR(INDEX(user_table!$C$2:$C3686,MATCH(C1925,user_table!$B$2:$B3686,0)),"")
</f>
        <v>Dewi Susanto</v>
      </c>
      <c r="E1925" s="6" t="str">
        <f t="array" ref="E1925">IFERROR(INDEX(user_table!$E$2:$E3686,MATCH(C1925,user_table!$B$2:$B3686,0)),"")
</f>
        <v>2, 1</v>
      </c>
      <c r="F1925" s="6" t="str">
        <f t="shared" si="2"/>
        <v>142254196</v>
      </c>
      <c r="G1925" s="16">
        <v>5.0</v>
      </c>
      <c r="H1925" s="17">
        <v>44733.0</v>
      </c>
      <c r="I1925" s="18" t="s">
        <v>1896</v>
      </c>
    </row>
    <row r="1926">
      <c r="A1926" s="5" t="str">
        <f t="array" ref="A1926">INDEX(event_table!$A$2:$A$69, RANDBETWEEN(1, COUNTA(event_table!$A$2:$A$69)))</f>
        <v>1332</v>
      </c>
      <c r="B1926" s="6">
        <f t="array" ref="B1926">IFERROR(INDEX(event_table!$E$1:$E3686,MATCH(A1926,event_table!$A$1:$A3686,0)),"")
</f>
        <v>3</v>
      </c>
      <c r="C1926" s="7">
        <f t="shared" si="1"/>
        <v>188</v>
      </c>
      <c r="D1926" s="6" t="str">
        <f t="array" ref="D1926">IFERROR(INDEX(user_table!$C$2:$C3686,MATCH(C1926,user_table!$B$2:$B3686,0)),"")
</f>
        <v>Siti Setiawan</v>
      </c>
      <c r="E1926" s="6" t="str">
        <f t="array" ref="E1926">IFERROR(INDEX(user_table!$E$2:$E3686,MATCH(C1926,user_table!$B$2:$B3686,0)),"")
</f>
        <v>6, 6</v>
      </c>
      <c r="F1926" s="6" t="str">
        <f t="shared" si="2"/>
        <v>133253188</v>
      </c>
      <c r="G1926" s="16">
        <v>5.0</v>
      </c>
      <c r="H1926" s="17">
        <v>44724.0</v>
      </c>
      <c r="I1926" s="18" t="s">
        <v>1897</v>
      </c>
    </row>
    <row r="1927">
      <c r="A1927" s="5" t="str">
        <f t="array" ref="A1927">INDEX(event_table!$A$2:$A$69, RANDBETWEEN(1, COUNTA(event_table!$A$2:$A$69)))</f>
        <v>1638</v>
      </c>
      <c r="B1927" s="6">
        <f t="array" ref="B1927">IFERROR(INDEX(event_table!$E$1:$E3686,MATCH(A1927,event_table!$A$1:$A3686,0)),"")
</f>
        <v>6</v>
      </c>
      <c r="C1927" s="7">
        <f t="shared" si="1"/>
        <v>80</v>
      </c>
      <c r="D1927" s="6" t="str">
        <f t="array" ref="D1927">IFERROR(INDEX(user_table!$C$2:$C3686,MATCH(C1927,user_table!$B$2:$B3686,0)),"")
</f>
        <v>Sinta Susanto</v>
      </c>
      <c r="E1927" s="6" t="str">
        <f t="array" ref="E1927">IFERROR(INDEX(user_table!$E$2:$E3686,MATCH(C1927,user_table!$B$2:$B3686,0)),"")
</f>
        <v>5, 2</v>
      </c>
      <c r="F1927" s="6" t="str">
        <f t="shared" si="2"/>
        <v>16385680</v>
      </c>
      <c r="G1927" s="16">
        <v>5.0</v>
      </c>
      <c r="H1927" s="17">
        <v>44716.0</v>
      </c>
      <c r="I1927" s="18" t="s">
        <v>1898</v>
      </c>
    </row>
    <row r="1928">
      <c r="A1928" s="5" t="str">
        <f t="array" ref="A1928">INDEX(event_table!$A$2:$A$69, RANDBETWEEN(1, COUNTA(event_table!$A$2:$A$69)))</f>
        <v>1638</v>
      </c>
      <c r="B1928" s="6">
        <f t="array" ref="B1928">IFERROR(INDEX(event_table!$E$1:$E3686,MATCH(A1928,event_table!$A$1:$A3686,0)),"")
</f>
        <v>6</v>
      </c>
      <c r="C1928" s="7">
        <f t="shared" si="1"/>
        <v>87</v>
      </c>
      <c r="D1928" s="6" t="str">
        <f t="array" ref="D1928">IFERROR(INDEX(user_table!$C$2:$C3686,MATCH(C1928,user_table!$B$2:$B3686,0)),"")
</f>
        <v>Budi Setiawan</v>
      </c>
      <c r="E1928" s="6" t="str">
        <f t="array" ref="E1928">IFERROR(INDEX(user_table!$E$2:$E3686,MATCH(C1928,user_table!$B$2:$B3686,0)),"")
</f>
        <v>3, 5</v>
      </c>
      <c r="F1928" s="6" t="str">
        <f t="shared" si="2"/>
        <v>16385687</v>
      </c>
      <c r="G1928" s="16">
        <v>5.0</v>
      </c>
      <c r="H1928" s="17">
        <v>44697.0</v>
      </c>
      <c r="I1928" s="18" t="s">
        <v>1899</v>
      </c>
    </row>
    <row r="1929">
      <c r="A1929" s="5" t="str">
        <f t="array" ref="A1929">INDEX(event_table!$A$2:$A$69, RANDBETWEEN(1, COUNTA(event_table!$A$2:$A$69)))</f>
        <v>3163</v>
      </c>
      <c r="B1929" s="6">
        <f t="array" ref="B1929">IFERROR(INDEX(event_table!$E$1:$E3686,MATCH(A1929,event_table!$A$1:$A3686,0)),"")
</f>
        <v>1</v>
      </c>
      <c r="C1929" s="7">
        <f t="shared" si="1"/>
        <v>21</v>
      </c>
      <c r="D1929" s="6" t="str">
        <f t="array" ref="D1929">IFERROR(INDEX(user_table!$C$2:$C3686,MATCH(C1929,user_table!$B$2:$B3686,0)),"")
</f>
        <v>Budi Santoso</v>
      </c>
      <c r="E1929" s="6" t="str">
        <f t="array" ref="E1929">IFERROR(INDEX(user_table!$E$2:$E3686,MATCH(C1929,user_table!$B$2:$B3686,0)),"")
</f>
        <v>6, 1</v>
      </c>
      <c r="F1929" s="6" t="str">
        <f t="shared" si="2"/>
        <v>31635121</v>
      </c>
      <c r="G1929" s="16">
        <v>5.0</v>
      </c>
      <c r="H1929" s="17">
        <v>44691.0</v>
      </c>
      <c r="I1929" s="18" t="s">
        <v>1900</v>
      </c>
    </row>
    <row r="1930">
      <c r="A1930" s="5" t="str">
        <f t="array" ref="A1930">INDEX(event_table!$A$2:$A$69, RANDBETWEEN(1, COUNTA(event_table!$A$2:$A$69)))</f>
        <v>1649</v>
      </c>
      <c r="B1930" s="6">
        <f t="array" ref="B1930">IFERROR(INDEX(event_table!$E$1:$E3686,MATCH(A1930,event_table!$A$1:$A3686,0)),"")
</f>
        <v>6</v>
      </c>
      <c r="C1930" s="7">
        <f t="shared" si="1"/>
        <v>8</v>
      </c>
      <c r="D1930" s="6" t="str">
        <f t="array" ref="D1930">IFERROR(INDEX(user_table!$C$2:$C3686,MATCH(C1930,user_table!$B$2:$B3686,0)),"")
</f>
        <v>Bambang Kurniawan</v>
      </c>
      <c r="E1930" s="6" t="str">
        <f t="array" ref="E1930">IFERROR(INDEX(user_table!$E$2:$E3686,MATCH(C1930,user_table!$B$2:$B3686,0)),"")
</f>
        <v>2, 1</v>
      </c>
      <c r="F1930" s="6" t="str">
        <f t="shared" si="2"/>
        <v>1649568</v>
      </c>
      <c r="G1930" s="16">
        <v>5.0</v>
      </c>
      <c r="H1930" s="17">
        <v>44689.0</v>
      </c>
      <c r="I1930" s="18" t="s">
        <v>1901</v>
      </c>
    </row>
    <row r="1931">
      <c r="A1931" s="5" t="str">
        <f t="array" ref="A1931">INDEX(event_table!$A$2:$A$69, RANDBETWEEN(1, COUNTA(event_table!$A$2:$A$69)))</f>
        <v>1651</v>
      </c>
      <c r="B1931" s="6">
        <f t="array" ref="B1931">IFERROR(INDEX(event_table!$E$1:$E3686,MATCH(A1931,event_table!$A$1:$A3686,0)),"")
</f>
        <v>6</v>
      </c>
      <c r="C1931" s="7">
        <f t="shared" si="1"/>
        <v>176</v>
      </c>
      <c r="D1931" s="6" t="str">
        <f t="array" ref="D1931">IFERROR(INDEX(user_table!$C$2:$C3686,MATCH(C1931,user_table!$B$2:$B3686,0)),"")
</f>
        <v>Ani Hartono</v>
      </c>
      <c r="E1931" s="6" t="str">
        <f t="array" ref="E1931">IFERROR(INDEX(user_table!$E$2:$E3686,MATCH(C1931,user_table!$B$2:$B3686,0)),"")
</f>
        <v>2, 3</v>
      </c>
      <c r="F1931" s="6" t="str">
        <f t="shared" si="2"/>
        <v>165156176</v>
      </c>
      <c r="G1931" s="16">
        <v>5.0</v>
      </c>
      <c r="H1931" s="17">
        <v>45232.0</v>
      </c>
      <c r="I1931" s="18" t="s">
        <v>1902</v>
      </c>
    </row>
    <row r="1932">
      <c r="A1932" s="5" t="str">
        <f t="array" ref="A1932">INDEX(event_table!$A$2:$A$69, RANDBETWEEN(1, COUNTA(event_table!$A$2:$A$69)))</f>
        <v>117</v>
      </c>
      <c r="B1932" s="6">
        <f t="array" ref="B1932">IFERROR(INDEX(event_table!$E$1:$E3686,MATCH(A1932,event_table!$A$1:$A3686,0)),"")
</f>
        <v>1</v>
      </c>
      <c r="C1932" s="7">
        <f t="shared" si="1"/>
        <v>17</v>
      </c>
      <c r="D1932" s="6" t="str">
        <f t="array" ref="D1932">IFERROR(INDEX(user_table!$C$2:$C3686,MATCH(C1932,user_table!$B$2:$B3686,0)),"")
</f>
        <v>Fajar Wijaya</v>
      </c>
      <c r="E1932" s="6" t="str">
        <f t="array" ref="E1932">IFERROR(INDEX(user_table!$E$2:$E3686,MATCH(C1932,user_table!$B$2:$B3686,0)),"")
</f>
        <v>1, 1</v>
      </c>
      <c r="F1932" s="6" t="str">
        <f t="shared" si="2"/>
        <v>1175117</v>
      </c>
      <c r="G1932" s="16">
        <v>5.0</v>
      </c>
      <c r="H1932" s="17">
        <v>44894.0</v>
      </c>
      <c r="I1932" s="18" t="s">
        <v>1903</v>
      </c>
    </row>
    <row r="1933">
      <c r="A1933" s="5" t="str">
        <f t="array" ref="A1933">INDEX(event_table!$A$2:$A$69, RANDBETWEEN(1, COUNTA(event_table!$A$2:$A$69)))</f>
        <v>1641</v>
      </c>
      <c r="B1933" s="6">
        <f t="array" ref="B1933">IFERROR(INDEX(event_table!$E$1:$E3686,MATCH(A1933,event_table!$A$1:$A3686,0)),"")
</f>
        <v>6</v>
      </c>
      <c r="C1933" s="7">
        <f t="shared" si="1"/>
        <v>173</v>
      </c>
      <c r="D1933" s="6" t="str">
        <f t="array" ref="D1933">IFERROR(INDEX(user_table!$C$2:$C3686,MATCH(C1933,user_table!$B$2:$B3686,0)),"")
</f>
        <v>Fajar Putri</v>
      </c>
      <c r="E1933" s="6" t="str">
        <f t="array" ref="E1933">IFERROR(INDEX(user_table!$E$2:$E3686,MATCH(C1933,user_table!$B$2:$B3686,0)),"")
</f>
        <v>2, 6</v>
      </c>
      <c r="F1933" s="6" t="str">
        <f t="shared" si="2"/>
        <v>164156173</v>
      </c>
      <c r="G1933" s="16">
        <v>5.0</v>
      </c>
      <c r="H1933" s="17">
        <v>44801.0</v>
      </c>
      <c r="I1933" s="18" t="s">
        <v>1904</v>
      </c>
    </row>
    <row r="1934">
      <c r="A1934" s="5" t="str">
        <f t="array" ref="A1934">INDEX(event_table!$A$2:$A$69, RANDBETWEEN(1, COUNTA(event_table!$A$2:$A$69)))</f>
        <v>3170</v>
      </c>
      <c r="B1934" s="6">
        <f t="array" ref="B1934">IFERROR(INDEX(event_table!$E$1:$E3686,MATCH(A1934,event_table!$A$1:$A3686,0)),"")
</f>
        <v>1</v>
      </c>
      <c r="C1934" s="7">
        <f t="shared" si="1"/>
        <v>107</v>
      </c>
      <c r="D1934" s="6" t="str">
        <f t="array" ref="D1934">IFERROR(INDEX(user_table!$C$2:$C3686,MATCH(C1934,user_table!$B$2:$B3686,0)),"")
</f>
        <v>Citra Rahayu</v>
      </c>
      <c r="E1934" s="6" t="str">
        <f t="array" ref="E1934">IFERROR(INDEX(user_table!$E$2:$E3686,MATCH(C1934,user_table!$B$2:$B3686,0)),"")
</f>
        <v>1, 5</v>
      </c>
      <c r="F1934" s="6" t="str">
        <f t="shared" si="2"/>
        <v>317051107</v>
      </c>
      <c r="G1934" s="16">
        <v>5.0</v>
      </c>
      <c r="H1934" s="17">
        <v>44788.0</v>
      </c>
      <c r="I1934" s="18" t="s">
        <v>1905</v>
      </c>
    </row>
    <row r="1935">
      <c r="A1935" s="5" t="str">
        <f t="array" ref="A1935">INDEX(event_table!$A$2:$A$69, RANDBETWEEN(1, COUNTA(event_table!$A$2:$A$69)))</f>
        <v>3356</v>
      </c>
      <c r="B1935" s="6">
        <f t="array" ref="B1935">IFERROR(INDEX(event_table!$E$1:$E3686,MATCH(A1935,event_table!$A$1:$A3686,0)),"")
</f>
        <v>3</v>
      </c>
      <c r="C1935" s="7">
        <f t="shared" si="1"/>
        <v>74</v>
      </c>
      <c r="D1935" s="6" t="str">
        <f t="array" ref="D1935">IFERROR(INDEX(user_table!$C$2:$C3686,MATCH(C1935,user_table!$B$2:$B3686,0)),"")
</f>
        <v>Arif Purnama</v>
      </c>
      <c r="E1935" s="6" t="str">
        <f t="array" ref="E1935">IFERROR(INDEX(user_table!$E$2:$E3686,MATCH(C1935,user_table!$B$2:$B3686,0)),"")
</f>
        <v>3, 2</v>
      </c>
      <c r="F1935" s="6" t="str">
        <f t="shared" si="2"/>
        <v>33565374</v>
      </c>
      <c r="G1935" s="16">
        <v>5.0</v>
      </c>
      <c r="H1935" s="17">
        <v>44759.0</v>
      </c>
      <c r="I1935" s="18" t="s">
        <v>1906</v>
      </c>
    </row>
    <row r="1936">
      <c r="A1936" s="5" t="str">
        <f t="array" ref="A1936">INDEX(event_table!$A$2:$A$69, RANDBETWEEN(1, COUNTA(event_table!$A$2:$A$69)))</f>
        <v>1421</v>
      </c>
      <c r="B1936" s="6">
        <f t="array" ref="B1936">IFERROR(INDEX(event_table!$E$1:$E3686,MATCH(A1936,event_table!$A$1:$A3686,0)),"")
</f>
        <v>4</v>
      </c>
      <c r="C1936" s="7">
        <f t="shared" si="1"/>
        <v>179</v>
      </c>
      <c r="D1936" s="6" t="str">
        <f t="array" ref="D1936">IFERROR(INDEX(user_table!$C$2:$C3686,MATCH(C1936,user_table!$B$2:$B3686,0)),"")
</f>
        <v>Andi Susanto</v>
      </c>
      <c r="E1936" s="6" t="str">
        <f t="array" ref="E1936">IFERROR(INDEX(user_table!$E$2:$E3686,MATCH(C1936,user_table!$B$2:$B3686,0)),"")
</f>
        <v>1, 6</v>
      </c>
      <c r="F1936" s="6" t="str">
        <f t="shared" si="2"/>
        <v>142154179</v>
      </c>
      <c r="G1936" s="16">
        <v>5.0</v>
      </c>
      <c r="H1936" s="17">
        <v>44741.0</v>
      </c>
      <c r="I1936" s="18" t="s">
        <v>1907</v>
      </c>
    </row>
    <row r="1937">
      <c r="A1937" s="5" t="str">
        <f t="array" ref="A1937">INDEX(event_table!$A$2:$A$69, RANDBETWEEN(1, COUNTA(event_table!$A$2:$A$69)))</f>
        <v>3657</v>
      </c>
      <c r="B1937" s="6">
        <f t="array" ref="B1937">IFERROR(INDEX(event_table!$E$1:$E3686,MATCH(A1937,event_table!$A$1:$A3686,0)),"")
</f>
        <v>6</v>
      </c>
      <c r="C1937" s="7">
        <f t="shared" si="1"/>
        <v>82</v>
      </c>
      <c r="D1937" s="6" t="str">
        <f t="array" ref="D1937">IFERROR(INDEX(user_table!$C$2:$C3686,MATCH(C1937,user_table!$B$2:$B3686,0)),"")
</f>
        <v>Fandi Nurhayati</v>
      </c>
      <c r="E1937" s="6" t="str">
        <f t="array" ref="E1937">IFERROR(INDEX(user_table!$E$2:$E3686,MATCH(C1937,user_table!$B$2:$B3686,0)),"")
</f>
        <v>3, 2</v>
      </c>
      <c r="F1937" s="6" t="str">
        <f t="shared" si="2"/>
        <v>36575682</v>
      </c>
      <c r="G1937" s="16">
        <v>5.0</v>
      </c>
      <c r="H1937" s="17">
        <v>44738.0</v>
      </c>
      <c r="I1937" s="18" t="s">
        <v>1908</v>
      </c>
    </row>
    <row r="1938">
      <c r="A1938" s="5" t="str">
        <f t="array" ref="A1938">INDEX(event_table!$A$2:$A$69, RANDBETWEEN(1, COUNTA(event_table!$A$2:$A$69)))</f>
        <v>3168</v>
      </c>
      <c r="B1938" s="6">
        <f t="array" ref="B1938">IFERROR(INDEX(event_table!$E$1:$E3686,MATCH(A1938,event_table!$A$1:$A3686,0)),"")
</f>
        <v>1</v>
      </c>
      <c r="C1938" s="7">
        <f t="shared" si="1"/>
        <v>60</v>
      </c>
      <c r="D1938" s="6" t="str">
        <f t="array" ref="D1938">IFERROR(INDEX(user_table!$C$2:$C3686,MATCH(C1938,user_table!$B$2:$B3686,0)),"")
</f>
        <v>Rudi Septiani</v>
      </c>
      <c r="E1938" s="6" t="str">
        <f t="array" ref="E1938">IFERROR(INDEX(user_table!$E$2:$E3686,MATCH(C1938,user_table!$B$2:$B3686,0)),"")
</f>
        <v>6, 2</v>
      </c>
      <c r="F1938" s="6" t="str">
        <f t="shared" si="2"/>
        <v>31685160</v>
      </c>
      <c r="G1938" s="16">
        <v>5.0</v>
      </c>
      <c r="H1938" s="17">
        <v>44727.0</v>
      </c>
      <c r="I1938" s="18" t="s">
        <v>1909</v>
      </c>
    </row>
    <row r="1939">
      <c r="A1939" s="5" t="str">
        <f t="array" ref="A1939">INDEX(event_table!$A$2:$A$69, RANDBETWEEN(1, COUNTA(event_table!$A$2:$A$69)))</f>
        <v>116</v>
      </c>
      <c r="B1939" s="6">
        <f t="array" ref="B1939">IFERROR(INDEX(event_table!$E$1:$E3686,MATCH(A1939,event_table!$A$1:$A3686,0)),"")
</f>
        <v>1</v>
      </c>
      <c r="C1939" s="7">
        <f t="shared" si="1"/>
        <v>9</v>
      </c>
      <c r="D1939" s="6" t="str">
        <f t="array" ref="D1939">IFERROR(INDEX(user_table!$C$2:$C3686,MATCH(C1939,user_table!$B$2:$B3686,0)),"")
</f>
        <v>Dina Pratama</v>
      </c>
      <c r="E1939" s="6" t="str">
        <f t="array" ref="E1939">IFERROR(INDEX(user_table!$E$2:$E3686,MATCH(C1939,user_table!$B$2:$B3686,0)),"")
</f>
        <v>2, 3</v>
      </c>
      <c r="F1939" s="6" t="str">
        <f t="shared" si="2"/>
        <v>116519</v>
      </c>
      <c r="G1939" s="16">
        <v>5.0</v>
      </c>
      <c r="H1939" s="17">
        <v>44703.0</v>
      </c>
      <c r="I1939" s="18" t="s">
        <v>1910</v>
      </c>
    </row>
    <row r="1940">
      <c r="A1940" s="5" t="str">
        <f t="array" ref="A1940">INDEX(event_table!$A$2:$A$69, RANDBETWEEN(1, COUNTA(event_table!$A$2:$A$69)))</f>
        <v>122</v>
      </c>
      <c r="B1940" s="6">
        <f t="array" ref="B1940">IFERROR(INDEX(event_table!$E$1:$E3686,MATCH(A1940,event_table!$A$1:$A3686,0)),"")
</f>
        <v>2</v>
      </c>
      <c r="C1940" s="7">
        <f t="shared" si="1"/>
        <v>90</v>
      </c>
      <c r="D1940" s="6" t="str">
        <f t="array" ref="D1940">IFERROR(INDEX(user_table!$C$2:$C3686,MATCH(C1940,user_table!$B$2:$B3686,0)),"")
</f>
        <v>Dina Saputra</v>
      </c>
      <c r="E1940" s="6" t="str">
        <f t="array" ref="E1940">IFERROR(INDEX(user_table!$E$2:$E3686,MATCH(C1940,user_table!$B$2:$B3686,0)),"")
</f>
        <v>1, 2</v>
      </c>
      <c r="F1940" s="6" t="str">
        <f t="shared" si="2"/>
        <v>1225290</v>
      </c>
      <c r="G1940" s="16">
        <v>5.0</v>
      </c>
      <c r="H1940" s="17">
        <v>44703.0</v>
      </c>
      <c r="I1940" s="18" t="s">
        <v>1911</v>
      </c>
    </row>
    <row r="1941">
      <c r="A1941" s="5" t="str">
        <f t="array" ref="A1941">INDEX(event_table!$A$2:$A$69, RANDBETWEEN(1, COUNTA(event_table!$A$2:$A$69)))</f>
        <v>3169</v>
      </c>
      <c r="B1941" s="6">
        <f t="array" ref="B1941">IFERROR(INDEX(event_table!$E$1:$E3686,MATCH(A1941,event_table!$A$1:$A3686,0)),"")
</f>
        <v>1</v>
      </c>
      <c r="C1941" s="7">
        <f t="shared" si="1"/>
        <v>173</v>
      </c>
      <c r="D1941" s="6" t="str">
        <f t="array" ref="D1941">IFERROR(INDEX(user_table!$C$2:$C3686,MATCH(C1941,user_table!$B$2:$B3686,0)),"")
</f>
        <v>Fajar Putri</v>
      </c>
      <c r="E1941" s="6" t="str">
        <f t="array" ref="E1941">IFERROR(INDEX(user_table!$E$2:$E3686,MATCH(C1941,user_table!$B$2:$B3686,0)),"")
</f>
        <v>2, 6</v>
      </c>
      <c r="F1941" s="6" t="str">
        <f t="shared" si="2"/>
        <v>316941173</v>
      </c>
      <c r="G1941" s="16">
        <v>4.0</v>
      </c>
      <c r="H1941" s="17">
        <v>45179.0</v>
      </c>
      <c r="I1941" s="18" t="s">
        <v>1912</v>
      </c>
    </row>
    <row r="1942">
      <c r="A1942" s="5" t="str">
        <f t="array" ref="A1942">INDEX(event_table!$A$2:$A$69, RANDBETWEEN(1, COUNTA(event_table!$A$2:$A$69)))</f>
        <v>1637</v>
      </c>
      <c r="B1942" s="6">
        <f t="array" ref="B1942">IFERROR(INDEX(event_table!$E$1:$E3686,MATCH(A1942,event_table!$A$1:$A3686,0)),"")
</f>
        <v>6</v>
      </c>
      <c r="C1942" s="7">
        <f t="shared" si="1"/>
        <v>31</v>
      </c>
      <c r="D1942" s="6" t="str">
        <f t="array" ref="D1942">IFERROR(INDEX(user_table!$C$2:$C3686,MATCH(C1942,user_table!$B$2:$B3686,0)),"")
</f>
        <v>Dian Hidayat</v>
      </c>
      <c r="E1942" s="6" t="str">
        <f t="array" ref="E1942">IFERROR(INDEX(user_table!$E$2:$E3686,MATCH(C1942,user_table!$B$2:$B3686,0)),"")
</f>
        <v>3, 5</v>
      </c>
      <c r="F1942" s="6" t="str">
        <f t="shared" si="2"/>
        <v>16374631</v>
      </c>
      <c r="G1942" s="16">
        <v>4.0</v>
      </c>
      <c r="H1942" s="17">
        <v>44779.0</v>
      </c>
      <c r="I1942" s="18" t="s">
        <v>1913</v>
      </c>
    </row>
    <row r="1943">
      <c r="A1943" s="5" t="str">
        <f t="array" ref="A1943">INDEX(event_table!$A$2:$A$69, RANDBETWEEN(1, COUNTA(event_table!$A$2:$A$69)))</f>
        <v>1647</v>
      </c>
      <c r="B1943" s="6">
        <f t="array" ref="B1943">IFERROR(INDEX(event_table!$E$1:$E3686,MATCH(A1943,event_table!$A$1:$A3686,0)),"")
</f>
        <v>6</v>
      </c>
      <c r="C1943" s="7">
        <f t="shared" si="1"/>
        <v>27</v>
      </c>
      <c r="D1943" s="6" t="str">
        <f t="array" ref="D1943">IFERROR(INDEX(user_table!$C$2:$C3686,MATCH(C1943,user_table!$B$2:$B3686,0)),"")
</f>
        <v>Fandi Purnama</v>
      </c>
      <c r="E1943" s="6" t="str">
        <f t="array" ref="E1943">IFERROR(INDEX(user_table!$E$2:$E3686,MATCH(C1943,user_table!$B$2:$B3686,0)),"")
</f>
        <v>4, 6</v>
      </c>
      <c r="F1943" s="6" t="str">
        <f t="shared" si="2"/>
        <v>16474627</v>
      </c>
      <c r="G1943" s="16">
        <v>4.0</v>
      </c>
      <c r="H1943" s="17">
        <v>45073.0</v>
      </c>
      <c r="I1943" s="18" t="s">
        <v>1914</v>
      </c>
    </row>
    <row r="1944">
      <c r="A1944" s="5" t="str">
        <f t="array" ref="A1944">INDEX(event_table!$A$2:$A$69, RANDBETWEEN(1, COUNTA(event_table!$A$2:$A$69)))</f>
        <v>1416</v>
      </c>
      <c r="B1944" s="6">
        <f t="array" ref="B1944">IFERROR(INDEX(event_table!$E$1:$E3686,MATCH(A1944,event_table!$A$1:$A3686,0)),"")
</f>
        <v>4</v>
      </c>
      <c r="C1944" s="7">
        <f t="shared" si="1"/>
        <v>11</v>
      </c>
      <c r="D1944" s="6" t="str">
        <f t="array" ref="D1944">IFERROR(INDEX(user_table!$C$2:$C3686,MATCH(C1944,user_table!$B$2:$B3686,0)),"")
</f>
        <v>Arif Sari</v>
      </c>
      <c r="E1944" s="6" t="str">
        <f t="array" ref="E1944">IFERROR(INDEX(user_table!$E$2:$E3686,MATCH(C1944,user_table!$B$2:$B3686,0)),"")
</f>
        <v>5, 2</v>
      </c>
      <c r="F1944" s="6" t="str">
        <f t="shared" si="2"/>
        <v>14164411</v>
      </c>
      <c r="G1944" s="16">
        <v>4.0</v>
      </c>
      <c r="H1944" s="17">
        <v>44743.0</v>
      </c>
      <c r="I1944" s="18" t="s">
        <v>1915</v>
      </c>
    </row>
    <row r="1945">
      <c r="A1945" s="5" t="str">
        <f t="array" ref="A1945">INDEX(event_table!$A$2:$A$69, RANDBETWEEN(1, COUNTA(event_table!$A$2:$A$69)))</f>
        <v>1334</v>
      </c>
      <c r="B1945" s="6">
        <f t="array" ref="B1945">IFERROR(INDEX(event_table!$E$1:$E3686,MATCH(A1945,event_table!$A$1:$A3686,0)),"")
</f>
        <v>3</v>
      </c>
      <c r="C1945" s="7">
        <f t="shared" si="1"/>
        <v>149</v>
      </c>
      <c r="D1945" s="6" t="str">
        <f t="array" ref="D1945">IFERROR(INDEX(user_table!$C$2:$C3686,MATCH(C1945,user_table!$B$2:$B3686,0)),"")
</f>
        <v>Dian Setiawan</v>
      </c>
      <c r="E1945" s="6" t="str">
        <f t="array" ref="E1945">IFERROR(INDEX(user_table!$E$2:$E3686,MATCH(C1945,user_table!$B$2:$B3686,0)),"")
</f>
        <v>2, 4</v>
      </c>
      <c r="F1945" s="6" t="str">
        <f t="shared" si="2"/>
        <v>133443149</v>
      </c>
      <c r="G1945" s="16">
        <v>4.0</v>
      </c>
      <c r="H1945" s="17">
        <v>44712.0</v>
      </c>
      <c r="I1945" s="18" t="s">
        <v>1916</v>
      </c>
    </row>
    <row r="1946">
      <c r="A1946" s="5" t="str">
        <f t="array" ref="A1946">INDEX(event_table!$A$2:$A$69, RANDBETWEEN(1, COUNTA(event_table!$A$2:$A$69)))</f>
        <v>122</v>
      </c>
      <c r="B1946" s="6">
        <f t="array" ref="B1946">IFERROR(INDEX(event_table!$E$1:$E3686,MATCH(A1946,event_table!$A$1:$A3686,0)),"")
</f>
        <v>2</v>
      </c>
      <c r="C1946" s="7">
        <f t="shared" si="1"/>
        <v>96</v>
      </c>
      <c r="D1946" s="6" t="str">
        <f t="array" ref="D1946">IFERROR(INDEX(user_table!$C$2:$C3686,MATCH(C1946,user_table!$B$2:$B3686,0)),"")
</f>
        <v>Budi Sari</v>
      </c>
      <c r="E1946" s="6" t="str">
        <f t="array" ref="E1946">IFERROR(INDEX(user_table!$E$2:$E3686,MATCH(C1946,user_table!$B$2:$B3686,0)),"")
</f>
        <v>3, 2</v>
      </c>
      <c r="F1946" s="6" t="str">
        <f t="shared" si="2"/>
        <v>1223296</v>
      </c>
      <c r="G1946" s="16">
        <v>3.0</v>
      </c>
      <c r="H1946" s="17">
        <v>44756.0</v>
      </c>
      <c r="I1946" s="18" t="s">
        <v>1917</v>
      </c>
    </row>
    <row r="1947">
      <c r="A1947" s="5" t="str">
        <f t="array" ref="A1947">INDEX(event_table!$A$2:$A$69, RANDBETWEEN(1, COUNTA(event_table!$A$2:$A$69)))</f>
        <v>1416</v>
      </c>
      <c r="B1947" s="6">
        <f t="array" ref="B1947">IFERROR(INDEX(event_table!$E$1:$E3686,MATCH(A1947,event_table!$A$1:$A3686,0)),"")
</f>
        <v>4</v>
      </c>
      <c r="C1947" s="7">
        <f t="shared" si="1"/>
        <v>181</v>
      </c>
      <c r="D1947" s="6" t="str">
        <f t="array" ref="D1947">IFERROR(INDEX(user_table!$C$2:$C3686,MATCH(C1947,user_table!$B$2:$B3686,0)),"")
</f>
        <v>Andi Hadiwijaya</v>
      </c>
      <c r="E1947" s="6" t="str">
        <f t="array" ref="E1947">IFERROR(INDEX(user_table!$E$2:$E3686,MATCH(C1947,user_table!$B$2:$B3686,0)),"")
</f>
        <v>3, 2</v>
      </c>
      <c r="F1947" s="6" t="str">
        <f t="shared" si="2"/>
        <v>141634181</v>
      </c>
      <c r="G1947" s="16">
        <v>3.0</v>
      </c>
      <c r="H1947" s="17">
        <v>45243.0</v>
      </c>
      <c r="I1947" s="18" t="s">
        <v>1918</v>
      </c>
    </row>
    <row r="1948">
      <c r="A1948" s="5" t="str">
        <f t="array" ref="A1948">INDEX(event_table!$A$2:$A$69, RANDBETWEEN(1, COUNTA(event_table!$A$2:$A$69)))</f>
        <v>1427</v>
      </c>
      <c r="B1948" s="6">
        <f t="array" ref="B1948">IFERROR(INDEX(event_table!$E$1:$E3686,MATCH(A1948,event_table!$A$1:$A3686,0)),"")
</f>
        <v>4</v>
      </c>
      <c r="C1948" s="7">
        <f t="shared" si="1"/>
        <v>93</v>
      </c>
      <c r="D1948" s="6" t="str">
        <f t="array" ref="D1948">IFERROR(INDEX(user_table!$C$2:$C3686,MATCH(C1948,user_table!$B$2:$B3686,0)),"")
</f>
        <v>Hadi Putri</v>
      </c>
      <c r="E1948" s="6" t="str">
        <f t="array" ref="E1948">IFERROR(INDEX(user_table!$E$2:$E3686,MATCH(C1948,user_table!$B$2:$B3686,0)),"")
</f>
        <v>5, 6</v>
      </c>
      <c r="F1948" s="6" t="str">
        <f t="shared" si="2"/>
        <v>14273493</v>
      </c>
      <c r="G1948" s="16">
        <v>3.0</v>
      </c>
      <c r="H1948" s="17">
        <v>45161.0</v>
      </c>
      <c r="I1948" s="18" t="s">
        <v>1919</v>
      </c>
    </row>
    <row r="1949">
      <c r="A1949" s="5" t="str">
        <f t="array" ref="A1949">INDEX(event_table!$A$2:$A$69, RANDBETWEEN(1, COUNTA(event_table!$A$2:$A$69)))</f>
        <v>3162</v>
      </c>
      <c r="B1949" s="6">
        <f t="array" ref="B1949">IFERROR(INDEX(event_table!$E$1:$E3686,MATCH(A1949,event_table!$A$1:$A3686,0)),"")
</f>
        <v>1</v>
      </c>
      <c r="C1949" s="7">
        <f t="shared" si="1"/>
        <v>109</v>
      </c>
      <c r="D1949" s="6" t="str">
        <f t="array" ref="D1949">IFERROR(INDEX(user_table!$C$2:$C3686,MATCH(C1949,user_table!$B$2:$B3686,0)),"")
</f>
        <v>Ani Sari</v>
      </c>
      <c r="E1949" s="6" t="str">
        <f t="array" ref="E1949">IFERROR(INDEX(user_table!$E$2:$E3686,MATCH(C1949,user_table!$B$2:$B3686,0)),"")
</f>
        <v>4, 5</v>
      </c>
      <c r="F1949" s="6" t="str">
        <f t="shared" si="2"/>
        <v>316221109</v>
      </c>
      <c r="G1949" s="16">
        <v>2.0</v>
      </c>
      <c r="H1949" s="17">
        <v>45039.0</v>
      </c>
      <c r="I1949" s="18" t="s">
        <v>1920</v>
      </c>
    </row>
    <row r="1950">
      <c r="A1950" s="5" t="str">
        <f t="array" ref="A1950">INDEX(event_table!$A$2:$A$69, RANDBETWEEN(1, COUNTA(event_table!$A$2:$A$69)))</f>
        <v>117</v>
      </c>
      <c r="B1950" s="6">
        <f t="array" ref="B1950">IFERROR(INDEX(event_table!$E$1:$E3686,MATCH(A1950,event_table!$A$1:$A3686,0)),"")
</f>
        <v>1</v>
      </c>
      <c r="C1950" s="7">
        <f t="shared" si="1"/>
        <v>172</v>
      </c>
      <c r="D1950" s="6" t="str">
        <f t="array" ref="D1950">IFERROR(INDEX(user_table!$C$2:$C3686,MATCH(C1950,user_table!$B$2:$B3686,0)),"")
</f>
        <v>Dian Kurniawan</v>
      </c>
      <c r="E1950" s="6" t="str">
        <f t="array" ref="E1950">IFERROR(INDEX(user_table!$E$2:$E3686,MATCH(C1950,user_table!$B$2:$B3686,0)),"")
</f>
        <v>1, 2</v>
      </c>
      <c r="F1950" s="6" t="str">
        <f t="shared" si="2"/>
        <v>11721172</v>
      </c>
      <c r="G1950" s="16">
        <v>2.0</v>
      </c>
      <c r="H1950" s="17">
        <v>45150.0</v>
      </c>
      <c r="I1950" s="18" t="s">
        <v>1921</v>
      </c>
    </row>
    <row r="1951">
      <c r="A1951" s="5" t="str">
        <f t="array" ref="A1951">INDEX(event_table!$A$2:$A$69, RANDBETWEEN(1, COUNTA(event_table!$A$2:$A$69)))</f>
        <v>1212</v>
      </c>
      <c r="B1951" s="6">
        <f t="array" ref="B1951">IFERROR(INDEX(event_table!$E$1:$E3686,MATCH(A1951,event_table!$A$1:$A3686,0)),"")
</f>
        <v>2</v>
      </c>
      <c r="C1951" s="7">
        <f t="shared" si="1"/>
        <v>143</v>
      </c>
      <c r="D1951" s="6" t="str">
        <f t="array" ref="D1951">IFERROR(INDEX(user_table!$C$2:$C3686,MATCH(C1951,user_table!$B$2:$B3686,0)),"")
</f>
        <v>Agus Putri</v>
      </c>
      <c r="E1951" s="6" t="str">
        <f t="array" ref="E1951">IFERROR(INDEX(user_table!$E$2:$E3686,MATCH(C1951,user_table!$B$2:$B3686,0)),"")
</f>
        <v>3, 3</v>
      </c>
      <c r="F1951" s="6" t="str">
        <f t="shared" si="2"/>
        <v>121222143</v>
      </c>
      <c r="G1951" s="16">
        <v>2.0</v>
      </c>
      <c r="H1951" s="17">
        <v>45051.0</v>
      </c>
      <c r="I1951" s="18" t="s">
        <v>1922</v>
      </c>
    </row>
    <row r="1952">
      <c r="A1952" s="5" t="str">
        <f t="array" ref="A1952">INDEX(event_table!$A$2:$A$69, RANDBETWEEN(1, COUNTA(event_table!$A$2:$A$69)))</f>
        <v>1421</v>
      </c>
      <c r="B1952" s="6">
        <f t="array" ref="B1952">IFERROR(INDEX(event_table!$E$1:$E3686,MATCH(A1952,event_table!$A$1:$A3686,0)),"")
</f>
        <v>4</v>
      </c>
      <c r="C1952" s="7">
        <f t="shared" si="1"/>
        <v>194</v>
      </c>
      <c r="D1952" s="6" t="str">
        <f t="array" ref="D1952">IFERROR(INDEX(user_table!$C$2:$C3686,MATCH(C1952,user_table!$B$2:$B3686,0)),"")
</f>
        <v>Andi Putri</v>
      </c>
      <c r="E1952" s="6" t="str">
        <f t="array" ref="E1952">IFERROR(INDEX(user_table!$E$2:$E3686,MATCH(C1952,user_table!$B$2:$B3686,0)),"")
</f>
        <v>4, 4</v>
      </c>
      <c r="F1952" s="6" t="str">
        <f t="shared" si="2"/>
        <v>142124194</v>
      </c>
      <c r="G1952" s="16">
        <v>2.0</v>
      </c>
      <c r="H1952" s="17">
        <v>44974.0</v>
      </c>
      <c r="I1952" s="18" t="s">
        <v>1923</v>
      </c>
    </row>
    <row r="1953">
      <c r="A1953" s="5" t="str">
        <f t="array" ref="A1953">INDEX(event_table!$A$2:$A$69, RANDBETWEEN(1, COUNTA(event_table!$A$2:$A$69)))</f>
        <v>1335</v>
      </c>
      <c r="B1953" s="6">
        <f t="array" ref="B1953">IFERROR(INDEX(event_table!$E$1:$E3686,MATCH(A1953,event_table!$A$1:$A3686,0)),"")
</f>
        <v>3</v>
      </c>
      <c r="C1953" s="7">
        <f t="shared" si="1"/>
        <v>175</v>
      </c>
      <c r="D1953" s="6" t="str">
        <f t="array" ref="D1953">IFERROR(INDEX(user_table!$C$2:$C3686,MATCH(C1953,user_table!$B$2:$B3686,0)),"")
</f>
        <v>Siti Septiani</v>
      </c>
      <c r="E1953" s="6" t="str">
        <f t="array" ref="E1953">IFERROR(INDEX(user_table!$E$2:$E3686,MATCH(C1953,user_table!$B$2:$B3686,0)),"")
</f>
        <v>2, 5</v>
      </c>
      <c r="F1953" s="6" t="str">
        <f t="shared" si="2"/>
        <v>133523175</v>
      </c>
      <c r="G1953" s="16">
        <v>2.0</v>
      </c>
      <c r="H1953" s="17">
        <v>44970.0</v>
      </c>
      <c r="I1953" s="18" t="s">
        <v>1924</v>
      </c>
    </row>
    <row r="1954">
      <c r="A1954" s="5" t="str">
        <f t="array" ref="A1954">INDEX(event_table!$A$2:$A$69, RANDBETWEEN(1, COUNTA(event_table!$A$2:$A$69)))</f>
        <v>3658</v>
      </c>
      <c r="B1954" s="6">
        <f t="array" ref="B1954">IFERROR(INDEX(event_table!$E$1:$E3686,MATCH(A1954,event_table!$A$1:$A3686,0)),"")
</f>
        <v>6</v>
      </c>
      <c r="C1954" s="7">
        <f t="shared" si="1"/>
        <v>36</v>
      </c>
      <c r="D1954" s="6" t="str">
        <f t="array" ref="D1954">IFERROR(INDEX(user_table!$C$2:$C3686,MATCH(C1954,user_table!$B$2:$B3686,0)),"")
</f>
        <v>Arif Susanto</v>
      </c>
      <c r="E1954" s="6" t="str">
        <f t="array" ref="E1954">IFERROR(INDEX(user_table!$E$2:$E3686,MATCH(C1954,user_table!$B$2:$B3686,0)),"")
</f>
        <v>3, 5</v>
      </c>
      <c r="F1954" s="6" t="str">
        <f t="shared" si="2"/>
        <v>36582636</v>
      </c>
      <c r="G1954" s="16">
        <v>2.0</v>
      </c>
      <c r="H1954" s="17">
        <v>44948.0</v>
      </c>
      <c r="I1954" s="18" t="s">
        <v>1925</v>
      </c>
    </row>
    <row r="1955">
      <c r="A1955" s="5" t="str">
        <f t="array" ref="A1955">INDEX(event_table!$A$2:$A$69, RANDBETWEEN(1, COUNTA(event_table!$A$2:$A$69)))</f>
        <v>1334</v>
      </c>
      <c r="B1955" s="6">
        <f t="array" ref="B1955">IFERROR(INDEX(event_table!$E$1:$E3686,MATCH(A1955,event_table!$A$1:$A3686,0)),"")
</f>
        <v>3</v>
      </c>
      <c r="C1955" s="7">
        <f t="shared" si="1"/>
        <v>35</v>
      </c>
      <c r="D1955" s="6" t="str">
        <f t="array" ref="D1955">IFERROR(INDEX(user_table!$C$2:$C3686,MATCH(C1955,user_table!$B$2:$B3686,0)),"")
</f>
        <v>Maya Nugroho</v>
      </c>
      <c r="E1955" s="6" t="str">
        <f t="array" ref="E1955">IFERROR(INDEX(user_table!$E$2:$E3686,MATCH(C1955,user_table!$B$2:$B3686,0)),"")
</f>
        <v>6, 2</v>
      </c>
      <c r="F1955" s="6" t="str">
        <f t="shared" si="2"/>
        <v>13342335</v>
      </c>
      <c r="G1955" s="16">
        <v>2.0</v>
      </c>
      <c r="H1955" s="17">
        <v>44753.0</v>
      </c>
      <c r="I1955" s="18" t="s">
        <v>1926</v>
      </c>
    </row>
    <row r="1956">
      <c r="A1956" s="5" t="str">
        <f t="array" ref="A1956">INDEX(event_table!$A$2:$A$69, RANDBETWEEN(1, COUNTA(event_table!$A$2:$A$69)))</f>
        <v>3168</v>
      </c>
      <c r="B1956" s="6">
        <f t="array" ref="B1956">IFERROR(INDEX(event_table!$E$1:$E3686,MATCH(A1956,event_table!$A$1:$A3686,0)),"")
</f>
        <v>1</v>
      </c>
      <c r="C1956" s="7">
        <f t="shared" si="1"/>
        <v>133</v>
      </c>
      <c r="D1956" s="6" t="str">
        <f t="array" ref="D1956">IFERROR(INDEX(user_table!$C$2:$C3686,MATCH(C1956,user_table!$B$2:$B3686,0)),"")
</f>
        <v>Dewi Sari</v>
      </c>
      <c r="E1956" s="6" t="str">
        <f t="array" ref="E1956">IFERROR(INDEX(user_table!$E$2:$E3686,MATCH(C1956,user_table!$B$2:$B3686,0)),"")
</f>
        <v>6, 5</v>
      </c>
      <c r="F1956" s="6" t="str">
        <f t="shared" si="2"/>
        <v>316821133</v>
      </c>
      <c r="G1956" s="16">
        <v>2.0</v>
      </c>
      <c r="H1956" s="17">
        <v>45228.0</v>
      </c>
      <c r="I1956" s="18" t="s">
        <v>1927</v>
      </c>
    </row>
    <row r="1957">
      <c r="A1957" s="5" t="str">
        <f t="array" ref="A1957">INDEX(event_table!$A$2:$A$69, RANDBETWEEN(1, COUNTA(event_table!$A$2:$A$69)))</f>
        <v>3163</v>
      </c>
      <c r="B1957" s="6">
        <f t="array" ref="B1957">IFERROR(INDEX(event_table!$E$1:$E3686,MATCH(A1957,event_table!$A$1:$A3686,0)),"")
</f>
        <v>1</v>
      </c>
      <c r="C1957" s="7">
        <f t="shared" si="1"/>
        <v>8</v>
      </c>
      <c r="D1957" s="6" t="str">
        <f t="array" ref="D1957">IFERROR(INDEX(user_table!$C$2:$C3686,MATCH(C1957,user_table!$B$2:$B3686,0)),"")
</f>
        <v>Bambang Kurniawan</v>
      </c>
      <c r="E1957" s="6" t="str">
        <f t="array" ref="E1957">IFERROR(INDEX(user_table!$E$2:$E3686,MATCH(C1957,user_table!$B$2:$B3686,0)),"")
</f>
        <v>2, 1</v>
      </c>
      <c r="F1957" s="6" t="str">
        <f t="shared" si="2"/>
        <v>3163218</v>
      </c>
      <c r="G1957" s="16">
        <v>2.0</v>
      </c>
      <c r="H1957" s="17">
        <v>45119.0</v>
      </c>
      <c r="I1957" s="18" t="s">
        <v>1928</v>
      </c>
    </row>
    <row r="1958">
      <c r="A1958" s="5" t="str">
        <f t="array" ref="A1958">INDEX(event_table!$A$2:$A$69, RANDBETWEEN(1, COUNTA(event_table!$A$2:$A$69)))</f>
        <v>3167</v>
      </c>
      <c r="B1958" s="6">
        <f t="array" ref="B1958">IFERROR(INDEX(event_table!$E$1:$E3686,MATCH(A1958,event_table!$A$1:$A3686,0)),"")
</f>
        <v>1</v>
      </c>
      <c r="C1958" s="7">
        <f t="shared" si="1"/>
        <v>99</v>
      </c>
      <c r="D1958" s="6" t="str">
        <f t="array" ref="D1958">IFERROR(INDEX(user_table!$C$2:$C3686,MATCH(C1958,user_table!$B$2:$B3686,0)),"")
</f>
        <v>Maya Nugroho</v>
      </c>
      <c r="E1958" s="6" t="str">
        <f t="array" ref="E1958">IFERROR(INDEX(user_table!$E$2:$E3686,MATCH(C1958,user_table!$B$2:$B3686,0)),"")
</f>
        <v>6, 1</v>
      </c>
      <c r="F1958" s="6" t="str">
        <f t="shared" si="2"/>
        <v>31672199</v>
      </c>
      <c r="G1958" s="16">
        <v>2.0</v>
      </c>
      <c r="H1958" s="17">
        <v>45072.0</v>
      </c>
      <c r="I1958" s="18" t="s">
        <v>1929</v>
      </c>
    </row>
    <row r="1959">
      <c r="A1959" s="5" t="str">
        <f t="array" ref="A1959">INDEX(event_table!$A$2:$A$69, RANDBETWEEN(1, COUNTA(event_table!$A$2:$A$69)))</f>
        <v>1651</v>
      </c>
      <c r="B1959" s="6">
        <f t="array" ref="B1959">IFERROR(INDEX(event_table!$E$1:$E3686,MATCH(A1959,event_table!$A$1:$A3686,0)),"")
</f>
        <v>6</v>
      </c>
      <c r="C1959" s="7">
        <f t="shared" si="1"/>
        <v>172</v>
      </c>
      <c r="D1959" s="6" t="str">
        <f t="array" ref="D1959">IFERROR(INDEX(user_table!$C$2:$C3686,MATCH(C1959,user_table!$B$2:$B3686,0)),"")
</f>
        <v>Dian Kurniawan</v>
      </c>
      <c r="E1959" s="6" t="str">
        <f t="array" ref="E1959">IFERROR(INDEX(user_table!$E$2:$E3686,MATCH(C1959,user_table!$B$2:$B3686,0)),"")
</f>
        <v>1, 2</v>
      </c>
      <c r="F1959" s="6" t="str">
        <f t="shared" si="2"/>
        <v>165126172</v>
      </c>
      <c r="G1959" s="16">
        <v>2.0</v>
      </c>
      <c r="H1959" s="17">
        <v>45048.0</v>
      </c>
      <c r="I1959" s="18" t="s">
        <v>1930</v>
      </c>
    </row>
    <row r="1960">
      <c r="A1960" s="5" t="str">
        <f t="array" ref="A1960">INDEX(event_table!$A$2:$A$69, RANDBETWEEN(1, COUNTA(event_table!$A$2:$A$69)))</f>
        <v>1642</v>
      </c>
      <c r="B1960" s="6">
        <f t="array" ref="B1960">IFERROR(INDEX(event_table!$E$1:$E3686,MATCH(A1960,event_table!$A$1:$A3686,0)),"")
</f>
        <v>6</v>
      </c>
      <c r="C1960" s="7">
        <f t="shared" si="1"/>
        <v>70</v>
      </c>
      <c r="D1960" s="6" t="str">
        <f t="array" ref="D1960">IFERROR(INDEX(user_table!$C$2:$C3686,MATCH(C1960,user_table!$B$2:$B3686,0)),"")
</f>
        <v>Fandi Hadiwijaya</v>
      </c>
      <c r="E1960" s="6" t="str">
        <f t="array" ref="E1960">IFERROR(INDEX(user_table!$E$2:$E3686,MATCH(C1960,user_table!$B$2:$B3686,0)),"")
</f>
        <v>1, 4</v>
      </c>
      <c r="F1960" s="6" t="str">
        <f t="shared" si="2"/>
        <v>16421670</v>
      </c>
      <c r="G1960" s="16">
        <v>1.0</v>
      </c>
      <c r="H1960" s="17">
        <v>45200.0</v>
      </c>
      <c r="I1960" s="18" t="s">
        <v>1931</v>
      </c>
    </row>
    <row r="1961">
      <c r="A1961" s="5" t="str">
        <f t="array" ref="A1961">INDEX(event_table!$A$2:$A$69, RANDBETWEEN(1, COUNTA(event_table!$A$2:$A$69)))</f>
        <v>3658</v>
      </c>
      <c r="B1961" s="6">
        <f t="array" ref="B1961">IFERROR(INDEX(event_table!$E$1:$E3686,MATCH(A1961,event_table!$A$1:$A3686,0)),"")
</f>
        <v>6</v>
      </c>
      <c r="C1961" s="7">
        <f t="shared" si="1"/>
        <v>173</v>
      </c>
      <c r="D1961" s="6" t="str">
        <f t="array" ref="D1961">IFERROR(INDEX(user_table!$C$2:$C3686,MATCH(C1961,user_table!$B$2:$B3686,0)),"")
</f>
        <v>Fajar Putri</v>
      </c>
      <c r="E1961" s="6" t="str">
        <f t="array" ref="E1961">IFERROR(INDEX(user_table!$E$2:$E3686,MATCH(C1961,user_table!$B$2:$B3686,0)),"")
</f>
        <v>2, 6</v>
      </c>
      <c r="F1961" s="6" t="str">
        <f t="shared" si="2"/>
        <v>365816173</v>
      </c>
      <c r="G1961" s="16">
        <v>1.0</v>
      </c>
      <c r="H1961" s="17">
        <v>45145.0</v>
      </c>
      <c r="I1961" s="18" t="s">
        <v>1932</v>
      </c>
    </row>
    <row r="1962">
      <c r="A1962" s="5" t="str">
        <f t="array" ref="A1962">INDEX(event_table!$A$2:$A$69, RANDBETWEEN(1, COUNTA(event_table!$A$2:$A$69)))</f>
        <v>3167</v>
      </c>
      <c r="B1962" s="6">
        <f t="array" ref="B1962">IFERROR(INDEX(event_table!$E$1:$E3686,MATCH(A1962,event_table!$A$1:$A3686,0)),"")
</f>
        <v>1</v>
      </c>
      <c r="C1962" s="7">
        <f t="shared" si="1"/>
        <v>9</v>
      </c>
      <c r="D1962" s="6" t="str">
        <f t="array" ref="D1962">IFERROR(INDEX(user_table!$C$2:$C3686,MATCH(C1962,user_table!$B$2:$B3686,0)),"")
</f>
        <v>Dina Pratama</v>
      </c>
      <c r="E1962" s="6" t="str">
        <f t="array" ref="E1962">IFERROR(INDEX(user_table!$E$2:$E3686,MATCH(C1962,user_table!$B$2:$B3686,0)),"")
</f>
        <v>2, 3</v>
      </c>
      <c r="F1962" s="6" t="str">
        <f t="shared" si="2"/>
        <v>3167119</v>
      </c>
      <c r="G1962" s="16">
        <v>1.0</v>
      </c>
      <c r="H1962" s="17">
        <v>45245.0</v>
      </c>
      <c r="I1962" s="18" t="s">
        <v>1933</v>
      </c>
    </row>
    <row r="1963">
      <c r="A1963" s="5" t="str">
        <f t="array" ref="A1963">INDEX(event_table!$A$2:$A$69, RANDBETWEEN(1, COUNTA(event_table!$A$2:$A$69)))</f>
        <v>1332</v>
      </c>
      <c r="B1963" s="6">
        <f t="array" ref="B1963">IFERROR(INDEX(event_table!$E$1:$E3686,MATCH(A1963,event_table!$A$1:$A3686,0)),"")
</f>
        <v>3</v>
      </c>
      <c r="C1963" s="7">
        <f t="shared" si="1"/>
        <v>73</v>
      </c>
      <c r="D1963" s="6" t="str">
        <f t="array" ref="D1963">IFERROR(INDEX(user_table!$C$2:$C3686,MATCH(C1963,user_table!$B$2:$B3686,0)),"")
</f>
        <v>Hadi Santoso</v>
      </c>
      <c r="E1963" s="6" t="str">
        <f t="array" ref="E1963">IFERROR(INDEX(user_table!$E$2:$E3686,MATCH(C1963,user_table!$B$2:$B3686,0)),"")
</f>
        <v>6, 3</v>
      </c>
      <c r="F1963" s="6" t="str">
        <f t="shared" si="2"/>
        <v>13321373</v>
      </c>
      <c r="G1963" s="16">
        <v>1.0</v>
      </c>
      <c r="H1963" s="17">
        <v>45269.0</v>
      </c>
      <c r="I1963" s="18" t="s">
        <v>1934</v>
      </c>
    </row>
    <row r="1964">
      <c r="A1964" s="5" t="str">
        <f t="array" ref="A1964">INDEX(event_table!$A$2:$A$69, RANDBETWEEN(1, COUNTA(event_table!$A$2:$A$69)))</f>
        <v>1648</v>
      </c>
      <c r="B1964" s="6">
        <f t="array" ref="B1964">IFERROR(INDEX(event_table!$E$1:$E3686,MATCH(A1964,event_table!$A$1:$A3686,0)),"")
</f>
        <v>6</v>
      </c>
      <c r="C1964" s="7">
        <f t="shared" si="1"/>
        <v>161</v>
      </c>
      <c r="D1964" s="6" t="str">
        <f t="array" ref="D1964">IFERROR(INDEX(user_table!$C$2:$C3686,MATCH(C1964,user_table!$B$2:$B3686,0)),"")
</f>
        <v>Lina Nugroho</v>
      </c>
      <c r="E1964" s="6" t="str">
        <f t="array" ref="E1964">IFERROR(INDEX(user_table!$E$2:$E3686,MATCH(C1964,user_table!$B$2:$B3686,0)),"")
</f>
        <v>6, 5</v>
      </c>
      <c r="F1964" s="6" t="str">
        <f t="shared" si="2"/>
        <v>164816161</v>
      </c>
      <c r="G1964" s="16">
        <v>1.0</v>
      </c>
      <c r="H1964" s="17">
        <v>45233.0</v>
      </c>
      <c r="I1964" s="18" t="s">
        <v>1935</v>
      </c>
    </row>
    <row r="1965">
      <c r="A1965" s="5" t="str">
        <f t="array" ref="A1965">INDEX(event_table!$A$2:$A$69, RANDBETWEEN(1, COUNTA(event_table!$A$2:$A$69)))</f>
        <v>3169</v>
      </c>
      <c r="B1965" s="6">
        <f t="array" ref="B1965">IFERROR(INDEX(event_table!$E$1:$E3686,MATCH(A1965,event_table!$A$1:$A3686,0)),"")
</f>
        <v>1</v>
      </c>
      <c r="C1965" s="7">
        <f t="shared" si="1"/>
        <v>92</v>
      </c>
      <c r="D1965" s="6" t="str">
        <f t="array" ref="D1965">IFERROR(INDEX(user_table!$C$2:$C3686,MATCH(C1965,user_table!$B$2:$B3686,0)),"")
</f>
        <v>Andi Susanto</v>
      </c>
      <c r="E1965" s="6" t="str">
        <f t="array" ref="E1965">IFERROR(INDEX(user_table!$E$2:$E3686,MATCH(C1965,user_table!$B$2:$B3686,0)),"")
</f>
        <v>4, 4</v>
      </c>
      <c r="F1965" s="6" t="str">
        <f t="shared" si="2"/>
        <v>31691192</v>
      </c>
      <c r="G1965" s="16">
        <v>1.0</v>
      </c>
      <c r="H1965" s="17">
        <v>45202.0</v>
      </c>
      <c r="I1965" s="18" t="s">
        <v>1936</v>
      </c>
    </row>
    <row r="1966">
      <c r="A1966" s="5" t="str">
        <f t="array" ref="A1966">INDEX(event_table!$A$2:$A$69, RANDBETWEEN(1, COUNTA(event_table!$A$2:$A$69)))</f>
        <v>1647</v>
      </c>
      <c r="B1966" s="6">
        <f t="array" ref="B1966">IFERROR(INDEX(event_table!$E$1:$E3686,MATCH(A1966,event_table!$A$1:$A3686,0)),"")
</f>
        <v>6</v>
      </c>
      <c r="C1966" s="7">
        <f t="shared" si="1"/>
        <v>165</v>
      </c>
      <c r="D1966" s="6" t="str">
        <f t="array" ref="D1966">IFERROR(INDEX(user_table!$C$2:$C3686,MATCH(C1966,user_table!$B$2:$B3686,0)),"")
</f>
        <v>Agus Pratama</v>
      </c>
      <c r="E1966" s="6" t="str">
        <f t="array" ref="E1966">IFERROR(INDEX(user_table!$E$2:$E3686,MATCH(C1966,user_table!$B$2:$B3686,0)),"")
</f>
        <v>6, 2</v>
      </c>
      <c r="F1966" s="6" t="str">
        <f t="shared" si="2"/>
        <v>164716165</v>
      </c>
      <c r="G1966" s="16">
        <v>1.0</v>
      </c>
      <c r="H1966" s="17">
        <v>45187.0</v>
      </c>
      <c r="I1966" s="18" t="s">
        <v>1937</v>
      </c>
    </row>
    <row r="1967">
      <c r="A1967" s="5" t="str">
        <f t="array" ref="A1967">INDEX(event_table!$A$2:$A$69, RANDBETWEEN(1, COUNTA(event_table!$A$2:$A$69)))</f>
        <v>1638</v>
      </c>
      <c r="B1967" s="6">
        <f t="array" ref="B1967">IFERROR(INDEX(event_table!$E$1:$E3686,MATCH(A1967,event_table!$A$1:$A3686,0)),"")
</f>
        <v>6</v>
      </c>
      <c r="C1967" s="7">
        <f t="shared" si="1"/>
        <v>109</v>
      </c>
      <c r="D1967" s="6" t="str">
        <f t="array" ref="D1967">IFERROR(INDEX(user_table!$C$2:$C3686,MATCH(C1967,user_table!$B$2:$B3686,0)),"")
</f>
        <v>Ani Sari</v>
      </c>
      <c r="E1967" s="6" t="str">
        <f t="array" ref="E1967">IFERROR(INDEX(user_table!$E$2:$E3686,MATCH(C1967,user_table!$B$2:$B3686,0)),"")
</f>
        <v>4, 5</v>
      </c>
      <c r="F1967" s="6" t="str">
        <f t="shared" si="2"/>
        <v>163816109</v>
      </c>
      <c r="G1967" s="16">
        <v>1.0</v>
      </c>
      <c r="H1967" s="17">
        <v>45143.0</v>
      </c>
      <c r="I1967" s="18" t="s">
        <v>1938</v>
      </c>
    </row>
    <row r="1968">
      <c r="A1968" s="5" t="str">
        <f t="array" ref="A1968">INDEX(event_table!$A$2:$A$69, RANDBETWEEN(1, COUNTA(event_table!$A$2:$A$69)))</f>
        <v>1639</v>
      </c>
      <c r="B1968" s="6">
        <f t="array" ref="B1968">IFERROR(INDEX(event_table!$E$1:$E3686,MATCH(A1968,event_table!$A$1:$A3686,0)),"")
</f>
        <v>6</v>
      </c>
      <c r="C1968" s="7">
        <f t="shared" si="1"/>
        <v>136</v>
      </c>
      <c r="D1968" s="6" t="str">
        <f t="array" ref="D1968">IFERROR(INDEX(user_table!$C$2:$C3686,MATCH(C1968,user_table!$B$2:$B3686,0)),"")
</f>
        <v>Fandi Purnama</v>
      </c>
      <c r="E1968" s="6" t="str">
        <f t="array" ref="E1968">IFERROR(INDEX(user_table!$E$2:$E3686,MATCH(C1968,user_table!$B$2:$B3686,0)),"")
</f>
        <v>5, 6</v>
      </c>
      <c r="F1968" s="6" t="str">
        <f t="shared" si="2"/>
        <v>163916136</v>
      </c>
      <c r="G1968" s="16">
        <v>1.0</v>
      </c>
      <c r="H1968" s="17">
        <v>45143.0</v>
      </c>
      <c r="I1968" s="18" t="s">
        <v>1939</v>
      </c>
    </row>
    <row r="1969">
      <c r="A1969" s="5" t="str">
        <f t="array" ref="A1969">INDEX(event_table!$A$2:$A$69, RANDBETWEEN(1, COUNTA(event_table!$A$2:$A$69)))</f>
        <v>3455</v>
      </c>
      <c r="B1969" s="6">
        <f t="array" ref="B1969">IFERROR(INDEX(event_table!$E$1:$E3686,MATCH(A1969,event_table!$A$1:$A3686,0)),"")
</f>
        <v>4</v>
      </c>
      <c r="C1969" s="7">
        <f t="shared" si="1"/>
        <v>31</v>
      </c>
      <c r="D1969" s="6" t="str">
        <f t="array" ref="D1969">IFERROR(INDEX(user_table!$C$2:$C3686,MATCH(C1969,user_table!$B$2:$B3686,0)),"")
</f>
        <v>Dian Hidayat</v>
      </c>
      <c r="E1969" s="6" t="str">
        <f t="array" ref="E1969">IFERROR(INDEX(user_table!$E$2:$E3686,MATCH(C1969,user_table!$B$2:$B3686,0)),"")
</f>
        <v>3, 5</v>
      </c>
      <c r="F1969" s="6" t="str">
        <f t="shared" si="2"/>
        <v>34551431</v>
      </c>
      <c r="G1969" s="16">
        <v>1.0</v>
      </c>
      <c r="H1969" s="17">
        <v>45143.0</v>
      </c>
      <c r="I1969" s="18" t="s">
        <v>1940</v>
      </c>
    </row>
    <row r="1970">
      <c r="A1970" s="5" t="str">
        <f t="array" ref="A1970">INDEX(event_table!$A$2:$A$69, RANDBETWEEN(1, COUNTA(event_table!$A$2:$A$69)))</f>
        <v>3164</v>
      </c>
      <c r="B1970" s="6">
        <f t="array" ref="B1970">IFERROR(INDEX(event_table!$E$1:$E3686,MATCH(A1970,event_table!$A$1:$A3686,0)),"")
</f>
        <v>1</v>
      </c>
      <c r="C1970" s="7">
        <f t="shared" si="1"/>
        <v>68</v>
      </c>
      <c r="D1970" s="6" t="str">
        <f t="array" ref="D1970">IFERROR(INDEX(user_table!$C$2:$C3686,MATCH(C1970,user_table!$B$2:$B3686,0)),"")
</f>
        <v>Wahyu Wijaya</v>
      </c>
      <c r="E1970" s="6" t="str">
        <f t="array" ref="E1970">IFERROR(INDEX(user_table!$E$2:$E3686,MATCH(C1970,user_table!$B$2:$B3686,0)),"")
</f>
        <v>4, 6</v>
      </c>
      <c r="F1970" s="6" t="str">
        <f t="shared" si="2"/>
        <v>31641168</v>
      </c>
      <c r="G1970" s="16">
        <v>1.0</v>
      </c>
      <c r="H1970" s="17">
        <v>45143.0</v>
      </c>
      <c r="I1970" s="18" t="s">
        <v>1941</v>
      </c>
    </row>
    <row r="1971">
      <c r="A1971" s="5" t="str">
        <f t="array" ref="A1971">INDEX(event_table!$A$2:$A$69, RANDBETWEEN(1, COUNTA(event_table!$A$2:$A$69)))</f>
        <v>1528</v>
      </c>
      <c r="B1971" s="6">
        <f t="array" ref="B1971">IFERROR(INDEX(event_table!$E$1:$E3686,MATCH(A1971,event_table!$A$1:$A3686,0)),"")
</f>
        <v>5</v>
      </c>
      <c r="C1971" s="7">
        <f t="shared" si="1"/>
        <v>155</v>
      </c>
      <c r="D1971" s="6" t="str">
        <f t="array" ref="D1971">IFERROR(INDEX(user_table!$C$2:$C3686,MATCH(C1971,user_table!$B$2:$B3686,0)),"")
</f>
        <v>Sinta Saputra</v>
      </c>
      <c r="E1971" s="6" t="str">
        <f t="array" ref="E1971">IFERROR(INDEX(user_table!$E$2:$E3686,MATCH(C1971,user_table!$B$2:$B3686,0)),"")
</f>
        <v>5, 2</v>
      </c>
      <c r="F1971" s="6" t="str">
        <f t="shared" si="2"/>
        <v>152815155</v>
      </c>
      <c r="G1971" s="16">
        <v>1.0</v>
      </c>
      <c r="H1971" s="17">
        <v>45055.0</v>
      </c>
      <c r="I1971" s="18" t="s">
        <v>1942</v>
      </c>
    </row>
    <row r="1972">
      <c r="A1972" s="5" t="str">
        <f t="array" ref="A1972">INDEX(event_table!$A$2:$A$69, RANDBETWEEN(1, COUNTA(event_table!$A$2:$A$69)))</f>
        <v>1645</v>
      </c>
      <c r="B1972" s="6">
        <f t="array" ref="B1972">IFERROR(INDEX(event_table!$E$1:$E3686,MATCH(A1972,event_table!$A$1:$A3686,0)),"")
</f>
        <v>6</v>
      </c>
      <c r="C1972" s="7">
        <f t="shared" si="1"/>
        <v>135</v>
      </c>
      <c r="D1972" s="6" t="str">
        <f t="array" ref="D1972">IFERROR(INDEX(user_table!$C$2:$C3686,MATCH(C1972,user_table!$B$2:$B3686,0)),"")
</f>
        <v>Sinta Hermawan</v>
      </c>
      <c r="E1972" s="6" t="str">
        <f t="array" ref="E1972">IFERROR(INDEX(user_table!$E$2:$E3686,MATCH(C1972,user_table!$B$2:$B3686,0)),"")
</f>
        <v>1, 5</v>
      </c>
      <c r="F1972" s="6" t="str">
        <f t="shared" si="2"/>
        <v>164516135</v>
      </c>
      <c r="G1972" s="16">
        <v>1.0</v>
      </c>
      <c r="H1972" s="17">
        <v>45040.0</v>
      </c>
      <c r="I1972" s="18" t="s">
        <v>1943</v>
      </c>
    </row>
    <row r="1973">
      <c r="A1973" s="5" t="str">
        <f t="array" ref="A1973">INDEX(event_table!$A$2:$A$69, RANDBETWEEN(1, COUNTA(event_table!$A$2:$A$69)))</f>
        <v>1650</v>
      </c>
      <c r="B1973" s="6">
        <f t="array" ref="B1973">IFERROR(INDEX(event_table!$E$1:$E3686,MATCH(A1973,event_table!$A$1:$A3686,0)),"")
</f>
        <v>6</v>
      </c>
      <c r="C1973" s="7">
        <f t="shared" si="1"/>
        <v>81</v>
      </c>
      <c r="D1973" s="6" t="str">
        <f t="array" ref="D1973">IFERROR(INDEX(user_table!$C$2:$C3686,MATCH(C1973,user_table!$B$2:$B3686,0)),"")
</f>
        <v>Lina Rahayu</v>
      </c>
      <c r="E1973" s="6" t="str">
        <f t="array" ref="E1973">IFERROR(INDEX(user_table!$E$2:$E3686,MATCH(C1973,user_table!$B$2:$B3686,0)),"")
</f>
        <v>2, 1</v>
      </c>
      <c r="F1973" s="6" t="str">
        <f t="shared" si="2"/>
        <v>16505681</v>
      </c>
      <c r="G1973" s="16">
        <v>5.0</v>
      </c>
      <c r="H1973" s="17">
        <v>44745.0</v>
      </c>
      <c r="I1973" s="18" t="s">
        <v>1944</v>
      </c>
    </row>
    <row r="1974">
      <c r="A1974" s="5" t="str">
        <f t="array" ref="A1974">INDEX(event_table!$A$2:$A$69, RANDBETWEEN(1, COUNTA(event_table!$A$2:$A$69)))</f>
        <v>1335</v>
      </c>
      <c r="B1974" s="6">
        <f t="array" ref="B1974">IFERROR(INDEX(event_table!$E$1:$E3686,MATCH(A1974,event_table!$A$1:$A3686,0)),"")
</f>
        <v>3</v>
      </c>
      <c r="C1974" s="7">
        <f t="shared" si="1"/>
        <v>200</v>
      </c>
      <c r="D1974" s="6" t="str">
        <f t="array" ref="D1974">IFERROR(INDEX(user_table!$C$2:$C3686,MATCH(C1974,user_table!$B$2:$B3686,0)),"")
</f>
        <v>Dina Susanto</v>
      </c>
      <c r="E1974" s="6" t="str">
        <f t="array" ref="E1974">IFERROR(INDEX(user_table!$E$2:$E3686,MATCH(C1974,user_table!$B$2:$B3686,0)),"")
</f>
        <v>5, 4</v>
      </c>
      <c r="F1974" s="6" t="str">
        <f t="shared" si="2"/>
        <v>133553200</v>
      </c>
      <c r="G1974" s="16">
        <v>5.0</v>
      </c>
      <c r="H1974" s="17">
        <v>44738.0</v>
      </c>
      <c r="I1974" s="18" t="s">
        <v>1945</v>
      </c>
    </row>
    <row r="1975">
      <c r="A1975" s="5" t="str">
        <f t="array" ref="A1975">INDEX(event_table!$A$2:$A$69, RANDBETWEEN(1, COUNTA(event_table!$A$2:$A$69)))</f>
        <v>3163</v>
      </c>
      <c r="B1975" s="6">
        <f t="array" ref="B1975">IFERROR(INDEX(event_table!$E$1:$E3686,MATCH(A1975,event_table!$A$1:$A3686,0)),"")
</f>
        <v>1</v>
      </c>
      <c r="C1975" s="7">
        <f t="shared" si="1"/>
        <v>114</v>
      </c>
      <c r="D1975" s="6" t="str">
        <f t="array" ref="D1975">IFERROR(INDEX(user_table!$C$2:$C3686,MATCH(C1975,user_table!$B$2:$B3686,0)),"")
</f>
        <v>Ani Sari</v>
      </c>
      <c r="E1975" s="6" t="str">
        <f t="array" ref="E1975">IFERROR(INDEX(user_table!$E$2:$E3686,MATCH(C1975,user_table!$B$2:$B3686,0)),"")
</f>
        <v>4, 3</v>
      </c>
      <c r="F1975" s="6" t="str">
        <f t="shared" si="2"/>
        <v>316351114</v>
      </c>
      <c r="G1975" s="16">
        <v>5.0</v>
      </c>
      <c r="H1975" s="17">
        <v>44735.0</v>
      </c>
      <c r="I1975" s="18" t="s">
        <v>1946</v>
      </c>
    </row>
    <row r="1976">
      <c r="A1976" s="5" t="str">
        <f t="array" ref="A1976">INDEX(event_table!$A$2:$A$69, RANDBETWEEN(1, COUNTA(event_table!$A$2:$A$69)))</f>
        <v>3454</v>
      </c>
      <c r="B1976" s="6">
        <f t="array" ref="B1976">IFERROR(INDEX(event_table!$E$1:$E3686,MATCH(A1976,event_table!$A$1:$A3686,0)),"")
</f>
        <v>4</v>
      </c>
      <c r="C1976" s="7">
        <f t="shared" si="1"/>
        <v>52</v>
      </c>
      <c r="D1976" s="6" t="str">
        <f t="array" ref="D1976">IFERROR(INDEX(user_table!$C$2:$C3686,MATCH(C1976,user_table!$B$2:$B3686,0)),"")
</f>
        <v>Ani Nurhayati</v>
      </c>
      <c r="E1976" s="6" t="str">
        <f t="array" ref="E1976">IFERROR(INDEX(user_table!$E$2:$E3686,MATCH(C1976,user_table!$B$2:$B3686,0)),"")
</f>
        <v>2, 2</v>
      </c>
      <c r="F1976" s="6" t="str">
        <f t="shared" si="2"/>
        <v>34545452</v>
      </c>
      <c r="G1976" s="16">
        <v>5.0</v>
      </c>
      <c r="H1976" s="17">
        <v>44720.0</v>
      </c>
      <c r="I1976" s="18" t="s">
        <v>1947</v>
      </c>
    </row>
    <row r="1977">
      <c r="A1977" s="5" t="str">
        <f t="array" ref="A1977">INDEX(event_table!$A$2:$A$69, RANDBETWEEN(1, COUNTA(event_table!$A$2:$A$69)))</f>
        <v>1519</v>
      </c>
      <c r="B1977" s="6">
        <f t="array" ref="B1977">IFERROR(INDEX(event_table!$E$1:$E3686,MATCH(A1977,event_table!$A$1:$A3686,0)),"")
</f>
        <v>5</v>
      </c>
      <c r="C1977" s="7">
        <f t="shared" si="1"/>
        <v>65</v>
      </c>
      <c r="D1977" s="6" t="str">
        <f t="array" ref="D1977">IFERROR(INDEX(user_table!$C$2:$C3686,MATCH(C1977,user_table!$B$2:$B3686,0)),"")
</f>
        <v>Siti Pratama</v>
      </c>
      <c r="E1977" s="6" t="str">
        <f t="array" ref="E1977">IFERROR(INDEX(user_table!$E$2:$E3686,MATCH(C1977,user_table!$B$2:$B3686,0)),"")
</f>
        <v>5, 6</v>
      </c>
      <c r="F1977" s="6" t="str">
        <f t="shared" si="2"/>
        <v>15195565</v>
      </c>
      <c r="G1977" s="16">
        <v>5.0</v>
      </c>
      <c r="H1977" s="17">
        <v>44712.0</v>
      </c>
      <c r="I1977" s="18" t="s">
        <v>1948</v>
      </c>
    </row>
    <row r="1978">
      <c r="A1978" s="5" t="str">
        <f t="array" ref="A1978">INDEX(event_table!$A$2:$A$69, RANDBETWEEN(1, COUNTA(event_table!$A$2:$A$69)))</f>
        <v>1110</v>
      </c>
      <c r="B1978" s="6">
        <f t="array" ref="B1978">IFERROR(INDEX(event_table!$E$1:$E3686,MATCH(A1978,event_table!$A$1:$A3686,0)),"")
</f>
        <v>1</v>
      </c>
      <c r="C1978" s="7">
        <f t="shared" si="1"/>
        <v>26</v>
      </c>
      <c r="D1978" s="6" t="str">
        <f t="array" ref="D1978">IFERROR(INDEX(user_table!$C$2:$C3686,MATCH(C1978,user_table!$B$2:$B3686,0)),"")
</f>
        <v>Citra Sari</v>
      </c>
      <c r="E1978" s="6" t="str">
        <f t="array" ref="E1978">IFERROR(INDEX(user_table!$E$2:$E3686,MATCH(C1978,user_table!$B$2:$B3686,0)),"")
</f>
        <v>5, 1</v>
      </c>
      <c r="F1978" s="6" t="str">
        <f t="shared" si="2"/>
        <v>11105126</v>
      </c>
      <c r="G1978" s="16">
        <v>5.0</v>
      </c>
      <c r="H1978" s="17">
        <v>44705.0</v>
      </c>
      <c r="I1978" s="18" t="s">
        <v>1949</v>
      </c>
    </row>
    <row r="1979">
      <c r="A1979" s="5" t="str">
        <f t="array" ref="A1979">INDEX(event_table!$A$2:$A$69, RANDBETWEEN(1, COUNTA(event_table!$A$2:$A$69)))</f>
        <v>3454</v>
      </c>
      <c r="B1979" s="6">
        <f t="array" ref="B1979">IFERROR(INDEX(event_table!$E$1:$E3686,MATCH(A1979,event_table!$A$1:$A3686,0)),"")
</f>
        <v>4</v>
      </c>
      <c r="C1979" s="7">
        <f t="shared" si="1"/>
        <v>94</v>
      </c>
      <c r="D1979" s="6" t="str">
        <f t="array" ref="D1979">IFERROR(INDEX(user_table!$C$2:$C3686,MATCH(C1979,user_table!$B$2:$B3686,0)),"")
</f>
        <v>Ani Susanto</v>
      </c>
      <c r="E1979" s="6" t="str">
        <f t="array" ref="E1979">IFERROR(INDEX(user_table!$E$2:$E3686,MATCH(C1979,user_table!$B$2:$B3686,0)),"")
</f>
        <v>2, 4</v>
      </c>
      <c r="F1979" s="6" t="str">
        <f t="shared" si="2"/>
        <v>34545494</v>
      </c>
      <c r="G1979" s="16">
        <v>5.0</v>
      </c>
      <c r="H1979" s="17">
        <v>44690.0</v>
      </c>
      <c r="I1979" s="18" t="s">
        <v>1950</v>
      </c>
    </row>
    <row r="1980">
      <c r="A1980" s="5" t="str">
        <f t="array" ref="A1980">INDEX(event_table!$A$2:$A$69, RANDBETWEEN(1, COUNTA(event_table!$A$2:$A$69)))</f>
        <v>3164</v>
      </c>
      <c r="B1980" s="6">
        <f t="array" ref="B1980">IFERROR(INDEX(event_table!$E$1:$E3686,MATCH(A1980,event_table!$A$1:$A3686,0)),"")
</f>
        <v>1</v>
      </c>
      <c r="C1980" s="7">
        <f t="shared" si="1"/>
        <v>127</v>
      </c>
      <c r="D1980" s="6" t="str">
        <f t="array" ref="D1980">IFERROR(INDEX(user_table!$C$2:$C3686,MATCH(C1980,user_table!$B$2:$B3686,0)),"")
</f>
        <v>Sinta Wijaya</v>
      </c>
      <c r="E1980" s="6" t="str">
        <f t="array" ref="E1980">IFERROR(INDEX(user_table!$E$2:$E3686,MATCH(C1980,user_table!$B$2:$B3686,0)),"")
</f>
        <v>6, 4</v>
      </c>
      <c r="F1980" s="6" t="str">
        <f t="shared" si="2"/>
        <v>316451127</v>
      </c>
      <c r="G1980" s="16">
        <v>5.0</v>
      </c>
      <c r="H1980" s="17">
        <v>44686.0</v>
      </c>
      <c r="I1980" s="18" t="s">
        <v>1951</v>
      </c>
    </row>
    <row r="1981">
      <c r="A1981" s="5" t="str">
        <f t="array" ref="A1981">INDEX(event_table!$A$2:$A$69, RANDBETWEEN(1, COUNTA(event_table!$A$2:$A$69)))</f>
        <v>1652</v>
      </c>
      <c r="B1981" s="6">
        <f t="array" ref="B1981">IFERROR(INDEX(event_table!$E$1:$E3686,MATCH(A1981,event_table!$A$1:$A3686,0)),"")
</f>
        <v>6</v>
      </c>
      <c r="C1981" s="7">
        <f t="shared" si="1"/>
        <v>174</v>
      </c>
      <c r="D1981" s="6" t="str">
        <f t="array" ref="D1981">IFERROR(INDEX(user_table!$C$2:$C3686,MATCH(C1981,user_table!$B$2:$B3686,0)),"")
</f>
        <v>Maya Hermawan</v>
      </c>
      <c r="E1981" s="6" t="str">
        <f t="array" ref="E1981">IFERROR(INDEX(user_table!$E$2:$E3686,MATCH(C1981,user_table!$B$2:$B3686,0)),"")
</f>
        <v>5, 1</v>
      </c>
      <c r="F1981" s="6" t="str">
        <f t="shared" si="2"/>
        <v>165256174</v>
      </c>
      <c r="G1981" s="16">
        <v>5.0</v>
      </c>
      <c r="H1981" s="17">
        <v>45086.0</v>
      </c>
      <c r="I1981" s="19"/>
    </row>
    <row r="1982">
      <c r="A1982" s="5" t="str">
        <f t="array" ref="A1982">INDEX(event_table!$A$2:$A$69, RANDBETWEEN(1, COUNTA(event_table!$A$2:$A$69)))</f>
        <v>1422</v>
      </c>
      <c r="B1982" s="6">
        <f t="array" ref="B1982">IFERROR(INDEX(event_table!$E$1:$E3686,MATCH(A1982,event_table!$A$1:$A3686,0)),"")
</f>
        <v>4</v>
      </c>
      <c r="C1982" s="7">
        <f t="shared" si="1"/>
        <v>84</v>
      </c>
      <c r="D1982" s="6" t="str">
        <f t="array" ref="D1982">IFERROR(INDEX(user_table!$C$2:$C3686,MATCH(C1982,user_table!$B$2:$B3686,0)),"")
</f>
        <v>Budi Hermawan</v>
      </c>
      <c r="E1982" s="6" t="str">
        <f t="array" ref="E1982">IFERROR(INDEX(user_table!$E$2:$E3686,MATCH(C1982,user_table!$B$2:$B3686,0)),"")
</f>
        <v>5, 5</v>
      </c>
      <c r="F1982" s="6" t="str">
        <f t="shared" si="2"/>
        <v>14225484</v>
      </c>
      <c r="G1982" s="16">
        <v>5.0</v>
      </c>
      <c r="H1982" s="17">
        <v>44880.0</v>
      </c>
      <c r="I1982" s="18" t="s">
        <v>1952</v>
      </c>
    </row>
    <row r="1983">
      <c r="A1983" s="5" t="str">
        <f t="array" ref="A1983">INDEX(event_table!$A$2:$A$69, RANDBETWEEN(1, COUNTA(event_table!$A$2:$A$69)))</f>
        <v>1637</v>
      </c>
      <c r="B1983" s="6">
        <f t="array" ref="B1983">IFERROR(INDEX(event_table!$E$1:$E3686,MATCH(A1983,event_table!$A$1:$A3686,0)),"")
</f>
        <v>6</v>
      </c>
      <c r="C1983" s="7">
        <f t="shared" si="1"/>
        <v>41</v>
      </c>
      <c r="D1983" s="6" t="str">
        <f t="array" ref="D1983">IFERROR(INDEX(user_table!$C$2:$C3686,MATCH(C1983,user_table!$B$2:$B3686,0)),"")
</f>
        <v>Wahyu Susanto</v>
      </c>
      <c r="E1983" s="6" t="str">
        <f t="array" ref="E1983">IFERROR(INDEX(user_table!$E$2:$E3686,MATCH(C1983,user_table!$B$2:$B3686,0)),"")
</f>
        <v>5, 4</v>
      </c>
      <c r="F1983" s="6" t="str">
        <f t="shared" si="2"/>
        <v>16375641</v>
      </c>
      <c r="G1983" s="16">
        <v>5.0</v>
      </c>
      <c r="H1983" s="17">
        <v>44845.0</v>
      </c>
      <c r="I1983" s="18" t="s">
        <v>1189</v>
      </c>
    </row>
    <row r="1984">
      <c r="A1984" s="5" t="str">
        <f t="array" ref="A1984">INDEX(event_table!$A$2:$A$69, RANDBETWEEN(1, COUNTA(event_table!$A$2:$A$69)))</f>
        <v>1420</v>
      </c>
      <c r="B1984" s="6">
        <f t="array" ref="B1984">IFERROR(INDEX(event_table!$E$1:$E3686,MATCH(A1984,event_table!$A$1:$A3686,0)),"")
</f>
        <v>4</v>
      </c>
      <c r="C1984" s="7">
        <f t="shared" si="1"/>
        <v>53</v>
      </c>
      <c r="D1984" s="6" t="str">
        <f t="array" ref="D1984">IFERROR(INDEX(user_table!$C$2:$C3686,MATCH(C1984,user_table!$B$2:$B3686,0)),"")
</f>
        <v>Wahyu Santoso</v>
      </c>
      <c r="E1984" s="6" t="str">
        <f t="array" ref="E1984">IFERROR(INDEX(user_table!$E$2:$E3686,MATCH(C1984,user_table!$B$2:$B3686,0)),"")
</f>
        <v>4, 5</v>
      </c>
      <c r="F1984" s="6" t="str">
        <f t="shared" si="2"/>
        <v>14205453</v>
      </c>
      <c r="G1984" s="16">
        <v>5.0</v>
      </c>
      <c r="H1984" s="17">
        <v>44743.0</v>
      </c>
      <c r="I1984" s="18" t="s">
        <v>1953</v>
      </c>
    </row>
    <row r="1985">
      <c r="A1985" s="5" t="str">
        <f t="array" ref="A1985">INDEX(event_table!$A$2:$A$69, RANDBETWEEN(1, COUNTA(event_table!$A$2:$A$69)))</f>
        <v>3658</v>
      </c>
      <c r="B1985" s="6">
        <f t="array" ref="B1985">IFERROR(INDEX(event_table!$E$1:$E3686,MATCH(A1985,event_table!$A$1:$A3686,0)),"")
</f>
        <v>6</v>
      </c>
      <c r="C1985" s="7">
        <f t="shared" si="1"/>
        <v>199</v>
      </c>
      <c r="D1985" s="6" t="str">
        <f t="array" ref="D1985">IFERROR(INDEX(user_table!$C$2:$C3686,MATCH(C1985,user_table!$B$2:$B3686,0)),"")
</f>
        <v>Rudi Putri</v>
      </c>
      <c r="E1985" s="6" t="str">
        <f t="array" ref="E1985">IFERROR(INDEX(user_table!$E$2:$E3686,MATCH(C1985,user_table!$B$2:$B3686,0)),"")
</f>
        <v>2, 1</v>
      </c>
      <c r="F1985" s="6" t="str">
        <f t="shared" si="2"/>
        <v>365856199</v>
      </c>
      <c r="G1985" s="16">
        <v>5.0</v>
      </c>
      <c r="H1985" s="17">
        <v>44699.0</v>
      </c>
      <c r="I1985" s="18" t="s">
        <v>1954</v>
      </c>
    </row>
    <row r="1986">
      <c r="A1986" s="5" t="str">
        <f t="array" ref="A1986">INDEX(event_table!$A$2:$A$69, RANDBETWEEN(1, COUNTA(event_table!$A$2:$A$69)))</f>
        <v>3169</v>
      </c>
      <c r="B1986" s="6">
        <f t="array" ref="B1986">IFERROR(INDEX(event_table!$E$1:$E3686,MATCH(A1986,event_table!$A$1:$A3686,0)),"")
</f>
        <v>1</v>
      </c>
      <c r="C1986" s="7">
        <f t="shared" si="1"/>
        <v>21</v>
      </c>
      <c r="D1986" s="6" t="str">
        <f t="array" ref="D1986">IFERROR(INDEX(user_table!$C$2:$C3686,MATCH(C1986,user_table!$B$2:$B3686,0)),"")
</f>
        <v>Budi Santoso</v>
      </c>
      <c r="E1986" s="6" t="str">
        <f t="array" ref="E1986">IFERROR(INDEX(user_table!$E$2:$E3686,MATCH(C1986,user_table!$B$2:$B3686,0)),"")
</f>
        <v>6, 1</v>
      </c>
      <c r="F1986" s="6" t="str">
        <f t="shared" si="2"/>
        <v>31695121</v>
      </c>
      <c r="G1986" s="16">
        <v>5.0</v>
      </c>
      <c r="H1986" s="17">
        <v>44697.0</v>
      </c>
      <c r="I1986" s="18" t="s">
        <v>1955</v>
      </c>
    </row>
    <row r="1987">
      <c r="A1987" s="5" t="str">
        <f t="array" ref="A1987">INDEX(event_table!$A$2:$A$69, RANDBETWEEN(1, COUNTA(event_table!$A$2:$A$69)))</f>
        <v>1649</v>
      </c>
      <c r="B1987" s="6">
        <f t="array" ref="B1987">IFERROR(INDEX(event_table!$E$1:$E3686,MATCH(A1987,event_table!$A$1:$A3686,0)),"")
</f>
        <v>6</v>
      </c>
      <c r="C1987" s="7">
        <f t="shared" si="1"/>
        <v>59</v>
      </c>
      <c r="D1987" s="6" t="str">
        <f t="array" ref="D1987">IFERROR(INDEX(user_table!$C$2:$C3686,MATCH(C1987,user_table!$B$2:$B3686,0)),"")
</f>
        <v>Siti Rahayu</v>
      </c>
      <c r="E1987" s="6" t="str">
        <f t="array" ref="E1987">IFERROR(INDEX(user_table!$E$2:$E3686,MATCH(C1987,user_table!$B$2:$B3686,0)),"")
</f>
        <v>3, 5</v>
      </c>
      <c r="F1987" s="6" t="str">
        <f t="shared" si="2"/>
        <v>16495659</v>
      </c>
      <c r="G1987" s="16">
        <v>5.0</v>
      </c>
      <c r="H1987" s="17">
        <v>44687.0</v>
      </c>
      <c r="I1987" s="18" t="s">
        <v>998</v>
      </c>
    </row>
    <row r="1988">
      <c r="A1988" s="5" t="str">
        <f t="array" ref="A1988">INDEX(event_table!$A$2:$A$69, RANDBETWEEN(1, COUNTA(event_table!$A$2:$A$69)))</f>
        <v>1427</v>
      </c>
      <c r="B1988" s="6">
        <f t="array" ref="B1988">IFERROR(INDEX(event_table!$E$1:$E3686,MATCH(A1988,event_table!$A$1:$A3686,0)),"")
</f>
        <v>4</v>
      </c>
      <c r="C1988" s="7">
        <f t="shared" si="1"/>
        <v>188</v>
      </c>
      <c r="D1988" s="6" t="str">
        <f t="array" ref="D1988">IFERROR(INDEX(user_table!$C$2:$C3686,MATCH(C1988,user_table!$B$2:$B3686,0)),"")
</f>
        <v>Siti Setiawan</v>
      </c>
      <c r="E1988" s="6" t="str">
        <f t="array" ref="E1988">IFERROR(INDEX(user_table!$E$2:$E3686,MATCH(C1988,user_table!$B$2:$B3686,0)),"")
</f>
        <v>6, 6</v>
      </c>
      <c r="F1988" s="6" t="str">
        <f t="shared" si="2"/>
        <v>142744188</v>
      </c>
      <c r="G1988" s="16">
        <v>4.0</v>
      </c>
      <c r="H1988" s="17">
        <v>45045.0</v>
      </c>
      <c r="I1988" s="18" t="s">
        <v>1956</v>
      </c>
    </row>
    <row r="1989">
      <c r="A1989" s="5" t="str">
        <f t="array" ref="A1989">INDEX(event_table!$A$2:$A$69, RANDBETWEEN(1, COUNTA(event_table!$A$2:$A$69)))</f>
        <v>1418</v>
      </c>
      <c r="B1989" s="6">
        <f t="array" ref="B1989">IFERROR(INDEX(event_table!$E$1:$E3686,MATCH(A1989,event_table!$A$1:$A3686,0)),"")
</f>
        <v>4</v>
      </c>
      <c r="C1989" s="7">
        <f t="shared" si="1"/>
        <v>8</v>
      </c>
      <c r="D1989" s="6" t="str">
        <f t="array" ref="D1989">IFERROR(INDEX(user_table!$C$2:$C3686,MATCH(C1989,user_table!$B$2:$B3686,0)),"")
</f>
        <v>Bambang Kurniawan</v>
      </c>
      <c r="E1989" s="6" t="str">
        <f t="array" ref="E1989">IFERROR(INDEX(user_table!$E$2:$E3686,MATCH(C1989,user_table!$B$2:$B3686,0)),"")
</f>
        <v>2, 1</v>
      </c>
      <c r="F1989" s="6" t="str">
        <f t="shared" si="2"/>
        <v>1418448</v>
      </c>
      <c r="G1989" s="16">
        <v>4.0</v>
      </c>
      <c r="H1989" s="17">
        <v>45045.0</v>
      </c>
      <c r="I1989" s="18" t="s">
        <v>1957</v>
      </c>
    </row>
    <row r="1990">
      <c r="A1990" s="5" t="str">
        <f t="array" ref="A1990">INDEX(event_table!$A$2:$A$69, RANDBETWEEN(1, COUNTA(event_table!$A$2:$A$69)))</f>
        <v>3168</v>
      </c>
      <c r="B1990" s="6">
        <f t="array" ref="B1990">IFERROR(INDEX(event_table!$E$1:$E3686,MATCH(A1990,event_table!$A$1:$A3686,0)),"")
</f>
        <v>1</v>
      </c>
      <c r="C1990" s="7">
        <f t="shared" si="1"/>
        <v>33</v>
      </c>
      <c r="D1990" s="6" t="str">
        <f t="array" ref="D1990">IFERROR(INDEX(user_table!$C$2:$C3686,MATCH(C1990,user_table!$B$2:$B3686,0)),"")
</f>
        <v>Dewi Wijaya</v>
      </c>
      <c r="E1990" s="6" t="str">
        <f t="array" ref="E1990">IFERROR(INDEX(user_table!$E$2:$E3686,MATCH(C1990,user_table!$B$2:$B3686,0)),"")
</f>
        <v>4, 2</v>
      </c>
      <c r="F1990" s="6" t="str">
        <f t="shared" si="2"/>
        <v>31684133</v>
      </c>
      <c r="G1990" s="16">
        <v>4.0</v>
      </c>
      <c r="H1990" s="17">
        <v>44766.0</v>
      </c>
      <c r="I1990" s="18" t="s">
        <v>1958</v>
      </c>
    </row>
    <row r="1991">
      <c r="A1991" s="5" t="str">
        <f t="array" ref="A1991">INDEX(event_table!$A$2:$A$69, RANDBETWEEN(1, COUNTA(event_table!$A$2:$A$69)))</f>
        <v>1423</v>
      </c>
      <c r="B1991" s="6">
        <f t="array" ref="B1991">IFERROR(INDEX(event_table!$E$1:$E3686,MATCH(A1991,event_table!$A$1:$A3686,0)),"")
</f>
        <v>4</v>
      </c>
      <c r="C1991" s="7">
        <f t="shared" si="1"/>
        <v>175</v>
      </c>
      <c r="D1991" s="6" t="str">
        <f t="array" ref="D1991">IFERROR(INDEX(user_table!$C$2:$C3686,MATCH(C1991,user_table!$B$2:$B3686,0)),"")
</f>
        <v>Siti Septiani</v>
      </c>
      <c r="E1991" s="6" t="str">
        <f t="array" ref="E1991">IFERROR(INDEX(user_table!$E$2:$E3686,MATCH(C1991,user_table!$B$2:$B3686,0)),"")
</f>
        <v>2, 5</v>
      </c>
      <c r="F1991" s="6" t="str">
        <f t="shared" si="2"/>
        <v>142344175</v>
      </c>
      <c r="G1991" s="16">
        <v>4.0</v>
      </c>
      <c r="H1991" s="17">
        <v>45053.0</v>
      </c>
      <c r="I1991" s="18" t="s">
        <v>1959</v>
      </c>
    </row>
    <row r="1992">
      <c r="A1992" s="5" t="str">
        <f t="array" ref="A1992">INDEX(event_table!$A$2:$A$69, RANDBETWEEN(1, COUNTA(event_table!$A$2:$A$69)))</f>
        <v>1212</v>
      </c>
      <c r="B1992" s="6">
        <f t="array" ref="B1992">IFERROR(INDEX(event_table!$E$1:$E3686,MATCH(A1992,event_table!$A$1:$A3686,0)),"")
</f>
        <v>2</v>
      </c>
      <c r="C1992" s="7">
        <f t="shared" si="1"/>
        <v>180</v>
      </c>
      <c r="D1992" s="6" t="str">
        <f t="array" ref="D1992">IFERROR(INDEX(user_table!$C$2:$C3686,MATCH(C1992,user_table!$B$2:$B3686,0)),"")
</f>
        <v>Andi Susanto</v>
      </c>
      <c r="E1992" s="6" t="str">
        <f t="array" ref="E1992">IFERROR(INDEX(user_table!$E$2:$E3686,MATCH(C1992,user_table!$B$2:$B3686,0)),"")
</f>
        <v>6, 5</v>
      </c>
      <c r="F1992" s="6" t="str">
        <f t="shared" si="2"/>
        <v>121242180</v>
      </c>
      <c r="G1992" s="16">
        <v>4.0</v>
      </c>
      <c r="H1992" s="17">
        <v>44923.0</v>
      </c>
      <c r="I1992" s="18" t="s">
        <v>1960</v>
      </c>
    </row>
    <row r="1993">
      <c r="A1993" s="5" t="str">
        <f t="array" ref="A1993">INDEX(event_table!$A$2:$A$69, RANDBETWEEN(1, COUNTA(event_table!$A$2:$A$69)))</f>
        <v>1333</v>
      </c>
      <c r="B1993" s="6">
        <f t="array" ref="B1993">IFERROR(INDEX(event_table!$E$1:$E3686,MATCH(A1993,event_table!$A$1:$A3686,0)),"")
</f>
        <v>3</v>
      </c>
      <c r="C1993" s="7">
        <f t="shared" si="1"/>
        <v>102</v>
      </c>
      <c r="D1993" s="6" t="str">
        <f t="array" ref="D1993">IFERROR(INDEX(user_table!$C$2:$C3686,MATCH(C1993,user_table!$B$2:$B3686,0)),"")
</f>
        <v>Lina Nurhayati</v>
      </c>
      <c r="E1993" s="6" t="str">
        <f t="array" ref="E1993">IFERROR(INDEX(user_table!$E$2:$E3686,MATCH(C1993,user_table!$B$2:$B3686,0)),"")
</f>
        <v>1, 2</v>
      </c>
      <c r="F1993" s="6" t="str">
        <f t="shared" si="2"/>
        <v>133333102</v>
      </c>
      <c r="G1993" s="16">
        <v>3.0</v>
      </c>
      <c r="H1993" s="17">
        <v>44771.0</v>
      </c>
      <c r="I1993" s="18" t="s">
        <v>1961</v>
      </c>
    </row>
    <row r="1994">
      <c r="A1994" s="5" t="str">
        <f t="array" ref="A1994">INDEX(event_table!$A$2:$A$69, RANDBETWEEN(1, COUNTA(event_table!$A$2:$A$69)))</f>
        <v>1646</v>
      </c>
      <c r="B1994" s="6">
        <f t="array" ref="B1994">IFERROR(INDEX(event_table!$E$1:$E3686,MATCH(A1994,event_table!$A$1:$A3686,0)),"")
</f>
        <v>6</v>
      </c>
      <c r="C1994" s="7">
        <f t="shared" si="1"/>
        <v>87</v>
      </c>
      <c r="D1994" s="6" t="str">
        <f t="array" ref="D1994">IFERROR(INDEX(user_table!$C$2:$C3686,MATCH(C1994,user_table!$B$2:$B3686,0)),"")
</f>
        <v>Budi Setiawan</v>
      </c>
      <c r="E1994" s="6" t="str">
        <f t="array" ref="E1994">IFERROR(INDEX(user_table!$E$2:$E3686,MATCH(C1994,user_table!$B$2:$B3686,0)),"")
</f>
        <v>3, 5</v>
      </c>
      <c r="F1994" s="6" t="str">
        <f t="shared" si="2"/>
        <v>16463687</v>
      </c>
      <c r="G1994" s="16">
        <v>3.0</v>
      </c>
      <c r="H1994" s="17">
        <v>44739.0</v>
      </c>
      <c r="I1994" s="18" t="s">
        <v>1962</v>
      </c>
    </row>
    <row r="1995">
      <c r="A1995" s="5" t="str">
        <f t="array" ref="A1995">INDEX(event_table!$A$2:$A$69, RANDBETWEEN(1, COUNTA(event_table!$A$2:$A$69)))</f>
        <v>3454</v>
      </c>
      <c r="B1995" s="6">
        <f t="array" ref="B1995">IFERROR(INDEX(event_table!$E$1:$E3686,MATCH(A1995,event_table!$A$1:$A3686,0)),"")
</f>
        <v>4</v>
      </c>
      <c r="C1995" s="7">
        <f t="shared" si="1"/>
        <v>29</v>
      </c>
      <c r="D1995" s="6" t="str">
        <f t="array" ref="D1995">IFERROR(INDEX(user_table!$C$2:$C3686,MATCH(C1995,user_table!$B$2:$B3686,0)),"")
</f>
        <v>Bambang Putri</v>
      </c>
      <c r="E1995" s="6" t="str">
        <f t="array" ref="E1995">IFERROR(INDEX(user_table!$E$2:$E3686,MATCH(C1995,user_table!$B$2:$B3686,0)),"")
</f>
        <v>3, 4</v>
      </c>
      <c r="F1995" s="6" t="str">
        <f t="shared" si="2"/>
        <v>34543429</v>
      </c>
      <c r="G1995" s="16">
        <v>3.0</v>
      </c>
      <c r="H1995" s="17">
        <v>44950.0</v>
      </c>
      <c r="I1995" s="18" t="s">
        <v>1963</v>
      </c>
    </row>
    <row r="1996">
      <c r="A1996" s="5" t="str">
        <f t="array" ref="A1996">INDEX(event_table!$A$2:$A$69, RANDBETWEEN(1, COUNTA(event_table!$A$2:$A$69)))</f>
        <v>1650</v>
      </c>
      <c r="B1996" s="6">
        <f t="array" ref="B1996">IFERROR(INDEX(event_table!$E$1:$E3686,MATCH(A1996,event_table!$A$1:$A3686,0)),"")
</f>
        <v>6</v>
      </c>
      <c r="C1996" s="7">
        <f t="shared" si="1"/>
        <v>40</v>
      </c>
      <c r="D1996" s="6" t="str">
        <f t="array" ref="D1996">IFERROR(INDEX(user_table!$C$2:$C3686,MATCH(C1996,user_table!$B$2:$B3686,0)),"")
</f>
        <v>Joko Sari</v>
      </c>
      <c r="E1996" s="6" t="str">
        <f t="array" ref="E1996">IFERROR(INDEX(user_table!$E$2:$E3686,MATCH(C1996,user_table!$B$2:$B3686,0)),"")
</f>
        <v>5, 6</v>
      </c>
      <c r="F1996" s="6" t="str">
        <f t="shared" si="2"/>
        <v>16503640</v>
      </c>
      <c r="G1996" s="16">
        <v>3.0</v>
      </c>
      <c r="H1996" s="17">
        <v>45270.0</v>
      </c>
      <c r="I1996" s="18" t="s">
        <v>1964</v>
      </c>
    </row>
    <row r="1997">
      <c r="A1997" s="5" t="str">
        <f t="array" ref="A1997">INDEX(event_table!$A$2:$A$69, RANDBETWEEN(1, COUNTA(event_table!$A$2:$A$69)))</f>
        <v>3166</v>
      </c>
      <c r="B1997" s="6">
        <f t="array" ref="B1997">IFERROR(INDEX(event_table!$E$1:$E3686,MATCH(A1997,event_table!$A$1:$A3686,0)),"")
</f>
        <v>1</v>
      </c>
      <c r="C1997" s="7">
        <f t="shared" si="1"/>
        <v>166</v>
      </c>
      <c r="D1997" s="6" t="str">
        <f t="array" ref="D1997">IFERROR(INDEX(user_table!$C$2:$C3686,MATCH(C1997,user_table!$B$2:$B3686,0)),"")
</f>
        <v>Fajar Nurhayati</v>
      </c>
      <c r="E1997" s="6" t="str">
        <f t="array" ref="E1997">IFERROR(INDEX(user_table!$E$2:$E3686,MATCH(C1997,user_table!$B$2:$B3686,0)),"")
</f>
        <v>3, 5</v>
      </c>
      <c r="F1997" s="6" t="str">
        <f t="shared" si="2"/>
        <v>316631166</v>
      </c>
      <c r="G1997" s="16">
        <v>3.0</v>
      </c>
      <c r="H1997" s="17">
        <v>45264.0</v>
      </c>
      <c r="I1997" s="18" t="s">
        <v>1965</v>
      </c>
    </row>
    <row r="1998">
      <c r="A1998" s="5" t="str">
        <f t="array" ref="A1998">INDEX(event_table!$A$2:$A$69, RANDBETWEEN(1, COUNTA(event_table!$A$2:$A$69)))</f>
        <v>1424</v>
      </c>
      <c r="B1998" s="6">
        <f t="array" ref="B1998">IFERROR(INDEX(event_table!$E$1:$E3686,MATCH(A1998,event_table!$A$1:$A3686,0)),"")
</f>
        <v>4</v>
      </c>
      <c r="C1998" s="7">
        <f t="shared" si="1"/>
        <v>76</v>
      </c>
      <c r="D1998" s="6" t="str">
        <f t="array" ref="D1998">IFERROR(INDEX(user_table!$C$2:$C3686,MATCH(C1998,user_table!$B$2:$B3686,0)),"")
</f>
        <v>Sinta Hidayat</v>
      </c>
      <c r="E1998" s="6" t="str">
        <f t="array" ref="E1998">IFERROR(INDEX(user_table!$E$2:$E3686,MATCH(C1998,user_table!$B$2:$B3686,0)),"")
</f>
        <v>3, 2</v>
      </c>
      <c r="F1998" s="6" t="str">
        <f t="shared" si="2"/>
        <v>14243476</v>
      </c>
      <c r="G1998" s="16">
        <v>3.0</v>
      </c>
      <c r="H1998" s="17">
        <v>45209.0</v>
      </c>
      <c r="I1998" s="18" t="s">
        <v>1966</v>
      </c>
    </row>
    <row r="1999">
      <c r="A1999" s="5" t="str">
        <f t="array" ref="A1999">INDEX(event_table!$A$2:$A$69, RANDBETWEEN(1, COUNTA(event_table!$A$2:$A$69)))</f>
        <v>1111</v>
      </c>
      <c r="B1999" s="6">
        <f t="array" ref="B1999">IFERROR(INDEX(event_table!$E$1:$E3686,MATCH(A1999,event_table!$A$1:$A3686,0)),"")
</f>
        <v>1</v>
      </c>
      <c r="C1999" s="7">
        <f t="shared" si="1"/>
        <v>66</v>
      </c>
      <c r="D1999" s="6" t="str">
        <f t="array" ref="D1999">IFERROR(INDEX(user_table!$C$2:$C3686,MATCH(C1999,user_table!$B$2:$B3686,0)),"")
</f>
        <v>Agus Wijaya</v>
      </c>
      <c r="E1999" s="6" t="str">
        <f t="array" ref="E1999">IFERROR(INDEX(user_table!$E$2:$E3686,MATCH(C1999,user_table!$B$2:$B3686,0)),"")
</f>
        <v>5, 3</v>
      </c>
      <c r="F1999" s="6" t="str">
        <f t="shared" si="2"/>
        <v>11113166</v>
      </c>
      <c r="G1999" s="16">
        <v>3.0</v>
      </c>
      <c r="H1999" s="17">
        <v>45183.0</v>
      </c>
      <c r="I1999" s="18" t="s">
        <v>1967</v>
      </c>
    </row>
    <row r="2000">
      <c r="A2000" s="5" t="str">
        <f t="array" ref="A2000">INDEX(event_table!$A$2:$A$69, RANDBETWEEN(1, COUNTA(event_table!$A$2:$A$69)))</f>
        <v>114</v>
      </c>
      <c r="B2000" s="6">
        <f t="array" ref="B2000">IFERROR(INDEX(event_table!$E$1:$E3686,MATCH(A2000,event_table!$A$1:$A3686,0)),"")
</f>
        <v>1</v>
      </c>
      <c r="C2000" s="7">
        <f t="shared" si="1"/>
        <v>67</v>
      </c>
      <c r="D2000" s="6" t="str">
        <f t="array" ref="D2000">IFERROR(INDEX(user_table!$C$2:$C3686,MATCH(C2000,user_table!$B$2:$B3686,0)),"")
</f>
        <v>Joko Pratama</v>
      </c>
      <c r="E2000" s="6" t="str">
        <f t="array" ref="E2000">IFERROR(INDEX(user_table!$E$2:$E3686,MATCH(C2000,user_table!$B$2:$B3686,0)),"")
</f>
        <v>1, 3</v>
      </c>
      <c r="F2000" s="6" t="str">
        <f t="shared" si="2"/>
        <v>1142167</v>
      </c>
      <c r="G2000" s="16">
        <v>2.0</v>
      </c>
      <c r="H2000" s="17">
        <v>45044.0</v>
      </c>
      <c r="I2000" s="18" t="s">
        <v>1968</v>
      </c>
    </row>
    <row r="2001">
      <c r="A2001" s="5" t="str">
        <f t="array" ref="A2001">INDEX(event_table!$A$2:$A$69, RANDBETWEEN(1, COUNTA(event_table!$A$2:$A$69)))</f>
        <v>1638</v>
      </c>
      <c r="B2001" s="6">
        <f t="array" ref="B2001">IFERROR(INDEX(event_table!$E$1:$E3686,MATCH(A2001,event_table!$A$1:$A3686,0)),"")
</f>
        <v>6</v>
      </c>
      <c r="C2001" s="7">
        <f t="shared" si="1"/>
        <v>57</v>
      </c>
      <c r="D2001" s="6" t="str">
        <f t="array" ref="D2001">IFERROR(INDEX(user_table!$C$2:$C3686,MATCH(C2001,user_table!$B$2:$B3686,0)),"")
</f>
        <v>Hadi Sari</v>
      </c>
      <c r="E2001" s="6" t="str">
        <f t="array" ref="E2001">IFERROR(INDEX(user_table!$E$2:$E3686,MATCH(C2001,user_table!$B$2:$B3686,0)),"")
</f>
        <v>2, 4</v>
      </c>
      <c r="F2001" s="6" t="str">
        <f t="shared" si="2"/>
        <v>16382657</v>
      </c>
      <c r="G2001" s="16">
        <v>2.0</v>
      </c>
      <c r="H2001" s="17">
        <v>45021.0</v>
      </c>
      <c r="I2001" s="18" t="s">
        <v>1969</v>
      </c>
    </row>
    <row r="2002">
      <c r="A2002" s="5" t="str">
        <f t="array" ref="A2002">INDEX(event_table!$A$2:$A$69, RANDBETWEEN(1, COUNTA(event_table!$A$2:$A$69)))</f>
        <v>1422</v>
      </c>
      <c r="B2002" s="6">
        <f t="array" ref="B2002">IFERROR(INDEX(event_table!$E$1:$E3686,MATCH(A2002,event_table!$A$1:$A3686,0)),"")
</f>
        <v>4</v>
      </c>
      <c r="C2002" s="7">
        <f t="shared" si="1"/>
        <v>29</v>
      </c>
      <c r="D2002" s="6" t="str">
        <f t="array" ref="D2002">IFERROR(INDEX(user_table!$C$2:$C3686,MATCH(C2002,user_table!$B$2:$B3686,0)),"")
</f>
        <v>Bambang Putri</v>
      </c>
      <c r="E2002" s="6" t="str">
        <f t="array" ref="E2002">IFERROR(INDEX(user_table!$E$2:$E3686,MATCH(C2002,user_table!$B$2:$B3686,0)),"")
</f>
        <v>3, 4</v>
      </c>
      <c r="F2002" s="6" t="str">
        <f t="shared" si="2"/>
        <v>14222429</v>
      </c>
      <c r="G2002" s="16">
        <v>2.0</v>
      </c>
      <c r="H2002" s="17">
        <v>44889.0</v>
      </c>
      <c r="I2002" s="18" t="s">
        <v>1970</v>
      </c>
    </row>
    <row r="2003">
      <c r="A2003" s="5" t="str">
        <f t="array" ref="A2003">INDEX(event_table!$A$2:$A$69, RANDBETWEEN(1, COUNTA(event_table!$A$2:$A$69)))</f>
        <v>1638</v>
      </c>
      <c r="B2003" s="6">
        <f t="array" ref="B2003">IFERROR(INDEX(event_table!$E$1:$E3686,MATCH(A2003,event_table!$A$1:$A3686,0)),"")
</f>
        <v>6</v>
      </c>
      <c r="C2003" s="7">
        <f t="shared" si="1"/>
        <v>176</v>
      </c>
      <c r="D2003" s="6" t="str">
        <f t="array" ref="D2003">IFERROR(INDEX(user_table!$C$2:$C3686,MATCH(C2003,user_table!$B$2:$B3686,0)),"")
</f>
        <v>Ani Hartono</v>
      </c>
      <c r="E2003" s="6" t="str">
        <f t="array" ref="E2003">IFERROR(INDEX(user_table!$E$2:$E3686,MATCH(C2003,user_table!$B$2:$B3686,0)),"")
</f>
        <v>2, 3</v>
      </c>
      <c r="F2003" s="6" t="str">
        <f t="shared" si="2"/>
        <v>163826176</v>
      </c>
      <c r="G2003" s="16">
        <v>2.0</v>
      </c>
      <c r="H2003" s="17">
        <v>44837.0</v>
      </c>
      <c r="I2003" s="18" t="s">
        <v>1971</v>
      </c>
    </row>
    <row r="2004">
      <c r="A2004" s="5" t="str">
        <f t="array" ref="A2004">INDEX(event_table!$A$2:$A$69, RANDBETWEEN(1, COUNTA(event_table!$A$2:$A$69)))</f>
        <v>1641</v>
      </c>
      <c r="B2004" s="6">
        <f t="array" ref="B2004">IFERROR(INDEX(event_table!$E$1:$E3686,MATCH(A2004,event_table!$A$1:$A3686,0)),"")
</f>
        <v>6</v>
      </c>
      <c r="C2004" s="7">
        <f t="shared" si="1"/>
        <v>132</v>
      </c>
      <c r="D2004" s="6" t="str">
        <f t="array" ref="D2004">IFERROR(INDEX(user_table!$C$2:$C3686,MATCH(C2004,user_table!$B$2:$B3686,0)),"")
</f>
        <v>Joko Hartono</v>
      </c>
      <c r="E2004" s="6" t="str">
        <f t="array" ref="E2004">IFERROR(INDEX(user_table!$E$2:$E3686,MATCH(C2004,user_table!$B$2:$B3686,0)),"")
</f>
        <v>1, 3</v>
      </c>
      <c r="F2004" s="6" t="str">
        <f t="shared" si="2"/>
        <v>164126132</v>
      </c>
      <c r="G2004" s="16">
        <v>2.0</v>
      </c>
      <c r="H2004" s="17">
        <v>45262.0</v>
      </c>
      <c r="I2004" s="18" t="s">
        <v>1972</v>
      </c>
    </row>
    <row r="2005">
      <c r="A2005" s="5" t="str">
        <f t="array" ref="A2005">INDEX(event_table!$A$2:$A$69, RANDBETWEEN(1, COUNTA(event_table!$A$2:$A$69)))</f>
        <v>3170</v>
      </c>
      <c r="B2005" s="6">
        <f t="array" ref="B2005">IFERROR(INDEX(event_table!$E$1:$E3686,MATCH(A2005,event_table!$A$1:$A3686,0)),"")
</f>
        <v>1</v>
      </c>
      <c r="C2005" s="7">
        <f t="shared" si="1"/>
        <v>22</v>
      </c>
      <c r="D2005" s="6" t="str">
        <f t="array" ref="D2005">IFERROR(INDEX(user_table!$C$2:$C3686,MATCH(C2005,user_table!$B$2:$B3686,0)),"")
</f>
        <v>Fajar Wijaya</v>
      </c>
      <c r="E2005" s="6" t="str">
        <f t="array" ref="E2005">IFERROR(INDEX(user_table!$E$2:$E3686,MATCH(C2005,user_table!$B$2:$B3686,0)),"")
</f>
        <v>2, 6</v>
      </c>
      <c r="F2005" s="6" t="str">
        <f t="shared" si="2"/>
        <v>31702122</v>
      </c>
      <c r="G2005" s="16">
        <v>2.0</v>
      </c>
      <c r="H2005" s="17">
        <v>45261.0</v>
      </c>
      <c r="I2005" s="18" t="s">
        <v>1973</v>
      </c>
    </row>
    <row r="2006">
      <c r="A2006" s="5" t="str">
        <f t="array" ref="A2006">INDEX(event_table!$A$2:$A$69, RANDBETWEEN(1, COUNTA(event_table!$A$2:$A$69)))</f>
        <v>1427</v>
      </c>
      <c r="B2006" s="6">
        <f t="array" ref="B2006">IFERROR(INDEX(event_table!$E$1:$E3686,MATCH(A2006,event_table!$A$1:$A3686,0)),"")
</f>
        <v>4</v>
      </c>
      <c r="C2006" s="7">
        <f t="shared" si="1"/>
        <v>69</v>
      </c>
      <c r="D2006" s="6" t="str">
        <f t="array" ref="D2006">IFERROR(INDEX(user_table!$C$2:$C3686,MATCH(C2006,user_table!$B$2:$B3686,0)),"")
</f>
        <v>Citra Rahayu</v>
      </c>
      <c r="E2006" s="6" t="str">
        <f t="array" ref="E2006">IFERROR(INDEX(user_table!$E$2:$E3686,MATCH(C2006,user_table!$B$2:$B3686,0)),"")
</f>
        <v>5, 5</v>
      </c>
      <c r="F2006" s="6" t="str">
        <f t="shared" si="2"/>
        <v>14272469</v>
      </c>
      <c r="G2006" s="16">
        <v>2.0</v>
      </c>
      <c r="H2006" s="17">
        <v>45089.0</v>
      </c>
      <c r="I2006" s="18" t="s">
        <v>1974</v>
      </c>
    </row>
    <row r="2007">
      <c r="A2007" s="5" t="str">
        <f t="array" ref="A2007">INDEX(event_table!$A$2:$A$69, RANDBETWEEN(1, COUNTA(event_table!$A$2:$A$69)))</f>
        <v>1215</v>
      </c>
      <c r="B2007" s="6">
        <f t="array" ref="B2007">IFERROR(INDEX(event_table!$E$1:$E3686,MATCH(A2007,event_table!$A$1:$A3686,0)),"")
</f>
        <v>2</v>
      </c>
      <c r="C2007" s="7">
        <f t="shared" si="1"/>
        <v>166</v>
      </c>
      <c r="D2007" s="6" t="str">
        <f t="array" ref="D2007">IFERROR(INDEX(user_table!$C$2:$C3686,MATCH(C2007,user_table!$B$2:$B3686,0)),"")
</f>
        <v>Fajar Nurhayati</v>
      </c>
      <c r="E2007" s="6" t="str">
        <f t="array" ref="E2007">IFERROR(INDEX(user_table!$E$2:$E3686,MATCH(C2007,user_table!$B$2:$B3686,0)),"")
</f>
        <v>3, 5</v>
      </c>
      <c r="F2007" s="6" t="str">
        <f t="shared" si="2"/>
        <v>121522166</v>
      </c>
      <c r="G2007" s="16">
        <v>2.0</v>
      </c>
      <c r="H2007" s="17">
        <v>45052.0</v>
      </c>
      <c r="I2007" s="18" t="s">
        <v>1975</v>
      </c>
    </row>
    <row r="2008">
      <c r="A2008" s="5" t="str">
        <f t="array" ref="A2008">INDEX(event_table!$A$2:$A$69, RANDBETWEEN(1, COUNTA(event_table!$A$2:$A$69)))</f>
        <v>1647</v>
      </c>
      <c r="B2008" s="6">
        <f t="array" ref="B2008">IFERROR(INDEX(event_table!$E$1:$E3686,MATCH(A2008,event_table!$A$1:$A3686,0)),"")
</f>
        <v>6</v>
      </c>
      <c r="C2008" s="7">
        <f t="shared" si="1"/>
        <v>16</v>
      </c>
      <c r="D2008" s="6" t="str">
        <f t="array" ref="D2008">IFERROR(INDEX(user_table!$C$2:$C3686,MATCH(C2008,user_table!$B$2:$B3686,0)),"")
</f>
        <v>Siti Utami</v>
      </c>
      <c r="E2008" s="6" t="str">
        <f t="array" ref="E2008">IFERROR(INDEX(user_table!$E$2:$E3686,MATCH(C2008,user_table!$B$2:$B3686,0)),"")
</f>
        <v>1, 2</v>
      </c>
      <c r="F2008" s="6" t="str">
        <f t="shared" si="2"/>
        <v>16472616</v>
      </c>
      <c r="G2008" s="16">
        <v>2.0</v>
      </c>
      <c r="H2008" s="17">
        <v>45047.0</v>
      </c>
      <c r="I2008" s="18" t="s">
        <v>1976</v>
      </c>
    </row>
    <row r="2009">
      <c r="A2009" s="5" t="str">
        <f t="array" ref="A2009">INDEX(event_table!$A$2:$A$69, RANDBETWEEN(1, COUNTA(event_table!$A$2:$A$69)))</f>
        <v>1644</v>
      </c>
      <c r="B2009" s="6">
        <f t="array" ref="B2009">IFERROR(INDEX(event_table!$E$1:$E3686,MATCH(A2009,event_table!$A$1:$A3686,0)),"")
</f>
        <v>6</v>
      </c>
      <c r="C2009" s="7">
        <f t="shared" si="1"/>
        <v>9</v>
      </c>
      <c r="D2009" s="6" t="str">
        <f t="array" ref="D2009">IFERROR(INDEX(user_table!$C$2:$C3686,MATCH(C2009,user_table!$B$2:$B3686,0)),"")
</f>
        <v>Dina Pratama</v>
      </c>
      <c r="E2009" s="6" t="str">
        <f t="array" ref="E2009">IFERROR(INDEX(user_table!$E$2:$E3686,MATCH(C2009,user_table!$B$2:$B3686,0)),"")
</f>
        <v>2, 3</v>
      </c>
      <c r="F2009" s="6" t="str">
        <f t="shared" si="2"/>
        <v>1644169</v>
      </c>
      <c r="G2009" s="16">
        <v>1.0</v>
      </c>
      <c r="H2009" s="17">
        <v>45240.0</v>
      </c>
      <c r="I2009" s="18" t="s">
        <v>1977</v>
      </c>
    </row>
    <row r="2010">
      <c r="A2010" s="5" t="str">
        <f t="array" ref="A2010">INDEX(event_table!$A$2:$A$69, RANDBETWEEN(1, COUNTA(event_table!$A$2:$A$69)))</f>
        <v>1652</v>
      </c>
      <c r="B2010" s="6">
        <f t="array" ref="B2010">IFERROR(INDEX(event_table!$E$1:$E3686,MATCH(A2010,event_table!$A$1:$A3686,0)),"")
</f>
        <v>6</v>
      </c>
      <c r="C2010" s="7">
        <f t="shared" si="1"/>
        <v>177</v>
      </c>
      <c r="D2010" s="6" t="str">
        <f t="array" ref="D2010">IFERROR(INDEX(user_table!$C$2:$C3686,MATCH(C2010,user_table!$B$2:$B3686,0)),"")
</f>
        <v>Andi Susanto</v>
      </c>
      <c r="E2010" s="6" t="str">
        <f t="array" ref="E2010">IFERROR(INDEX(user_table!$E$2:$E3686,MATCH(C2010,user_table!$B$2:$B3686,0)),"")
</f>
        <v>2, 6</v>
      </c>
      <c r="F2010" s="6" t="str">
        <f t="shared" si="2"/>
        <v>165216177</v>
      </c>
      <c r="G2010" s="16">
        <v>1.0</v>
      </c>
      <c r="H2010" s="17">
        <v>45241.0</v>
      </c>
      <c r="I2010" s="18" t="s">
        <v>1978</v>
      </c>
    </row>
    <row r="2011">
      <c r="A2011" s="5" t="str">
        <f t="array" ref="A2011">INDEX(event_table!$A$2:$A$69, RANDBETWEEN(1, COUNTA(event_table!$A$2:$A$69)))</f>
        <v>1651</v>
      </c>
      <c r="B2011" s="6">
        <f t="array" ref="B2011">IFERROR(INDEX(event_table!$E$1:$E3686,MATCH(A2011,event_table!$A$1:$A3686,0)),"")
</f>
        <v>6</v>
      </c>
      <c r="C2011" s="7">
        <f t="shared" si="1"/>
        <v>147</v>
      </c>
      <c r="D2011" s="6" t="str">
        <f t="array" ref="D2011">IFERROR(INDEX(user_table!$C$2:$C3686,MATCH(C2011,user_table!$B$2:$B3686,0)),"")
</f>
        <v>Fajar Saputra</v>
      </c>
      <c r="E2011" s="6" t="str">
        <f t="array" ref="E2011">IFERROR(INDEX(user_table!$E$2:$E3686,MATCH(C2011,user_table!$B$2:$B3686,0)),"")
</f>
        <v>6, 2</v>
      </c>
      <c r="F2011" s="6" t="str">
        <f t="shared" si="2"/>
        <v>165116147</v>
      </c>
      <c r="G2011" s="16">
        <v>1.0</v>
      </c>
      <c r="H2011" s="17">
        <v>45212.0</v>
      </c>
      <c r="I2011" s="18" t="s">
        <v>1979</v>
      </c>
    </row>
    <row r="2012">
      <c r="A2012" s="5" t="str">
        <f t="array" ref="A2012">INDEX(event_table!$A$2:$A$69, RANDBETWEEN(1, COUNTA(event_table!$A$2:$A$69)))</f>
        <v>119</v>
      </c>
      <c r="B2012" s="6">
        <f t="array" ref="B2012">IFERROR(INDEX(event_table!$E$1:$E3686,MATCH(A2012,event_table!$A$1:$A3686,0)),"")
</f>
        <v>1</v>
      </c>
      <c r="C2012" s="7">
        <f t="shared" si="1"/>
        <v>35</v>
      </c>
      <c r="D2012" s="6" t="str">
        <f t="array" ref="D2012">IFERROR(INDEX(user_table!$C$2:$C3686,MATCH(C2012,user_table!$B$2:$B3686,0)),"")
</f>
        <v>Maya Nugroho</v>
      </c>
      <c r="E2012" s="6" t="str">
        <f t="array" ref="E2012">IFERROR(INDEX(user_table!$E$2:$E3686,MATCH(C2012,user_table!$B$2:$B3686,0)),"")
</f>
        <v>6, 2</v>
      </c>
      <c r="F2012" s="6" t="str">
        <f t="shared" si="2"/>
        <v>1191135</v>
      </c>
      <c r="G2012" s="16">
        <v>1.0</v>
      </c>
      <c r="H2012" s="17">
        <v>45254.0</v>
      </c>
      <c r="I2012" s="18" t="s">
        <v>1980</v>
      </c>
    </row>
    <row r="2013">
      <c r="A2013" s="5" t="str">
        <f t="array" ref="A2013">INDEX(event_table!$A$2:$A$69, RANDBETWEEN(1, COUNTA(event_table!$A$2:$A$69)))</f>
        <v>116</v>
      </c>
      <c r="B2013" s="6">
        <f t="array" ref="B2013">IFERROR(INDEX(event_table!$E$1:$E3686,MATCH(A2013,event_table!$A$1:$A3686,0)),"")
</f>
        <v>1</v>
      </c>
      <c r="C2013" s="7">
        <f t="shared" si="1"/>
        <v>2</v>
      </c>
      <c r="D2013" s="6" t="str">
        <f t="array" ref="D2013">IFERROR(INDEX(user_table!$C$2:$C3686,MATCH(C2013,user_table!$B$2:$B3686,0)),"")
</f>
        <v>Dian Putri</v>
      </c>
      <c r="E2013" s="6" t="str">
        <f t="array" ref="E2013">IFERROR(INDEX(user_table!$E$2:$E3686,MATCH(C2013,user_table!$B$2:$B3686,0)),"")
</f>
        <v>1, 6</v>
      </c>
      <c r="F2013" s="6" t="str">
        <f t="shared" si="2"/>
        <v>116112</v>
      </c>
      <c r="G2013" s="16">
        <v>1.0</v>
      </c>
      <c r="H2013" s="17">
        <v>45230.0</v>
      </c>
      <c r="I2013" s="18" t="s">
        <v>1981</v>
      </c>
    </row>
    <row r="2014">
      <c r="A2014" s="5" t="str">
        <f t="array" ref="A2014">INDEX(event_table!$A$2:$A$69, RANDBETWEEN(1, COUNTA(event_table!$A$2:$A$69)))</f>
        <v>114</v>
      </c>
      <c r="B2014" s="6">
        <f t="array" ref="B2014">IFERROR(INDEX(event_table!$E$1:$E3686,MATCH(A2014,event_table!$A$1:$A3686,0)),"")
</f>
        <v>1</v>
      </c>
      <c r="C2014" s="7">
        <f t="shared" si="1"/>
        <v>42</v>
      </c>
      <c r="D2014" s="6" t="str">
        <f t="array" ref="D2014">IFERROR(INDEX(user_table!$C$2:$C3686,MATCH(C2014,user_table!$B$2:$B3686,0)),"")
</f>
        <v>Desi Putri</v>
      </c>
      <c r="E2014" s="6" t="str">
        <f t="array" ref="E2014">IFERROR(INDEX(user_table!$E$2:$E3686,MATCH(C2014,user_table!$B$2:$B3686,0)),"")
</f>
        <v>4, 6</v>
      </c>
      <c r="F2014" s="6" t="str">
        <f t="shared" si="2"/>
        <v>1141142</v>
      </c>
      <c r="G2014" s="16">
        <v>1.0</v>
      </c>
      <c r="H2014" s="17">
        <v>45145.0</v>
      </c>
      <c r="I2014" s="18" t="s">
        <v>1982</v>
      </c>
    </row>
    <row r="2015">
      <c r="A2015" s="5" t="str">
        <f t="array" ref="A2015">INDEX(event_table!$A$2:$A$69, RANDBETWEEN(1, COUNTA(event_table!$A$2:$A$69)))</f>
        <v>122</v>
      </c>
      <c r="B2015" s="6">
        <f t="array" ref="B2015">IFERROR(INDEX(event_table!$E$1:$E3686,MATCH(A2015,event_table!$A$1:$A3686,0)),"")
</f>
        <v>2</v>
      </c>
      <c r="C2015" s="7">
        <f t="shared" si="1"/>
        <v>38</v>
      </c>
      <c r="D2015" s="6" t="str">
        <f t="array" ref="D2015">IFERROR(INDEX(user_table!$C$2:$C3686,MATCH(C2015,user_table!$B$2:$B3686,0)),"")
</f>
        <v>Maya Utami</v>
      </c>
      <c r="E2015" s="6" t="str">
        <f t="array" ref="E2015">IFERROR(INDEX(user_table!$E$2:$E3686,MATCH(C2015,user_table!$B$2:$B3686,0)),"")
</f>
        <v>2, 1</v>
      </c>
      <c r="F2015" s="6" t="str">
        <f t="shared" si="2"/>
        <v>1221238</v>
      </c>
      <c r="G2015" s="16">
        <v>1.0</v>
      </c>
      <c r="H2015" s="17">
        <v>45145.0</v>
      </c>
      <c r="I2015" s="18" t="s">
        <v>1983</v>
      </c>
    </row>
    <row r="2016">
      <c r="A2016" s="5" t="str">
        <f t="array" ref="A2016">INDEX(event_table!$A$2:$A$69, RANDBETWEEN(1, COUNTA(event_table!$A$2:$A$69)))</f>
        <v>1648</v>
      </c>
      <c r="B2016" s="6">
        <f t="array" ref="B2016">IFERROR(INDEX(event_table!$E$1:$E3686,MATCH(A2016,event_table!$A$1:$A3686,0)),"")
</f>
        <v>6</v>
      </c>
      <c r="C2016" s="7">
        <f t="shared" si="1"/>
        <v>158</v>
      </c>
      <c r="D2016" s="6" t="str">
        <f t="array" ref="D2016">IFERROR(INDEX(user_table!$C$2:$C3686,MATCH(C2016,user_table!$B$2:$B3686,0)),"")
</f>
        <v>Maya Wijaya</v>
      </c>
      <c r="E2016" s="6" t="str">
        <f t="array" ref="E2016">IFERROR(INDEX(user_table!$E$2:$E3686,MATCH(C2016,user_table!$B$2:$B3686,0)),"")
</f>
        <v>3, 4</v>
      </c>
      <c r="F2016" s="6" t="str">
        <f t="shared" si="2"/>
        <v>164816158</v>
      </c>
      <c r="G2016" s="16">
        <v>1.0</v>
      </c>
      <c r="H2016" s="17">
        <v>45143.0</v>
      </c>
      <c r="I2016" s="18" t="s">
        <v>1984</v>
      </c>
    </row>
    <row r="2017">
      <c r="A2017" s="5" t="str">
        <f t="array" ref="A2017">INDEX(event_table!$A$2:$A$69, RANDBETWEEN(1, COUNTA(event_table!$A$2:$A$69)))</f>
        <v>1416</v>
      </c>
      <c r="B2017" s="6">
        <f t="array" ref="B2017">IFERROR(INDEX(event_table!$E$1:$E3686,MATCH(A2017,event_table!$A$1:$A3686,0)),"")
</f>
        <v>4</v>
      </c>
      <c r="C2017" s="7">
        <f t="shared" si="1"/>
        <v>58</v>
      </c>
      <c r="D2017" s="6" t="str">
        <f t="array" ref="D2017">IFERROR(INDEX(user_table!$C$2:$C3686,MATCH(C2017,user_table!$B$2:$B3686,0)),"")
</f>
        <v>Joko Septiani</v>
      </c>
      <c r="E2017" s="6" t="str">
        <f t="array" ref="E2017">IFERROR(INDEX(user_table!$E$2:$E3686,MATCH(C2017,user_table!$B$2:$B3686,0)),"")
</f>
        <v>2, 5</v>
      </c>
      <c r="F2017" s="6" t="str">
        <f t="shared" si="2"/>
        <v>14161458</v>
      </c>
      <c r="G2017" s="16">
        <v>1.0</v>
      </c>
      <c r="H2017" s="17">
        <v>45143.0</v>
      </c>
      <c r="I2017" s="18" t="s">
        <v>1985</v>
      </c>
    </row>
    <row r="2018">
      <c r="A2018" s="5" t="str">
        <f t="array" ref="A2018">INDEX(event_table!$A$2:$A$69, RANDBETWEEN(1, COUNTA(event_table!$A$2:$A$69)))</f>
        <v>1641</v>
      </c>
      <c r="B2018" s="6">
        <f t="array" ref="B2018">IFERROR(INDEX(event_table!$E$1:$E3686,MATCH(A2018,event_table!$A$1:$A3686,0)),"")
</f>
        <v>6</v>
      </c>
      <c r="C2018" s="7">
        <f t="shared" si="1"/>
        <v>24</v>
      </c>
      <c r="D2018" s="6" t="str">
        <f t="array" ref="D2018">IFERROR(INDEX(user_table!$C$2:$C3686,MATCH(C2018,user_table!$B$2:$B3686,0)),"")
</f>
        <v>Andi Septiani</v>
      </c>
      <c r="E2018" s="6" t="str">
        <f t="array" ref="E2018">IFERROR(INDEX(user_table!$E$2:$E3686,MATCH(C2018,user_table!$B$2:$B3686,0)),"")
</f>
        <v>2, 2</v>
      </c>
      <c r="F2018" s="6" t="str">
        <f t="shared" si="2"/>
        <v>16411624</v>
      </c>
      <c r="G2018" s="16">
        <v>1.0</v>
      </c>
      <c r="H2018" s="17">
        <v>45079.0</v>
      </c>
      <c r="I2018" s="18" t="s">
        <v>1986</v>
      </c>
    </row>
    <row r="2019">
      <c r="A2019" s="5" t="str">
        <f t="array" ref="A2019">INDEX(event_table!$A$2:$A$69, RANDBETWEEN(1, COUNTA(event_table!$A$2:$A$69)))</f>
        <v>3356</v>
      </c>
      <c r="B2019" s="6">
        <f t="array" ref="B2019">IFERROR(INDEX(event_table!$E$1:$E3686,MATCH(A2019,event_table!$A$1:$A3686,0)),"")
</f>
        <v>3</v>
      </c>
      <c r="C2019" s="7">
        <f t="shared" si="1"/>
        <v>17</v>
      </c>
      <c r="D2019" s="6" t="str">
        <f t="array" ref="D2019">IFERROR(INDEX(user_table!$C$2:$C3686,MATCH(C2019,user_table!$B$2:$B3686,0)),"")
</f>
        <v>Fajar Wijaya</v>
      </c>
      <c r="E2019" s="6" t="str">
        <f t="array" ref="E2019">IFERROR(INDEX(user_table!$E$2:$E3686,MATCH(C2019,user_table!$B$2:$B3686,0)),"")
</f>
        <v>1, 1</v>
      </c>
      <c r="F2019" s="6" t="str">
        <f t="shared" si="2"/>
        <v>33561317</v>
      </c>
      <c r="G2019" s="16">
        <v>1.0</v>
      </c>
      <c r="H2019" s="17">
        <v>45077.0</v>
      </c>
      <c r="I2019" s="18" t="s">
        <v>1987</v>
      </c>
    </row>
    <row r="2020">
      <c r="A2020" s="5" t="str">
        <f t="array" ref="A2020">INDEX(event_table!$A$2:$A$69, RANDBETWEEN(1, COUNTA(event_table!$A$2:$A$69)))</f>
        <v>1332</v>
      </c>
      <c r="B2020" s="6">
        <f t="array" ref="B2020">IFERROR(INDEX(event_table!$E$1:$E3686,MATCH(A2020,event_table!$A$1:$A3686,0)),"")
</f>
        <v>3</v>
      </c>
      <c r="C2020" s="7">
        <f t="shared" si="1"/>
        <v>190</v>
      </c>
      <c r="D2020" s="6" t="str">
        <f t="array" ref="D2020">IFERROR(INDEX(user_table!$C$2:$C3686,MATCH(C2020,user_table!$B$2:$B3686,0)),"")
</f>
        <v>Fajar Santoso</v>
      </c>
      <c r="E2020" s="6" t="str">
        <f t="array" ref="E2020">IFERROR(INDEX(user_table!$E$2:$E3686,MATCH(C2020,user_table!$B$2:$B3686,0)),"")
</f>
        <v>1, 3</v>
      </c>
      <c r="F2020" s="6" t="str">
        <f t="shared" si="2"/>
        <v>133213190</v>
      </c>
      <c r="G2020" s="16">
        <v>1.0</v>
      </c>
      <c r="H2020" s="17">
        <v>45059.0</v>
      </c>
      <c r="I2020" s="18" t="s">
        <v>1988</v>
      </c>
    </row>
    <row r="2021">
      <c r="A2021" s="5" t="str">
        <f t="array" ref="A2021">INDEX(event_table!$A$2:$A$69, RANDBETWEEN(1, COUNTA(event_table!$A$2:$A$69)))</f>
        <v>3455</v>
      </c>
      <c r="B2021" s="6">
        <f t="array" ref="B2021">IFERROR(INDEX(event_table!$E$1:$E3686,MATCH(A2021,event_table!$A$1:$A3686,0)),"")
</f>
        <v>4</v>
      </c>
      <c r="C2021" s="7">
        <f t="shared" si="1"/>
        <v>148</v>
      </c>
      <c r="D2021" s="6" t="str">
        <f t="array" ref="D2021">IFERROR(INDEX(user_table!$C$2:$C3686,MATCH(C2021,user_table!$B$2:$B3686,0)),"")
</f>
        <v>Fajar Setiawan</v>
      </c>
      <c r="E2021" s="6" t="str">
        <f t="array" ref="E2021">IFERROR(INDEX(user_table!$E$2:$E3686,MATCH(C2021,user_table!$B$2:$B3686,0)),"")
</f>
        <v>6, 4</v>
      </c>
      <c r="F2021" s="6" t="str">
        <f t="shared" si="2"/>
        <v>345514148</v>
      </c>
      <c r="G2021" s="16">
        <v>1.0</v>
      </c>
      <c r="H2021" s="17">
        <v>45036.0</v>
      </c>
      <c r="I2021" s="18" t="s">
        <v>1989</v>
      </c>
    </row>
    <row r="2022">
      <c r="A2022" s="5" t="str">
        <f t="array" ref="A2022">INDEX(event_table!$A$2:$A$69, RANDBETWEEN(1, COUNTA(event_table!$A$2:$A$69)))</f>
        <v>3169</v>
      </c>
      <c r="B2022" s="6">
        <f t="array" ref="B2022">IFERROR(INDEX(event_table!$E$1:$E3686,MATCH(A2022,event_table!$A$1:$A3686,0)),"")
</f>
        <v>1</v>
      </c>
      <c r="C2022" s="7">
        <f t="shared" si="1"/>
        <v>98</v>
      </c>
      <c r="D2022" s="6" t="str">
        <f t="array" ref="D2022">IFERROR(INDEX(user_table!$C$2:$C3686,MATCH(C2022,user_table!$B$2:$B3686,0)),"")
</f>
        <v>Agus Hidayat</v>
      </c>
      <c r="E2022" s="6" t="str">
        <f t="array" ref="E2022">IFERROR(INDEX(user_table!$E$2:$E3686,MATCH(C2022,user_table!$B$2:$B3686,0)),"")
</f>
        <v>3, 6</v>
      </c>
      <c r="F2022" s="6" t="str">
        <f t="shared" si="2"/>
        <v>31695198</v>
      </c>
      <c r="G2022" s="16">
        <v>5.0</v>
      </c>
      <c r="H2022" s="17">
        <v>44738.0</v>
      </c>
      <c r="I2022" s="18" t="s">
        <v>1990</v>
      </c>
    </row>
    <row r="2023">
      <c r="A2023" s="5" t="str">
        <f t="array" ref="A2023">INDEX(event_table!$A$2:$A$69, RANDBETWEEN(1, COUNTA(event_table!$A$2:$A$69)))</f>
        <v>3167</v>
      </c>
      <c r="B2023" s="6">
        <f t="array" ref="B2023">IFERROR(INDEX(event_table!$E$1:$E3686,MATCH(A2023,event_table!$A$1:$A3686,0)),"")
</f>
        <v>1</v>
      </c>
      <c r="C2023" s="7">
        <f t="shared" si="1"/>
        <v>173</v>
      </c>
      <c r="D2023" s="6" t="str">
        <f t="array" ref="D2023">IFERROR(INDEX(user_table!$C$2:$C3686,MATCH(C2023,user_table!$B$2:$B3686,0)),"")
</f>
        <v>Fajar Putri</v>
      </c>
      <c r="E2023" s="6" t="str">
        <f t="array" ref="E2023">IFERROR(INDEX(user_table!$E$2:$E3686,MATCH(C2023,user_table!$B$2:$B3686,0)),"")
</f>
        <v>2, 6</v>
      </c>
      <c r="F2023" s="6" t="str">
        <f t="shared" si="2"/>
        <v>316751173</v>
      </c>
      <c r="G2023" s="16">
        <v>5.0</v>
      </c>
      <c r="H2023" s="17">
        <v>44733.0</v>
      </c>
      <c r="I2023" s="18" t="s">
        <v>1991</v>
      </c>
    </row>
    <row r="2024">
      <c r="A2024" s="5" t="str">
        <f t="array" ref="A2024">INDEX(event_table!$A$2:$A$69, RANDBETWEEN(1, COUNTA(event_table!$A$2:$A$69)))</f>
        <v>1528</v>
      </c>
      <c r="B2024" s="6">
        <f t="array" ref="B2024">IFERROR(INDEX(event_table!$E$1:$E3686,MATCH(A2024,event_table!$A$1:$A3686,0)),"")
</f>
        <v>5</v>
      </c>
      <c r="C2024" s="7">
        <f t="shared" si="1"/>
        <v>165</v>
      </c>
      <c r="D2024" s="6" t="str">
        <f t="array" ref="D2024">IFERROR(INDEX(user_table!$C$2:$C3686,MATCH(C2024,user_table!$B$2:$B3686,0)),"")
</f>
        <v>Agus Pratama</v>
      </c>
      <c r="E2024" s="6" t="str">
        <f t="array" ref="E2024">IFERROR(INDEX(user_table!$E$2:$E3686,MATCH(C2024,user_table!$B$2:$B3686,0)),"")
</f>
        <v>6, 2</v>
      </c>
      <c r="F2024" s="6" t="str">
        <f t="shared" si="2"/>
        <v>152855165</v>
      </c>
      <c r="G2024" s="16">
        <v>5.0</v>
      </c>
      <c r="H2024" s="17">
        <v>44728.0</v>
      </c>
      <c r="I2024" s="18" t="s">
        <v>1992</v>
      </c>
    </row>
    <row r="2025">
      <c r="A2025" s="5" t="str">
        <f t="array" ref="A2025">INDEX(event_table!$A$2:$A$69, RANDBETWEEN(1, COUNTA(event_table!$A$2:$A$69)))</f>
        <v>1529</v>
      </c>
      <c r="B2025" s="6">
        <f t="array" ref="B2025">IFERROR(INDEX(event_table!$E$1:$E3686,MATCH(A2025,event_table!$A$1:$A3686,0)),"")
</f>
        <v>5</v>
      </c>
      <c r="C2025" s="7">
        <f t="shared" si="1"/>
        <v>135</v>
      </c>
      <c r="D2025" s="6" t="str">
        <f t="array" ref="D2025">IFERROR(INDEX(user_table!$C$2:$C3686,MATCH(C2025,user_table!$B$2:$B3686,0)),"")
</f>
        <v>Sinta Hermawan</v>
      </c>
      <c r="E2025" s="6" t="str">
        <f t="array" ref="E2025">IFERROR(INDEX(user_table!$E$2:$E3686,MATCH(C2025,user_table!$B$2:$B3686,0)),"")
</f>
        <v>1, 5</v>
      </c>
      <c r="F2025" s="6" t="str">
        <f t="shared" si="2"/>
        <v>152955135</v>
      </c>
      <c r="G2025" s="16">
        <v>5.0</v>
      </c>
      <c r="H2025" s="17">
        <v>44723.0</v>
      </c>
      <c r="I2025" s="18" t="s">
        <v>1993</v>
      </c>
    </row>
    <row r="2026">
      <c r="A2026" s="5" t="str">
        <f t="array" ref="A2026">INDEX(event_table!$A$2:$A$69, RANDBETWEEN(1, COUNTA(event_table!$A$2:$A$69)))</f>
        <v>1418</v>
      </c>
      <c r="B2026" s="6">
        <f t="array" ref="B2026">IFERROR(INDEX(event_table!$E$1:$E3686,MATCH(A2026,event_table!$A$1:$A3686,0)),"")
</f>
        <v>4</v>
      </c>
      <c r="C2026" s="7">
        <f t="shared" si="1"/>
        <v>18</v>
      </c>
      <c r="D2026" s="6" t="str">
        <f t="array" ref="D2026">IFERROR(INDEX(user_table!$C$2:$C3686,MATCH(C2026,user_table!$B$2:$B3686,0)),"")
</f>
        <v>Rudi Santoso</v>
      </c>
      <c r="E2026" s="6" t="str">
        <f t="array" ref="E2026">IFERROR(INDEX(user_table!$E$2:$E3686,MATCH(C2026,user_table!$B$2:$B3686,0)),"")
</f>
        <v>4, 2</v>
      </c>
      <c r="F2026" s="6" t="str">
        <f t="shared" si="2"/>
        <v>14185418</v>
      </c>
      <c r="G2026" s="16">
        <v>5.0</v>
      </c>
      <c r="H2026" s="17">
        <v>44707.0</v>
      </c>
      <c r="I2026" s="18" t="s">
        <v>1994</v>
      </c>
    </row>
    <row r="2027">
      <c r="A2027" s="5" t="str">
        <f t="array" ref="A2027">INDEX(event_table!$A$2:$A$69, RANDBETWEEN(1, COUNTA(event_table!$A$2:$A$69)))</f>
        <v>1638</v>
      </c>
      <c r="B2027" s="6">
        <f t="array" ref="B2027">IFERROR(INDEX(event_table!$E$1:$E3686,MATCH(A2027,event_table!$A$1:$A3686,0)),"")
</f>
        <v>6</v>
      </c>
      <c r="C2027" s="7">
        <f t="shared" si="1"/>
        <v>171</v>
      </c>
      <c r="D2027" s="6" t="str">
        <f t="array" ref="D2027">IFERROR(INDEX(user_table!$C$2:$C3686,MATCH(C2027,user_table!$B$2:$B3686,0)),"")
</f>
        <v>Andi Santoso</v>
      </c>
      <c r="E2027" s="6" t="str">
        <f t="array" ref="E2027">IFERROR(INDEX(user_table!$E$2:$E3686,MATCH(C2027,user_table!$B$2:$B3686,0)),"")
</f>
        <v>4, 3</v>
      </c>
      <c r="F2027" s="6" t="str">
        <f t="shared" si="2"/>
        <v>163856171</v>
      </c>
      <c r="G2027" s="16">
        <v>5.0</v>
      </c>
      <c r="H2027" s="17">
        <v>44698.0</v>
      </c>
      <c r="I2027" s="18" t="s">
        <v>1995</v>
      </c>
    </row>
    <row r="2028">
      <c r="A2028" s="5" t="str">
        <f t="array" ref="A2028">INDEX(event_table!$A$2:$A$69, RANDBETWEEN(1, COUNTA(event_table!$A$2:$A$69)))</f>
        <v>1423</v>
      </c>
      <c r="B2028" s="6">
        <f t="array" ref="B2028">IFERROR(INDEX(event_table!$E$1:$E3686,MATCH(A2028,event_table!$A$1:$A3686,0)),"")
</f>
        <v>4</v>
      </c>
      <c r="C2028" s="7">
        <f t="shared" si="1"/>
        <v>99</v>
      </c>
      <c r="D2028" s="6" t="str">
        <f t="array" ref="D2028">IFERROR(INDEX(user_table!$C$2:$C3686,MATCH(C2028,user_table!$B$2:$B3686,0)),"")
</f>
        <v>Maya Nugroho</v>
      </c>
      <c r="E2028" s="6" t="str">
        <f t="array" ref="E2028">IFERROR(INDEX(user_table!$E$2:$E3686,MATCH(C2028,user_table!$B$2:$B3686,0)),"")
</f>
        <v>6, 1</v>
      </c>
      <c r="F2028" s="6" t="str">
        <f t="shared" si="2"/>
        <v>14235499</v>
      </c>
      <c r="G2028" s="16">
        <v>5.0</v>
      </c>
      <c r="H2028" s="17">
        <v>44691.0</v>
      </c>
      <c r="I2028" s="18" t="s">
        <v>1996</v>
      </c>
    </row>
    <row r="2029">
      <c r="A2029" s="5" t="str">
        <f t="array" ref="A2029">INDEX(event_table!$A$2:$A$69, RANDBETWEEN(1, COUNTA(event_table!$A$2:$A$69)))</f>
        <v>3658</v>
      </c>
      <c r="B2029" s="6">
        <f t="array" ref="B2029">IFERROR(INDEX(event_table!$E$1:$E3686,MATCH(A2029,event_table!$A$1:$A3686,0)),"")
</f>
        <v>6</v>
      </c>
      <c r="C2029" s="7">
        <f t="shared" si="1"/>
        <v>158</v>
      </c>
      <c r="D2029" s="6" t="str">
        <f t="array" ref="D2029">IFERROR(INDEX(user_table!$C$2:$C3686,MATCH(C2029,user_table!$B$2:$B3686,0)),"")
</f>
        <v>Maya Wijaya</v>
      </c>
      <c r="E2029" s="6" t="str">
        <f t="array" ref="E2029">IFERROR(INDEX(user_table!$E$2:$E3686,MATCH(C2029,user_table!$B$2:$B3686,0)),"")
</f>
        <v>3, 4</v>
      </c>
      <c r="F2029" s="6" t="str">
        <f t="shared" si="2"/>
        <v>365856158</v>
      </c>
      <c r="G2029" s="16">
        <v>5.0</v>
      </c>
      <c r="H2029" s="17">
        <v>44687.0</v>
      </c>
      <c r="I2029" s="18" t="s">
        <v>1997</v>
      </c>
    </row>
    <row r="2030">
      <c r="A2030" s="5" t="str">
        <f t="array" ref="A2030">INDEX(event_table!$A$2:$A$69, RANDBETWEEN(1, COUNTA(event_table!$A$2:$A$69)))</f>
        <v>1422</v>
      </c>
      <c r="B2030" s="6">
        <f t="array" ref="B2030">IFERROR(INDEX(event_table!$E$1:$E3686,MATCH(A2030,event_table!$A$1:$A3686,0)),"")
</f>
        <v>4</v>
      </c>
      <c r="C2030" s="7">
        <f t="shared" si="1"/>
        <v>173</v>
      </c>
      <c r="D2030" s="6" t="str">
        <f t="array" ref="D2030">IFERROR(INDEX(user_table!$C$2:$C3686,MATCH(C2030,user_table!$B$2:$B3686,0)),"")
</f>
        <v>Fajar Putri</v>
      </c>
      <c r="E2030" s="6" t="str">
        <f t="array" ref="E2030">IFERROR(INDEX(user_table!$E$2:$E3686,MATCH(C2030,user_table!$B$2:$B3686,0)),"")
</f>
        <v>2, 6</v>
      </c>
      <c r="F2030" s="6" t="str">
        <f t="shared" si="2"/>
        <v>142254173</v>
      </c>
      <c r="G2030" s="16">
        <v>5.0</v>
      </c>
      <c r="H2030" s="17">
        <v>44687.0</v>
      </c>
      <c r="I2030" s="18" t="s">
        <v>1998</v>
      </c>
    </row>
    <row r="2031">
      <c r="A2031" s="5" t="str">
        <f t="array" ref="A2031">INDEX(event_table!$A$2:$A$69, RANDBETWEEN(1, COUNTA(event_table!$A$2:$A$69)))</f>
        <v>3162</v>
      </c>
      <c r="B2031" s="6">
        <f t="array" ref="B2031">IFERROR(INDEX(event_table!$E$1:$E3686,MATCH(A2031,event_table!$A$1:$A3686,0)),"")
</f>
        <v>1</v>
      </c>
      <c r="C2031" s="7">
        <f t="shared" si="1"/>
        <v>58</v>
      </c>
      <c r="D2031" s="6" t="str">
        <f t="array" ref="D2031">IFERROR(INDEX(user_table!$C$2:$C3686,MATCH(C2031,user_table!$B$2:$B3686,0)),"")
</f>
        <v>Joko Septiani</v>
      </c>
      <c r="E2031" s="6" t="str">
        <f t="array" ref="E2031">IFERROR(INDEX(user_table!$E$2:$E3686,MATCH(C2031,user_table!$B$2:$B3686,0)),"")
</f>
        <v>2, 5</v>
      </c>
      <c r="F2031" s="6" t="str">
        <f t="shared" si="2"/>
        <v>31625158</v>
      </c>
      <c r="G2031" s="16">
        <v>5.0</v>
      </c>
      <c r="H2031" s="17">
        <v>44683.0</v>
      </c>
      <c r="I2031" s="18" t="s">
        <v>1999</v>
      </c>
    </row>
    <row r="2032">
      <c r="A2032" s="5" t="str">
        <f t="array" ref="A2032">INDEX(event_table!$A$2:$A$69, RANDBETWEEN(1, COUNTA(event_table!$A$2:$A$69)))</f>
        <v>3166</v>
      </c>
      <c r="B2032" s="6">
        <f t="array" ref="B2032">IFERROR(INDEX(event_table!$E$1:$E3686,MATCH(A2032,event_table!$A$1:$A3686,0)),"")
</f>
        <v>1</v>
      </c>
      <c r="C2032" s="7">
        <f t="shared" si="1"/>
        <v>200</v>
      </c>
      <c r="D2032" s="6" t="str">
        <f t="array" ref="D2032">IFERROR(INDEX(user_table!$C$2:$C3686,MATCH(C2032,user_table!$B$2:$B3686,0)),"")
</f>
        <v>Dina Susanto</v>
      </c>
      <c r="E2032" s="6" t="str">
        <f t="array" ref="E2032">IFERROR(INDEX(user_table!$E$2:$E3686,MATCH(C2032,user_table!$B$2:$B3686,0)),"")
</f>
        <v>5, 4</v>
      </c>
      <c r="F2032" s="6" t="str">
        <f t="shared" si="2"/>
        <v>316651200</v>
      </c>
      <c r="G2032" s="16">
        <v>5.0</v>
      </c>
      <c r="H2032" s="17">
        <v>45250.0</v>
      </c>
      <c r="I2032" s="18" t="s">
        <v>1266</v>
      </c>
    </row>
    <row r="2033">
      <c r="A2033" s="5" t="str">
        <f t="array" ref="A2033">INDEX(event_table!$A$2:$A$69, RANDBETWEEN(1, COUNTA(event_table!$A$2:$A$69)))</f>
        <v>1212</v>
      </c>
      <c r="B2033" s="6">
        <f t="array" ref="B2033">IFERROR(INDEX(event_table!$E$1:$E3686,MATCH(A2033,event_table!$A$1:$A3686,0)),"")
</f>
        <v>2</v>
      </c>
      <c r="C2033" s="7">
        <f t="shared" si="1"/>
        <v>54</v>
      </c>
      <c r="D2033" s="6" t="str">
        <f t="array" ref="D2033">IFERROR(INDEX(user_table!$C$2:$C3686,MATCH(C2033,user_table!$B$2:$B3686,0)),"")
</f>
        <v>Andi Kurniawan</v>
      </c>
      <c r="E2033" s="6" t="str">
        <f t="array" ref="E2033">IFERROR(INDEX(user_table!$E$2:$E3686,MATCH(C2033,user_table!$B$2:$B3686,0)),"")
</f>
        <v>4, 4</v>
      </c>
      <c r="F2033" s="6" t="str">
        <f t="shared" si="2"/>
        <v>12125254</v>
      </c>
      <c r="G2033" s="16">
        <v>5.0</v>
      </c>
      <c r="H2033" s="17">
        <v>44928.0</v>
      </c>
      <c r="I2033" s="18" t="s">
        <v>2000</v>
      </c>
    </row>
    <row r="2034">
      <c r="A2034" s="5" t="str">
        <f t="array" ref="A2034">INDEX(event_table!$A$2:$A$69, RANDBETWEEN(1, COUNTA(event_table!$A$2:$A$69)))</f>
        <v>1650</v>
      </c>
      <c r="B2034" s="6">
        <f t="array" ref="B2034">IFERROR(INDEX(event_table!$E$1:$E3686,MATCH(A2034,event_table!$A$1:$A3686,0)),"")
</f>
        <v>6</v>
      </c>
      <c r="C2034" s="7">
        <f t="shared" si="1"/>
        <v>16</v>
      </c>
      <c r="D2034" s="6" t="str">
        <f t="array" ref="D2034">IFERROR(INDEX(user_table!$C$2:$C3686,MATCH(C2034,user_table!$B$2:$B3686,0)),"")
</f>
        <v>Siti Utami</v>
      </c>
      <c r="E2034" s="6" t="str">
        <f t="array" ref="E2034">IFERROR(INDEX(user_table!$E$2:$E3686,MATCH(C2034,user_table!$B$2:$B3686,0)),"")
</f>
        <v>1, 2</v>
      </c>
      <c r="F2034" s="6" t="str">
        <f t="shared" si="2"/>
        <v>16505616</v>
      </c>
      <c r="G2034" s="16">
        <v>5.0</v>
      </c>
      <c r="H2034" s="17">
        <v>44865.0</v>
      </c>
      <c r="I2034" s="18" t="s">
        <v>1269</v>
      </c>
    </row>
    <row r="2035">
      <c r="A2035" s="5" t="str">
        <f t="array" ref="A2035">INDEX(event_table!$A$2:$A$69, RANDBETWEEN(1, COUNTA(event_table!$A$2:$A$69)))</f>
        <v>1645</v>
      </c>
      <c r="B2035" s="6">
        <f t="array" ref="B2035">IFERROR(INDEX(event_table!$E$1:$E3686,MATCH(A2035,event_table!$A$1:$A3686,0)),"")
</f>
        <v>6</v>
      </c>
      <c r="C2035" s="7">
        <f t="shared" si="1"/>
        <v>7</v>
      </c>
      <c r="D2035" s="6" t="str">
        <f t="array" ref="D2035">IFERROR(INDEX(user_table!$C$2:$C3686,MATCH(C2035,user_table!$B$2:$B3686,0)),"")
</f>
        <v>Maya Sari</v>
      </c>
      <c r="E2035" s="6" t="str">
        <f t="array" ref="E2035">IFERROR(INDEX(user_table!$E$2:$E3686,MATCH(C2035,user_table!$B$2:$B3686,0)),"")
</f>
        <v>5, 2</v>
      </c>
      <c r="F2035" s="6" t="str">
        <f t="shared" si="2"/>
        <v>1645567</v>
      </c>
      <c r="G2035" s="16">
        <v>5.0</v>
      </c>
      <c r="H2035" s="17">
        <v>44779.0</v>
      </c>
      <c r="I2035" s="18" t="s">
        <v>2001</v>
      </c>
    </row>
    <row r="2036">
      <c r="A2036" s="5" t="str">
        <f t="array" ref="A2036">INDEX(event_table!$A$2:$A$69, RANDBETWEEN(1, COUNTA(event_table!$A$2:$A$69)))</f>
        <v>1530</v>
      </c>
      <c r="B2036" s="6">
        <f t="array" ref="B2036">IFERROR(INDEX(event_table!$E$1:$E3686,MATCH(A2036,event_table!$A$1:$A3686,0)),"")
</f>
        <v>5</v>
      </c>
      <c r="C2036" s="7">
        <f t="shared" si="1"/>
        <v>79</v>
      </c>
      <c r="D2036" s="6" t="str">
        <f t="array" ref="D2036">IFERROR(INDEX(user_table!$C$2:$C3686,MATCH(C2036,user_table!$B$2:$B3686,0)),"")
</f>
        <v>Arif Nugroho</v>
      </c>
      <c r="E2036" s="6" t="str">
        <f t="array" ref="E2036">IFERROR(INDEX(user_table!$E$2:$E3686,MATCH(C2036,user_table!$B$2:$B3686,0)),"")
</f>
        <v>2, 3</v>
      </c>
      <c r="F2036" s="6" t="str">
        <f t="shared" si="2"/>
        <v>15305579</v>
      </c>
      <c r="G2036" s="16">
        <v>5.0</v>
      </c>
      <c r="H2036" s="17">
        <v>44753.0</v>
      </c>
      <c r="I2036" s="18" t="s">
        <v>2002</v>
      </c>
    </row>
    <row r="2037">
      <c r="A2037" s="5" t="str">
        <f t="array" ref="A2037">INDEX(event_table!$A$2:$A$69, RANDBETWEEN(1, COUNTA(event_table!$A$2:$A$69)))</f>
        <v>1641</v>
      </c>
      <c r="B2037" s="6">
        <f t="array" ref="B2037">IFERROR(INDEX(event_table!$E$1:$E3686,MATCH(A2037,event_table!$A$1:$A3686,0)),"")
</f>
        <v>6</v>
      </c>
      <c r="C2037" s="7">
        <f t="shared" si="1"/>
        <v>92</v>
      </c>
      <c r="D2037" s="6" t="str">
        <f t="array" ref="D2037">IFERROR(INDEX(user_table!$C$2:$C3686,MATCH(C2037,user_table!$B$2:$B3686,0)),"")
</f>
        <v>Andi Susanto</v>
      </c>
      <c r="E2037" s="6" t="str">
        <f t="array" ref="E2037">IFERROR(INDEX(user_table!$E$2:$E3686,MATCH(C2037,user_table!$B$2:$B3686,0)),"")
</f>
        <v>4, 4</v>
      </c>
      <c r="F2037" s="6" t="str">
        <f t="shared" si="2"/>
        <v>16415692</v>
      </c>
      <c r="G2037" s="16">
        <v>5.0</v>
      </c>
      <c r="H2037" s="17">
        <v>44734.0</v>
      </c>
      <c r="I2037" s="18" t="s">
        <v>2003</v>
      </c>
    </row>
    <row r="2038">
      <c r="A2038" s="5" t="str">
        <f t="array" ref="A2038">INDEX(event_table!$A$2:$A$69, RANDBETWEEN(1, COUNTA(event_table!$A$2:$A$69)))</f>
        <v>3657</v>
      </c>
      <c r="B2038" s="6">
        <f t="array" ref="B2038">IFERROR(INDEX(event_table!$E$1:$E3686,MATCH(A2038,event_table!$A$1:$A3686,0)),"")
</f>
        <v>6</v>
      </c>
      <c r="C2038" s="7">
        <f t="shared" si="1"/>
        <v>175</v>
      </c>
      <c r="D2038" s="6" t="str">
        <f t="array" ref="D2038">IFERROR(INDEX(user_table!$C$2:$C3686,MATCH(C2038,user_table!$B$2:$B3686,0)),"")
</f>
        <v>Siti Septiani</v>
      </c>
      <c r="E2038" s="6" t="str">
        <f t="array" ref="E2038">IFERROR(INDEX(user_table!$E$2:$E3686,MATCH(C2038,user_table!$B$2:$B3686,0)),"")
</f>
        <v>2, 5</v>
      </c>
      <c r="F2038" s="6" t="str">
        <f t="shared" si="2"/>
        <v>365756175</v>
      </c>
      <c r="G2038" s="16">
        <v>5.0</v>
      </c>
      <c r="H2038" s="17">
        <v>44725.0</v>
      </c>
      <c r="I2038" s="18" t="s">
        <v>2004</v>
      </c>
    </row>
    <row r="2039">
      <c r="A2039" s="5" t="str">
        <f t="array" ref="A2039">INDEX(event_table!$A$2:$A$69, RANDBETWEEN(1, COUNTA(event_table!$A$2:$A$69)))</f>
        <v>1422</v>
      </c>
      <c r="B2039" s="6">
        <f t="array" ref="B2039">IFERROR(INDEX(event_table!$E$1:$E3686,MATCH(A2039,event_table!$A$1:$A3686,0)),"")
</f>
        <v>4</v>
      </c>
      <c r="C2039" s="7">
        <f t="shared" si="1"/>
        <v>46</v>
      </c>
      <c r="D2039" s="6" t="str">
        <f t="array" ref="D2039">IFERROR(INDEX(user_table!$C$2:$C3686,MATCH(C2039,user_table!$B$2:$B3686,0)),"")
</f>
        <v>Dian Wijaya</v>
      </c>
      <c r="E2039" s="6" t="str">
        <f t="array" ref="E2039">IFERROR(INDEX(user_table!$E$2:$E3686,MATCH(C2039,user_table!$B$2:$B3686,0)),"")
</f>
        <v>2, 2</v>
      </c>
      <c r="F2039" s="6" t="str">
        <f t="shared" si="2"/>
        <v>14225446</v>
      </c>
      <c r="G2039" s="16">
        <v>5.0</v>
      </c>
      <c r="H2039" s="17">
        <v>44725.0</v>
      </c>
      <c r="I2039" s="18" t="s">
        <v>2005</v>
      </c>
    </row>
    <row r="2040">
      <c r="A2040" s="5" t="str">
        <f t="array" ref="A2040">INDEX(event_table!$A$2:$A$69, RANDBETWEEN(1, COUNTA(event_table!$A$2:$A$69)))</f>
        <v>1423</v>
      </c>
      <c r="B2040" s="6">
        <f t="array" ref="B2040">IFERROR(INDEX(event_table!$E$1:$E3686,MATCH(A2040,event_table!$A$1:$A3686,0)),"")
</f>
        <v>4</v>
      </c>
      <c r="C2040" s="7">
        <f t="shared" si="1"/>
        <v>63</v>
      </c>
      <c r="D2040" s="6" t="str">
        <f t="array" ref="D2040">IFERROR(INDEX(user_table!$C$2:$C3686,MATCH(C2040,user_table!$B$2:$B3686,0)),"")
</f>
        <v>Desi Putri</v>
      </c>
      <c r="E2040" s="6" t="str">
        <f t="array" ref="E2040">IFERROR(INDEX(user_table!$E$2:$E3686,MATCH(C2040,user_table!$B$2:$B3686,0)),"")
</f>
        <v>2, 5</v>
      </c>
      <c r="F2040" s="6" t="str">
        <f t="shared" si="2"/>
        <v>14235463</v>
      </c>
      <c r="G2040" s="16">
        <v>5.0</v>
      </c>
      <c r="H2040" s="17">
        <v>44724.0</v>
      </c>
      <c r="I2040" s="18" t="s">
        <v>2006</v>
      </c>
    </row>
    <row r="2041">
      <c r="A2041" s="5" t="str">
        <f t="array" ref="A2041">INDEX(event_table!$A$2:$A$69, RANDBETWEEN(1, COUNTA(event_table!$A$2:$A$69)))</f>
        <v>1334</v>
      </c>
      <c r="B2041" s="6">
        <f t="array" ref="B2041">IFERROR(INDEX(event_table!$E$1:$E3686,MATCH(A2041,event_table!$A$1:$A3686,0)),"")
</f>
        <v>3</v>
      </c>
      <c r="C2041" s="7">
        <f t="shared" si="1"/>
        <v>147</v>
      </c>
      <c r="D2041" s="6" t="str">
        <f t="array" ref="D2041">IFERROR(INDEX(user_table!$C$2:$C3686,MATCH(C2041,user_table!$B$2:$B3686,0)),"")
</f>
        <v>Fajar Saputra</v>
      </c>
      <c r="E2041" s="6" t="str">
        <f t="array" ref="E2041">IFERROR(INDEX(user_table!$E$2:$E3686,MATCH(C2041,user_table!$B$2:$B3686,0)),"")
</f>
        <v>6, 2</v>
      </c>
      <c r="F2041" s="6" t="str">
        <f t="shared" si="2"/>
        <v>133453147</v>
      </c>
      <c r="G2041" s="16">
        <v>5.0</v>
      </c>
      <c r="H2041" s="17">
        <v>44688.0</v>
      </c>
      <c r="I2041" s="18" t="s">
        <v>2007</v>
      </c>
    </row>
    <row r="2042">
      <c r="A2042" s="5" t="str">
        <f t="array" ref="A2042">INDEX(event_table!$A$2:$A$69, RANDBETWEEN(1, COUNTA(event_table!$A$2:$A$69)))</f>
        <v>115</v>
      </c>
      <c r="B2042" s="6">
        <f t="array" ref="B2042">IFERROR(INDEX(event_table!$E$1:$E3686,MATCH(A2042,event_table!$A$1:$A3686,0)),"")
</f>
        <v>1</v>
      </c>
      <c r="C2042" s="7">
        <f t="shared" si="1"/>
        <v>167</v>
      </c>
      <c r="D2042" s="6" t="str">
        <f t="array" ref="D2042">IFERROR(INDEX(user_table!$C$2:$C3686,MATCH(C2042,user_table!$B$2:$B3686,0)),"")
</f>
        <v>Fandi Hermawan</v>
      </c>
      <c r="E2042" s="6" t="str">
        <f t="array" ref="E2042">IFERROR(INDEX(user_table!$E$2:$E3686,MATCH(C2042,user_table!$B$2:$B3686,0)),"")
</f>
        <v>3, 1</v>
      </c>
      <c r="F2042" s="6" t="str">
        <f t="shared" si="2"/>
        <v>11541167</v>
      </c>
      <c r="G2042" s="16">
        <v>4.0</v>
      </c>
      <c r="H2042" s="17">
        <v>44898.0</v>
      </c>
      <c r="I2042" s="18" t="s">
        <v>2008</v>
      </c>
    </row>
    <row r="2043">
      <c r="A2043" s="5" t="str">
        <f t="array" ref="A2043">INDEX(event_table!$A$2:$A$69, RANDBETWEEN(1, COUNTA(event_table!$A$2:$A$69)))</f>
        <v>1648</v>
      </c>
      <c r="B2043" s="6">
        <f t="array" ref="B2043">IFERROR(INDEX(event_table!$E$1:$E3686,MATCH(A2043,event_table!$A$1:$A3686,0)),"")
</f>
        <v>6</v>
      </c>
      <c r="C2043" s="7">
        <f t="shared" si="1"/>
        <v>195</v>
      </c>
      <c r="D2043" s="6" t="str">
        <f t="array" ref="D2043">IFERROR(INDEX(user_table!$C$2:$C3686,MATCH(C2043,user_table!$B$2:$B3686,0)),"")
</f>
        <v>Rudi Purnama</v>
      </c>
      <c r="E2043" s="6" t="str">
        <f t="array" ref="E2043">IFERROR(INDEX(user_table!$E$2:$E3686,MATCH(C2043,user_table!$B$2:$B3686,0)),"")
</f>
        <v>2, 4</v>
      </c>
      <c r="F2043" s="6" t="str">
        <f t="shared" si="2"/>
        <v>164846195</v>
      </c>
      <c r="G2043" s="16">
        <v>4.0</v>
      </c>
      <c r="H2043" s="17">
        <v>44689.0</v>
      </c>
      <c r="I2043" s="18" t="s">
        <v>2009</v>
      </c>
    </row>
    <row r="2044">
      <c r="A2044" s="5" t="str">
        <f t="array" ref="A2044">INDEX(event_table!$A$2:$A$69, RANDBETWEEN(1, COUNTA(event_table!$A$2:$A$69)))</f>
        <v>3166</v>
      </c>
      <c r="B2044" s="6">
        <f t="array" ref="B2044">IFERROR(INDEX(event_table!$E$1:$E3686,MATCH(A2044,event_table!$A$1:$A3686,0)),"")
</f>
        <v>1</v>
      </c>
      <c r="C2044" s="7">
        <f t="shared" si="1"/>
        <v>149</v>
      </c>
      <c r="D2044" s="6" t="str">
        <f t="array" ref="D2044">IFERROR(INDEX(user_table!$C$2:$C3686,MATCH(C2044,user_table!$B$2:$B3686,0)),"")
</f>
        <v>Dian Setiawan</v>
      </c>
      <c r="E2044" s="6" t="str">
        <f t="array" ref="E2044">IFERROR(INDEX(user_table!$E$2:$E3686,MATCH(C2044,user_table!$B$2:$B3686,0)),"")
</f>
        <v>2, 4</v>
      </c>
      <c r="F2044" s="6" t="str">
        <f t="shared" si="2"/>
        <v>316641149</v>
      </c>
      <c r="G2044" s="16">
        <v>4.0</v>
      </c>
      <c r="H2044" s="17">
        <v>44956.0</v>
      </c>
      <c r="I2044" s="18" t="s">
        <v>2010</v>
      </c>
    </row>
    <row r="2045">
      <c r="A2045" s="5" t="str">
        <f t="array" ref="A2045">INDEX(event_table!$A$2:$A$69, RANDBETWEEN(1, COUNTA(event_table!$A$2:$A$69)))</f>
        <v>1334</v>
      </c>
      <c r="B2045" s="6">
        <f t="array" ref="B2045">IFERROR(INDEX(event_table!$E$1:$E3686,MATCH(A2045,event_table!$A$1:$A3686,0)),"")
</f>
        <v>3</v>
      </c>
      <c r="C2045" s="7">
        <f t="shared" si="1"/>
        <v>23</v>
      </c>
      <c r="D2045" s="6" t="str">
        <f t="array" ref="D2045">IFERROR(INDEX(user_table!$C$2:$C3686,MATCH(C2045,user_table!$B$2:$B3686,0)),"")
</f>
        <v>Fajar Kusuma</v>
      </c>
      <c r="E2045" s="6" t="str">
        <f t="array" ref="E2045">IFERROR(INDEX(user_table!$E$2:$E3686,MATCH(C2045,user_table!$B$2:$B3686,0)),"")
</f>
        <v>4, 1</v>
      </c>
      <c r="F2045" s="6" t="str">
        <f t="shared" si="2"/>
        <v>13344323</v>
      </c>
      <c r="G2045" s="16">
        <v>4.0</v>
      </c>
      <c r="H2045" s="17">
        <v>44736.0</v>
      </c>
      <c r="I2045" s="18" t="s">
        <v>2011</v>
      </c>
    </row>
    <row r="2046">
      <c r="A2046" s="5" t="str">
        <f t="array" ref="A2046">INDEX(event_table!$A$2:$A$69, RANDBETWEEN(1, COUNTA(event_table!$A$2:$A$69)))</f>
        <v>1636</v>
      </c>
      <c r="B2046" s="6">
        <f t="array" ref="B2046">IFERROR(INDEX(event_table!$E$1:$E3686,MATCH(A2046,event_table!$A$1:$A3686,0)),"")
</f>
        <v>6</v>
      </c>
      <c r="C2046" s="7">
        <f t="shared" si="1"/>
        <v>113</v>
      </c>
      <c r="D2046" s="6" t="str">
        <f t="array" ref="D2046">IFERROR(INDEX(user_table!$C$2:$C3686,MATCH(C2046,user_table!$B$2:$B3686,0)),"")
</f>
        <v>Budi Wijaya</v>
      </c>
      <c r="E2046" s="6" t="str">
        <f t="array" ref="E2046">IFERROR(INDEX(user_table!$E$2:$E3686,MATCH(C2046,user_table!$B$2:$B3686,0)),"")
</f>
        <v>1, 5</v>
      </c>
      <c r="F2046" s="6" t="str">
        <f t="shared" si="2"/>
        <v>163646113</v>
      </c>
      <c r="G2046" s="16">
        <v>4.0</v>
      </c>
      <c r="H2046" s="17">
        <v>44732.0</v>
      </c>
      <c r="I2046" s="18" t="s">
        <v>2012</v>
      </c>
    </row>
    <row r="2047">
      <c r="A2047" s="5" t="str">
        <f t="array" ref="A2047">INDEX(event_table!$A$2:$A$69, RANDBETWEEN(1, COUNTA(event_table!$A$2:$A$69)))</f>
        <v>1424</v>
      </c>
      <c r="B2047" s="6">
        <f t="array" ref="B2047">IFERROR(INDEX(event_table!$E$1:$E3686,MATCH(A2047,event_table!$A$1:$A3686,0)),"")
</f>
        <v>4</v>
      </c>
      <c r="C2047" s="7">
        <f t="shared" si="1"/>
        <v>166</v>
      </c>
      <c r="D2047" s="6" t="str">
        <f t="array" ref="D2047">IFERROR(INDEX(user_table!$C$2:$C3686,MATCH(C2047,user_table!$B$2:$B3686,0)),"")
</f>
        <v>Fajar Nurhayati</v>
      </c>
      <c r="E2047" s="6" t="str">
        <f t="array" ref="E2047">IFERROR(INDEX(user_table!$E$2:$E3686,MATCH(C2047,user_table!$B$2:$B3686,0)),"")
</f>
        <v>3, 5</v>
      </c>
      <c r="F2047" s="6" t="str">
        <f t="shared" si="2"/>
        <v>142444166</v>
      </c>
      <c r="G2047" s="16">
        <v>4.0</v>
      </c>
      <c r="H2047" s="17">
        <v>44687.0</v>
      </c>
      <c r="I2047" s="18" t="s">
        <v>2013</v>
      </c>
    </row>
    <row r="2048">
      <c r="A2048" s="5" t="str">
        <f t="array" ref="A2048">INDEX(event_table!$A$2:$A$69, RANDBETWEEN(1, COUNTA(event_table!$A$2:$A$69)))</f>
        <v>1519</v>
      </c>
      <c r="B2048" s="6">
        <f t="array" ref="B2048">IFERROR(INDEX(event_table!$E$1:$E3686,MATCH(A2048,event_table!$A$1:$A3686,0)),"")
</f>
        <v>5</v>
      </c>
      <c r="C2048" s="7">
        <f t="shared" si="1"/>
        <v>134</v>
      </c>
      <c r="D2048" s="6" t="str">
        <f t="array" ref="D2048">IFERROR(INDEX(user_table!$C$2:$C3686,MATCH(C2048,user_table!$B$2:$B3686,0)),"")
</f>
        <v>Maya Septiani</v>
      </c>
      <c r="E2048" s="6" t="str">
        <f t="array" ref="E2048">IFERROR(INDEX(user_table!$E$2:$E3686,MATCH(C2048,user_table!$B$2:$B3686,0)),"")
</f>
        <v>2, 4</v>
      </c>
      <c r="F2048" s="6" t="str">
        <f t="shared" si="2"/>
        <v>151945134</v>
      </c>
      <c r="G2048" s="16">
        <v>4.0</v>
      </c>
      <c r="H2048" s="17">
        <v>44852.0</v>
      </c>
      <c r="I2048" s="18" t="s">
        <v>2014</v>
      </c>
    </row>
    <row r="2049">
      <c r="A2049" s="5" t="str">
        <f t="array" ref="A2049">INDEX(event_table!$A$2:$A$69, RANDBETWEEN(1, COUNTA(event_table!$A$2:$A$69)))</f>
        <v>116</v>
      </c>
      <c r="B2049" s="6">
        <f t="array" ref="B2049">IFERROR(INDEX(event_table!$E$1:$E3686,MATCH(A2049,event_table!$A$1:$A3686,0)),"")
</f>
        <v>1</v>
      </c>
      <c r="C2049" s="7">
        <f t="shared" si="1"/>
        <v>194</v>
      </c>
      <c r="D2049" s="6" t="str">
        <f t="array" ref="D2049">IFERROR(INDEX(user_table!$C$2:$C3686,MATCH(C2049,user_table!$B$2:$B3686,0)),"")
</f>
        <v>Andi Putri</v>
      </c>
      <c r="E2049" s="6" t="str">
        <f t="array" ref="E2049">IFERROR(INDEX(user_table!$E$2:$E3686,MATCH(C2049,user_table!$B$2:$B3686,0)),"")
</f>
        <v>4, 4</v>
      </c>
      <c r="F2049" s="6" t="str">
        <f t="shared" si="2"/>
        <v>11641194</v>
      </c>
      <c r="G2049" s="16">
        <v>4.0</v>
      </c>
      <c r="H2049" s="17">
        <v>44690.0</v>
      </c>
      <c r="I2049" s="18" t="s">
        <v>2015</v>
      </c>
    </row>
    <row r="2050">
      <c r="A2050" s="5" t="str">
        <f t="array" ref="A2050">INDEX(event_table!$A$2:$A$69, RANDBETWEEN(1, COUNTA(event_table!$A$2:$A$69)))</f>
        <v>1110</v>
      </c>
      <c r="B2050" s="6">
        <f t="array" ref="B2050">IFERROR(INDEX(event_table!$E$1:$E3686,MATCH(A2050,event_table!$A$1:$A3686,0)),"")
</f>
        <v>1</v>
      </c>
      <c r="C2050" s="7">
        <f t="shared" si="1"/>
        <v>35</v>
      </c>
      <c r="D2050" s="6" t="str">
        <f t="array" ref="D2050">IFERROR(INDEX(user_table!$C$2:$C3686,MATCH(C2050,user_table!$B$2:$B3686,0)),"")
</f>
        <v>Maya Nugroho</v>
      </c>
      <c r="E2050" s="6" t="str">
        <f t="array" ref="E2050">IFERROR(INDEX(user_table!$E$2:$E3686,MATCH(C2050,user_table!$B$2:$B3686,0)),"")
</f>
        <v>6, 2</v>
      </c>
      <c r="F2050" s="6" t="str">
        <f t="shared" si="2"/>
        <v>11103135</v>
      </c>
      <c r="G2050" s="16">
        <v>3.0</v>
      </c>
      <c r="H2050" s="17">
        <v>45179.0</v>
      </c>
      <c r="I2050" s="18" t="s">
        <v>2016</v>
      </c>
    </row>
    <row r="2051">
      <c r="A2051" s="5" t="str">
        <f t="array" ref="A2051">INDEX(event_table!$A$2:$A$69, RANDBETWEEN(1, COUNTA(event_table!$A$2:$A$69)))</f>
        <v>3167</v>
      </c>
      <c r="B2051" s="6">
        <f t="array" ref="B2051">IFERROR(INDEX(event_table!$E$1:$E3686,MATCH(A2051,event_table!$A$1:$A3686,0)),"")
</f>
        <v>1</v>
      </c>
      <c r="C2051" s="7">
        <f t="shared" si="1"/>
        <v>107</v>
      </c>
      <c r="D2051" s="6" t="str">
        <f t="array" ref="D2051">IFERROR(INDEX(user_table!$C$2:$C3686,MATCH(C2051,user_table!$B$2:$B3686,0)),"")
</f>
        <v>Citra Rahayu</v>
      </c>
      <c r="E2051" s="6" t="str">
        <f t="array" ref="E2051">IFERROR(INDEX(user_table!$E$2:$E3686,MATCH(C2051,user_table!$B$2:$B3686,0)),"")
</f>
        <v>1, 5</v>
      </c>
      <c r="F2051" s="6" t="str">
        <f t="shared" si="2"/>
        <v>316731107</v>
      </c>
      <c r="G2051" s="16">
        <v>3.0</v>
      </c>
      <c r="H2051" s="17">
        <v>45215.0</v>
      </c>
      <c r="I2051" s="18" t="s">
        <v>2017</v>
      </c>
    </row>
    <row r="2052">
      <c r="A2052" s="5" t="str">
        <f t="array" ref="A2052">INDEX(event_table!$A$2:$A$69, RANDBETWEEN(1, COUNTA(event_table!$A$2:$A$69)))</f>
        <v>1313</v>
      </c>
      <c r="B2052" s="6">
        <f t="array" ref="B2052">IFERROR(INDEX(event_table!$E$1:$E3686,MATCH(A2052,event_table!$A$1:$A3686,0)),"")
</f>
        <v>3</v>
      </c>
      <c r="C2052" s="7">
        <f t="shared" si="1"/>
        <v>90</v>
      </c>
      <c r="D2052" s="6" t="str">
        <f t="array" ref="D2052">IFERROR(INDEX(user_table!$C$2:$C3686,MATCH(C2052,user_table!$B$2:$B3686,0)),"")
</f>
        <v>Dina Saputra</v>
      </c>
      <c r="E2052" s="6" t="str">
        <f t="array" ref="E2052">IFERROR(INDEX(user_table!$E$2:$E3686,MATCH(C2052,user_table!$B$2:$B3686,0)),"")
</f>
        <v>1, 2</v>
      </c>
      <c r="F2052" s="6" t="str">
        <f t="shared" si="2"/>
        <v>13133390</v>
      </c>
      <c r="G2052" s="16">
        <v>3.0</v>
      </c>
      <c r="H2052" s="17">
        <v>45198.0</v>
      </c>
      <c r="I2052" s="18" t="s">
        <v>2018</v>
      </c>
    </row>
    <row r="2053">
      <c r="A2053" s="5" t="str">
        <f t="array" ref="A2053">INDEX(event_table!$A$2:$A$69, RANDBETWEEN(1, COUNTA(event_table!$A$2:$A$69)))</f>
        <v>3170</v>
      </c>
      <c r="B2053" s="6">
        <f t="array" ref="B2053">IFERROR(INDEX(event_table!$E$1:$E3686,MATCH(A2053,event_table!$A$1:$A3686,0)),"")
</f>
        <v>1</v>
      </c>
      <c r="C2053" s="7">
        <f t="shared" si="1"/>
        <v>117</v>
      </c>
      <c r="D2053" s="6" t="str">
        <f t="array" ref="D2053">IFERROR(INDEX(user_table!$C$2:$C3686,MATCH(C2053,user_table!$B$2:$B3686,0)),"")
</f>
        <v>Wahyu Sari</v>
      </c>
      <c r="E2053" s="6" t="str">
        <f t="array" ref="E2053">IFERROR(INDEX(user_table!$E$2:$E3686,MATCH(C2053,user_table!$B$2:$B3686,0)),"")
</f>
        <v>4, 2</v>
      </c>
      <c r="F2053" s="6" t="str">
        <f t="shared" si="2"/>
        <v>317031117</v>
      </c>
      <c r="G2053" s="16">
        <v>3.0</v>
      </c>
      <c r="H2053" s="17">
        <v>45178.0</v>
      </c>
      <c r="I2053" s="18" t="s">
        <v>2019</v>
      </c>
    </row>
    <row r="2054">
      <c r="A2054" s="5" t="str">
        <f t="array" ref="A2054">INDEX(event_table!$A$2:$A$69, RANDBETWEEN(1, COUNTA(event_table!$A$2:$A$69)))</f>
        <v>119</v>
      </c>
      <c r="B2054" s="6">
        <f t="array" ref="B2054">IFERROR(INDEX(event_table!$E$1:$E3686,MATCH(A2054,event_table!$A$1:$A3686,0)),"")
</f>
        <v>1</v>
      </c>
      <c r="C2054" s="7">
        <f t="shared" si="1"/>
        <v>33</v>
      </c>
      <c r="D2054" s="6" t="str">
        <f t="array" ref="D2054">IFERROR(INDEX(user_table!$C$2:$C3686,MATCH(C2054,user_table!$B$2:$B3686,0)),"")
</f>
        <v>Dewi Wijaya</v>
      </c>
      <c r="E2054" s="6" t="str">
        <f t="array" ref="E2054">IFERROR(INDEX(user_table!$E$2:$E3686,MATCH(C2054,user_table!$B$2:$B3686,0)),"")
</f>
        <v>4, 2</v>
      </c>
      <c r="F2054" s="6" t="str">
        <f t="shared" si="2"/>
        <v>1193133</v>
      </c>
      <c r="G2054" s="16">
        <v>3.0</v>
      </c>
      <c r="H2054" s="17">
        <v>45129.0</v>
      </c>
      <c r="I2054" s="18" t="s">
        <v>2020</v>
      </c>
    </row>
    <row r="2055">
      <c r="A2055" s="5" t="str">
        <f t="array" ref="A2055">INDEX(event_table!$A$2:$A$69, RANDBETWEEN(1, COUNTA(event_table!$A$2:$A$69)))</f>
        <v>3163</v>
      </c>
      <c r="B2055" s="6">
        <f t="array" ref="B2055">IFERROR(INDEX(event_table!$E$1:$E3686,MATCH(A2055,event_table!$A$1:$A3686,0)),"")
</f>
        <v>1</v>
      </c>
      <c r="C2055" s="7">
        <f t="shared" si="1"/>
        <v>114</v>
      </c>
      <c r="D2055" s="6" t="str">
        <f t="array" ref="D2055">IFERROR(INDEX(user_table!$C$2:$C3686,MATCH(C2055,user_table!$B$2:$B3686,0)),"")
</f>
        <v>Ani Sari</v>
      </c>
      <c r="E2055" s="6" t="str">
        <f t="array" ref="E2055">IFERROR(INDEX(user_table!$E$2:$E3686,MATCH(C2055,user_table!$B$2:$B3686,0)),"")
</f>
        <v>4, 3</v>
      </c>
      <c r="F2055" s="6" t="str">
        <f t="shared" si="2"/>
        <v>316321114</v>
      </c>
      <c r="G2055" s="16">
        <v>2.0</v>
      </c>
      <c r="H2055" s="17">
        <v>44746.0</v>
      </c>
      <c r="I2055" s="18" t="s">
        <v>2021</v>
      </c>
    </row>
    <row r="2056">
      <c r="A2056" s="5" t="str">
        <f t="array" ref="A2056">INDEX(event_table!$A$2:$A$69, RANDBETWEEN(1, COUNTA(event_table!$A$2:$A$69)))</f>
        <v>1638</v>
      </c>
      <c r="B2056" s="6">
        <f t="array" ref="B2056">IFERROR(INDEX(event_table!$E$1:$E3686,MATCH(A2056,event_table!$A$1:$A3686,0)),"")
</f>
        <v>6</v>
      </c>
      <c r="C2056" s="7">
        <f t="shared" si="1"/>
        <v>162</v>
      </c>
      <c r="D2056" s="6" t="str">
        <f t="array" ref="D2056">IFERROR(INDEX(user_table!$C$2:$C3686,MATCH(C2056,user_table!$B$2:$B3686,0)),"")
</f>
        <v>Dewi Nugroho</v>
      </c>
      <c r="E2056" s="6" t="str">
        <f t="array" ref="E2056">IFERROR(INDEX(user_table!$E$2:$E3686,MATCH(C2056,user_table!$B$2:$B3686,0)),"")
</f>
        <v>2, 5</v>
      </c>
      <c r="F2056" s="6" t="str">
        <f t="shared" si="2"/>
        <v>163826162</v>
      </c>
      <c r="G2056" s="16">
        <v>2.0</v>
      </c>
      <c r="H2056" s="17">
        <v>45017.0</v>
      </c>
      <c r="I2056" s="18" t="s">
        <v>2022</v>
      </c>
    </row>
    <row r="2057">
      <c r="A2057" s="5" t="str">
        <f t="array" ref="A2057">INDEX(event_table!$A$2:$A$69, RANDBETWEEN(1, COUNTA(event_table!$A$2:$A$69)))</f>
        <v>3658</v>
      </c>
      <c r="B2057" s="6">
        <f t="array" ref="B2057">IFERROR(INDEX(event_table!$E$1:$E3686,MATCH(A2057,event_table!$A$1:$A3686,0)),"")
</f>
        <v>6</v>
      </c>
      <c r="C2057" s="7">
        <f t="shared" si="1"/>
        <v>153</v>
      </c>
      <c r="D2057" s="6" t="str">
        <f t="array" ref="D2057">IFERROR(INDEX(user_table!$C$2:$C3686,MATCH(C2057,user_table!$B$2:$B3686,0)),"")
</f>
        <v>Budi Hartono</v>
      </c>
      <c r="E2057" s="6" t="str">
        <f t="array" ref="E2057">IFERROR(INDEX(user_table!$E$2:$E3686,MATCH(C2057,user_table!$B$2:$B3686,0)),"")
</f>
        <v>5, 2</v>
      </c>
      <c r="F2057" s="6" t="str">
        <f t="shared" si="2"/>
        <v>365826153</v>
      </c>
      <c r="G2057" s="16">
        <v>2.0</v>
      </c>
      <c r="H2057" s="17">
        <v>44994.0</v>
      </c>
      <c r="I2057" s="18" t="s">
        <v>2023</v>
      </c>
    </row>
    <row r="2058">
      <c r="A2058" s="5" t="str">
        <f t="array" ref="A2058">INDEX(event_table!$A$2:$A$69, RANDBETWEEN(1, COUNTA(event_table!$A$2:$A$69)))</f>
        <v>119</v>
      </c>
      <c r="B2058" s="6">
        <f t="array" ref="B2058">IFERROR(INDEX(event_table!$E$1:$E3686,MATCH(A2058,event_table!$A$1:$A3686,0)),"")
</f>
        <v>1</v>
      </c>
      <c r="C2058" s="7">
        <f t="shared" si="1"/>
        <v>25</v>
      </c>
      <c r="D2058" s="6" t="str">
        <f t="array" ref="D2058">IFERROR(INDEX(user_table!$C$2:$C3686,MATCH(C2058,user_table!$B$2:$B3686,0)),"")
</f>
        <v>Agus Hartono</v>
      </c>
      <c r="E2058" s="6" t="str">
        <f t="array" ref="E2058">IFERROR(INDEX(user_table!$E$2:$E3686,MATCH(C2058,user_table!$B$2:$B3686,0)),"")
</f>
        <v>6, 3</v>
      </c>
      <c r="F2058" s="6" t="str">
        <f t="shared" si="2"/>
        <v>1192125</v>
      </c>
      <c r="G2058" s="16">
        <v>2.0</v>
      </c>
      <c r="H2058" s="17">
        <v>45143.0</v>
      </c>
      <c r="I2058" s="18" t="s">
        <v>2024</v>
      </c>
    </row>
    <row r="2059">
      <c r="A2059" s="5" t="str">
        <f t="array" ref="A2059">INDEX(event_table!$A$2:$A$69, RANDBETWEEN(1, COUNTA(event_table!$A$2:$A$69)))</f>
        <v>1640</v>
      </c>
      <c r="B2059" s="6">
        <f t="array" ref="B2059">IFERROR(INDEX(event_table!$E$1:$E3686,MATCH(A2059,event_table!$A$1:$A3686,0)),"")
</f>
        <v>6</v>
      </c>
      <c r="C2059" s="7">
        <f t="shared" si="1"/>
        <v>35</v>
      </c>
      <c r="D2059" s="6" t="str">
        <f t="array" ref="D2059">IFERROR(INDEX(user_table!$C$2:$C3686,MATCH(C2059,user_table!$B$2:$B3686,0)),"")
</f>
        <v>Maya Nugroho</v>
      </c>
      <c r="E2059" s="6" t="str">
        <f t="array" ref="E2059">IFERROR(INDEX(user_table!$E$2:$E3686,MATCH(C2059,user_table!$B$2:$B3686,0)),"")
</f>
        <v>6, 2</v>
      </c>
      <c r="F2059" s="6" t="str">
        <f t="shared" si="2"/>
        <v>16402635</v>
      </c>
      <c r="G2059" s="16">
        <v>2.0</v>
      </c>
      <c r="H2059" s="17">
        <v>45119.0</v>
      </c>
      <c r="I2059" s="18" t="s">
        <v>2025</v>
      </c>
    </row>
    <row r="2060">
      <c r="A2060" s="5" t="str">
        <f t="array" ref="A2060">INDEX(event_table!$A$2:$A$69, RANDBETWEEN(1, COUNTA(event_table!$A$2:$A$69)))</f>
        <v>1553</v>
      </c>
      <c r="B2060" s="6">
        <f t="array" ref="B2060">IFERROR(INDEX(event_table!$E$1:$E3686,MATCH(A2060,event_table!$A$1:$A3686,0)),"")
</f>
        <v>5</v>
      </c>
      <c r="C2060" s="7">
        <f t="shared" si="1"/>
        <v>135</v>
      </c>
      <c r="D2060" s="6" t="str">
        <f t="array" ref="D2060">IFERROR(INDEX(user_table!$C$2:$C3686,MATCH(C2060,user_table!$B$2:$B3686,0)),"")
</f>
        <v>Sinta Hermawan</v>
      </c>
      <c r="E2060" s="6" t="str">
        <f t="array" ref="E2060">IFERROR(INDEX(user_table!$E$2:$E3686,MATCH(C2060,user_table!$B$2:$B3686,0)),"")
</f>
        <v>1, 5</v>
      </c>
      <c r="F2060" s="6" t="str">
        <f t="shared" si="2"/>
        <v>155325135</v>
      </c>
      <c r="G2060" s="16">
        <v>2.0</v>
      </c>
      <c r="H2060" s="17">
        <v>45093.0</v>
      </c>
      <c r="I2060" s="18" t="s">
        <v>2026</v>
      </c>
    </row>
    <row r="2061">
      <c r="A2061" s="5" t="str">
        <f t="array" ref="A2061">INDEX(event_table!$A$2:$A$69, RANDBETWEEN(1, COUNTA(event_table!$A$2:$A$69)))</f>
        <v>1639</v>
      </c>
      <c r="B2061" s="6">
        <f t="array" ref="B2061">IFERROR(INDEX(event_table!$E$1:$E3686,MATCH(A2061,event_table!$A$1:$A3686,0)),"")
</f>
        <v>6</v>
      </c>
      <c r="C2061" s="7">
        <f t="shared" si="1"/>
        <v>117</v>
      </c>
      <c r="D2061" s="6" t="str">
        <f t="array" ref="D2061">IFERROR(INDEX(user_table!$C$2:$C3686,MATCH(C2061,user_table!$B$2:$B3686,0)),"")
</f>
        <v>Wahyu Sari</v>
      </c>
      <c r="E2061" s="6" t="str">
        <f t="array" ref="E2061">IFERROR(INDEX(user_table!$E$2:$E3686,MATCH(C2061,user_table!$B$2:$B3686,0)),"")
</f>
        <v>4, 2</v>
      </c>
      <c r="F2061" s="6" t="str">
        <f t="shared" si="2"/>
        <v>163926117</v>
      </c>
      <c r="G2061" s="16">
        <v>2.0</v>
      </c>
      <c r="H2061" s="17">
        <v>45040.0</v>
      </c>
      <c r="I2061" s="18" t="s">
        <v>2027</v>
      </c>
    </row>
    <row r="2062">
      <c r="A2062" s="5" t="str">
        <f t="array" ref="A2062">INDEX(event_table!$A$2:$A$69, RANDBETWEEN(1, COUNTA(event_table!$A$2:$A$69)))</f>
        <v>1420</v>
      </c>
      <c r="B2062" s="6">
        <f t="array" ref="B2062">IFERROR(INDEX(event_table!$E$1:$E3686,MATCH(A2062,event_table!$A$1:$A3686,0)),"")
</f>
        <v>4</v>
      </c>
      <c r="C2062" s="7">
        <f t="shared" si="1"/>
        <v>61</v>
      </c>
      <c r="D2062" s="6" t="str">
        <f t="array" ref="D2062">IFERROR(INDEX(user_table!$C$2:$C3686,MATCH(C2062,user_table!$B$2:$B3686,0)),"")
</f>
        <v>Agus Setiawan</v>
      </c>
      <c r="E2062" s="6" t="str">
        <f t="array" ref="E2062">IFERROR(INDEX(user_table!$E$2:$E3686,MATCH(C2062,user_table!$B$2:$B3686,0)),"")
</f>
        <v>4, 5</v>
      </c>
      <c r="F2062" s="6" t="str">
        <f t="shared" si="2"/>
        <v>14201461</v>
      </c>
      <c r="G2062" s="16">
        <v>1.0</v>
      </c>
      <c r="H2062" s="17">
        <v>45222.0</v>
      </c>
      <c r="I2062" s="18" t="s">
        <v>2028</v>
      </c>
    </row>
    <row r="2063">
      <c r="A2063" s="5" t="str">
        <f t="array" ref="A2063">INDEX(event_table!$A$2:$A$69, RANDBETWEEN(1, COUNTA(event_table!$A$2:$A$69)))</f>
        <v>1422</v>
      </c>
      <c r="B2063" s="6">
        <f t="array" ref="B2063">IFERROR(INDEX(event_table!$E$1:$E3686,MATCH(A2063,event_table!$A$1:$A3686,0)),"")
</f>
        <v>4</v>
      </c>
      <c r="C2063" s="7">
        <f t="shared" si="1"/>
        <v>90</v>
      </c>
      <c r="D2063" s="6" t="str">
        <f t="array" ref="D2063">IFERROR(INDEX(user_table!$C$2:$C3686,MATCH(C2063,user_table!$B$2:$B3686,0)),"")
</f>
        <v>Dina Saputra</v>
      </c>
      <c r="E2063" s="6" t="str">
        <f t="array" ref="E2063">IFERROR(INDEX(user_table!$E$2:$E3686,MATCH(C2063,user_table!$B$2:$B3686,0)),"")
</f>
        <v>1, 2</v>
      </c>
      <c r="F2063" s="6" t="str">
        <f t="shared" si="2"/>
        <v>14221490</v>
      </c>
      <c r="G2063" s="16">
        <v>1.0</v>
      </c>
      <c r="H2063" s="17">
        <v>45233.0</v>
      </c>
      <c r="I2063" s="18" t="s">
        <v>2029</v>
      </c>
    </row>
    <row r="2064">
      <c r="A2064" s="5" t="str">
        <f t="array" ref="A2064">INDEX(event_table!$A$2:$A$69, RANDBETWEEN(1, COUNTA(event_table!$A$2:$A$69)))</f>
        <v>1641</v>
      </c>
      <c r="B2064" s="6">
        <f t="array" ref="B2064">IFERROR(INDEX(event_table!$E$1:$E3686,MATCH(A2064,event_table!$A$1:$A3686,0)),"")
</f>
        <v>6</v>
      </c>
      <c r="C2064" s="7">
        <f t="shared" si="1"/>
        <v>197</v>
      </c>
      <c r="D2064" s="6" t="str">
        <f t="array" ref="D2064">IFERROR(INDEX(user_table!$C$2:$C3686,MATCH(C2064,user_table!$B$2:$B3686,0)),"")
</f>
        <v>Dian Sari</v>
      </c>
      <c r="E2064" s="6" t="str">
        <f t="array" ref="E2064">IFERROR(INDEX(user_table!$E$2:$E3686,MATCH(C2064,user_table!$B$2:$B3686,0)),"")
</f>
        <v>6, 3</v>
      </c>
      <c r="F2064" s="6" t="str">
        <f t="shared" si="2"/>
        <v>164116197</v>
      </c>
      <c r="G2064" s="16">
        <v>1.0</v>
      </c>
      <c r="H2064" s="17">
        <v>45225.0</v>
      </c>
      <c r="I2064" s="18" t="s">
        <v>2030</v>
      </c>
    </row>
    <row r="2065">
      <c r="A2065" s="5" t="str">
        <f t="array" ref="A2065">INDEX(event_table!$A$2:$A$69, RANDBETWEEN(1, COUNTA(event_table!$A$2:$A$69)))</f>
        <v>1637</v>
      </c>
      <c r="B2065" s="6">
        <f t="array" ref="B2065">IFERROR(INDEX(event_table!$E$1:$E3686,MATCH(A2065,event_table!$A$1:$A3686,0)),"")
</f>
        <v>6</v>
      </c>
      <c r="C2065" s="7">
        <f t="shared" si="1"/>
        <v>94</v>
      </c>
      <c r="D2065" s="6" t="str">
        <f t="array" ref="D2065">IFERROR(INDEX(user_table!$C$2:$C3686,MATCH(C2065,user_table!$B$2:$B3686,0)),"")
</f>
        <v>Ani Susanto</v>
      </c>
      <c r="E2065" s="6" t="str">
        <f t="array" ref="E2065">IFERROR(INDEX(user_table!$E$2:$E3686,MATCH(C2065,user_table!$B$2:$B3686,0)),"")
</f>
        <v>2, 4</v>
      </c>
      <c r="F2065" s="6" t="str">
        <f t="shared" si="2"/>
        <v>16371694</v>
      </c>
      <c r="G2065" s="16">
        <v>1.0</v>
      </c>
      <c r="H2065" s="17">
        <v>45224.0</v>
      </c>
      <c r="I2065" s="18" t="s">
        <v>2031</v>
      </c>
    </row>
    <row r="2066">
      <c r="A2066" s="5" t="str">
        <f t="array" ref="A2066">INDEX(event_table!$A$2:$A$69, RANDBETWEEN(1, COUNTA(event_table!$A$2:$A$69)))</f>
        <v>1644</v>
      </c>
      <c r="B2066" s="6">
        <f t="array" ref="B2066">IFERROR(INDEX(event_table!$E$1:$E3686,MATCH(A2066,event_table!$A$1:$A3686,0)),"")
</f>
        <v>6</v>
      </c>
      <c r="C2066" s="7">
        <f t="shared" si="1"/>
        <v>28</v>
      </c>
      <c r="D2066" s="6" t="str">
        <f t="array" ref="D2066">IFERROR(INDEX(user_table!$C$2:$C3686,MATCH(C2066,user_table!$B$2:$B3686,0)),"")
</f>
        <v>Fandi Putri</v>
      </c>
      <c r="E2066" s="6" t="str">
        <f t="array" ref="E2066">IFERROR(INDEX(user_table!$E$2:$E3686,MATCH(C2066,user_table!$B$2:$B3686,0)),"")
</f>
        <v>5, 1</v>
      </c>
      <c r="F2066" s="6" t="str">
        <f t="shared" si="2"/>
        <v>16441628</v>
      </c>
      <c r="G2066" s="16">
        <v>1.0</v>
      </c>
      <c r="H2066" s="17">
        <v>45261.0</v>
      </c>
      <c r="I2066" s="18" t="s">
        <v>2032</v>
      </c>
    </row>
    <row r="2067">
      <c r="A2067" s="5" t="str">
        <f t="array" ref="A2067">INDEX(event_table!$A$2:$A$69, RANDBETWEEN(1, COUNTA(event_table!$A$2:$A$69)))</f>
        <v>1647</v>
      </c>
      <c r="B2067" s="6">
        <f t="array" ref="B2067">IFERROR(INDEX(event_table!$E$1:$E3686,MATCH(A2067,event_table!$A$1:$A3686,0)),"")
</f>
        <v>6</v>
      </c>
      <c r="C2067" s="7">
        <f t="shared" si="1"/>
        <v>122</v>
      </c>
      <c r="D2067" s="6" t="str">
        <f t="array" ref="D2067">IFERROR(INDEX(user_table!$C$2:$C3686,MATCH(C2067,user_table!$B$2:$B3686,0)),"")
</f>
        <v>Maya Setiawan</v>
      </c>
      <c r="E2067" s="6" t="str">
        <f t="array" ref="E2067">IFERROR(INDEX(user_table!$E$2:$E3686,MATCH(C2067,user_table!$B$2:$B3686,0)),"")
</f>
        <v>2, 3</v>
      </c>
      <c r="F2067" s="6" t="str">
        <f t="shared" si="2"/>
        <v>164716122</v>
      </c>
      <c r="G2067" s="16">
        <v>1.0</v>
      </c>
      <c r="H2067" s="17">
        <v>45259.0</v>
      </c>
      <c r="I2067" s="18" t="s">
        <v>2033</v>
      </c>
    </row>
    <row r="2068">
      <c r="A2068" s="5" t="str">
        <f t="array" ref="A2068">INDEX(event_table!$A$2:$A$69, RANDBETWEEN(1, COUNTA(event_table!$A$2:$A$69)))</f>
        <v>1423</v>
      </c>
      <c r="B2068" s="6">
        <f t="array" ref="B2068">IFERROR(INDEX(event_table!$E$1:$E3686,MATCH(A2068,event_table!$A$1:$A3686,0)),"")
</f>
        <v>4</v>
      </c>
      <c r="C2068" s="7">
        <f t="shared" si="1"/>
        <v>36</v>
      </c>
      <c r="D2068" s="6" t="str">
        <f t="array" ref="D2068">IFERROR(INDEX(user_table!$C$2:$C3686,MATCH(C2068,user_table!$B$2:$B3686,0)),"")
</f>
        <v>Arif Susanto</v>
      </c>
      <c r="E2068" s="6" t="str">
        <f t="array" ref="E2068">IFERROR(INDEX(user_table!$E$2:$E3686,MATCH(C2068,user_table!$B$2:$B3686,0)),"")
</f>
        <v>3, 5</v>
      </c>
      <c r="F2068" s="6" t="str">
        <f t="shared" si="2"/>
        <v>14231436</v>
      </c>
      <c r="G2068" s="16">
        <v>1.0</v>
      </c>
      <c r="H2068" s="17">
        <v>45186.0</v>
      </c>
      <c r="I2068" s="18" t="s">
        <v>2034</v>
      </c>
    </row>
    <row r="2069">
      <c r="A2069" s="5" t="str">
        <f t="array" ref="A2069">INDEX(event_table!$A$2:$A$69, RANDBETWEEN(1, COUNTA(event_table!$A$2:$A$69)))</f>
        <v>1212</v>
      </c>
      <c r="B2069" s="6">
        <f t="array" ref="B2069">IFERROR(INDEX(event_table!$E$1:$E3686,MATCH(A2069,event_table!$A$1:$A3686,0)),"")
</f>
        <v>2</v>
      </c>
      <c r="C2069" s="7">
        <f t="shared" si="1"/>
        <v>29</v>
      </c>
      <c r="D2069" s="6" t="str">
        <f t="array" ref="D2069">IFERROR(INDEX(user_table!$C$2:$C3686,MATCH(C2069,user_table!$B$2:$B3686,0)),"")
</f>
        <v>Bambang Putri</v>
      </c>
      <c r="E2069" s="6" t="str">
        <f t="array" ref="E2069">IFERROR(INDEX(user_table!$E$2:$E3686,MATCH(C2069,user_table!$B$2:$B3686,0)),"")
</f>
        <v>3, 4</v>
      </c>
      <c r="F2069" s="6" t="str">
        <f t="shared" si="2"/>
        <v>12121229</v>
      </c>
      <c r="G2069" s="16">
        <v>1.0</v>
      </c>
      <c r="H2069" s="17">
        <v>45147.0</v>
      </c>
      <c r="I2069" s="18" t="s">
        <v>2035</v>
      </c>
    </row>
    <row r="2070">
      <c r="A2070" s="5" t="str">
        <f t="array" ref="A2070">INDEX(event_table!$A$2:$A$69, RANDBETWEEN(1, COUNTA(event_table!$A$2:$A$69)))</f>
        <v>1424</v>
      </c>
      <c r="B2070" s="6">
        <f t="array" ref="B2070">IFERROR(INDEX(event_table!$E$1:$E3686,MATCH(A2070,event_table!$A$1:$A3686,0)),"")
</f>
        <v>4</v>
      </c>
      <c r="C2070" s="7">
        <f t="shared" si="1"/>
        <v>91</v>
      </c>
      <c r="D2070" s="6" t="str">
        <f t="array" ref="D2070">IFERROR(INDEX(user_table!$C$2:$C3686,MATCH(C2070,user_table!$B$2:$B3686,0)),"")
</f>
        <v>Bambang Wijaya</v>
      </c>
      <c r="E2070" s="6" t="str">
        <f t="array" ref="E2070">IFERROR(INDEX(user_table!$E$2:$E3686,MATCH(C2070,user_table!$B$2:$B3686,0)),"")
</f>
        <v>1, 2</v>
      </c>
      <c r="F2070" s="6" t="str">
        <f t="shared" si="2"/>
        <v>14241491</v>
      </c>
      <c r="G2070" s="16">
        <v>1.0</v>
      </c>
      <c r="H2070" s="17">
        <v>45143.0</v>
      </c>
      <c r="I2070" s="18" t="s">
        <v>2036</v>
      </c>
    </row>
    <row r="2071">
      <c r="A2071" s="5" t="str">
        <f t="array" ref="A2071">INDEX(event_table!$A$2:$A$69, RANDBETWEEN(1, COUNTA(event_table!$A$2:$A$69)))</f>
        <v>1530</v>
      </c>
      <c r="B2071" s="6">
        <f t="array" ref="B2071">IFERROR(INDEX(event_table!$E$1:$E3686,MATCH(A2071,event_table!$A$1:$A3686,0)),"")
</f>
        <v>5</v>
      </c>
      <c r="C2071" s="7">
        <f t="shared" si="1"/>
        <v>198</v>
      </c>
      <c r="D2071" s="6" t="str">
        <f t="array" ref="D2071">IFERROR(INDEX(user_table!$C$2:$C3686,MATCH(C2071,user_table!$B$2:$B3686,0)),"")
</f>
        <v>Siti Nugroho</v>
      </c>
      <c r="E2071" s="6" t="str">
        <f t="array" ref="E2071">IFERROR(INDEX(user_table!$E$2:$E3686,MATCH(C2071,user_table!$B$2:$B3686,0)),"")
</f>
        <v>5, 2</v>
      </c>
      <c r="F2071" s="6" t="str">
        <f t="shared" si="2"/>
        <v>153015198</v>
      </c>
      <c r="G2071" s="16">
        <v>1.0</v>
      </c>
      <c r="H2071" s="17">
        <v>45111.0</v>
      </c>
      <c r="I2071" s="18" t="s">
        <v>2037</v>
      </c>
    </row>
    <row r="2072">
      <c r="A2072" s="5" t="str">
        <f t="array" ref="A2072">INDEX(event_table!$A$2:$A$69, RANDBETWEEN(1, COUNTA(event_table!$A$2:$A$69)))</f>
        <v>1332</v>
      </c>
      <c r="B2072" s="6">
        <f t="array" ref="B2072">IFERROR(INDEX(event_table!$E$1:$E3686,MATCH(A2072,event_table!$A$1:$A3686,0)),"")
</f>
        <v>3</v>
      </c>
      <c r="C2072" s="7">
        <f t="shared" si="1"/>
        <v>20</v>
      </c>
      <c r="D2072" s="6" t="str">
        <f t="array" ref="D2072">IFERROR(INDEX(user_table!$C$2:$C3686,MATCH(C2072,user_table!$B$2:$B3686,0)),"")
</f>
        <v>Arif Septiani</v>
      </c>
      <c r="E2072" s="6" t="str">
        <f t="array" ref="E2072">IFERROR(INDEX(user_table!$E$2:$E3686,MATCH(C2072,user_table!$B$2:$B3686,0)),"")
</f>
        <v>6, 3</v>
      </c>
      <c r="F2072" s="6" t="str">
        <f t="shared" si="2"/>
        <v>13321320</v>
      </c>
      <c r="G2072" s="16">
        <v>1.0</v>
      </c>
      <c r="H2072" s="17">
        <v>45107.0</v>
      </c>
      <c r="I2072" s="18" t="s">
        <v>2038</v>
      </c>
    </row>
    <row r="2073">
      <c r="A2073" s="5" t="str">
        <f t="array" ref="A2073">INDEX(event_table!$A$2:$A$69, RANDBETWEEN(1, COUNTA(event_table!$A$2:$A$69)))</f>
        <v>1637</v>
      </c>
      <c r="B2073" s="6">
        <f t="array" ref="B2073">IFERROR(INDEX(event_table!$E$1:$E3686,MATCH(A2073,event_table!$A$1:$A3686,0)),"")
</f>
        <v>6</v>
      </c>
      <c r="C2073" s="7">
        <f t="shared" si="1"/>
        <v>152</v>
      </c>
      <c r="D2073" s="6" t="str">
        <f t="array" ref="D2073">IFERROR(INDEX(user_table!$C$2:$C3686,MATCH(C2073,user_table!$B$2:$B3686,0)),"")
</f>
        <v>Budi Kurniawan</v>
      </c>
      <c r="E2073" s="6" t="str">
        <f t="array" ref="E2073">IFERROR(INDEX(user_table!$E$2:$E3686,MATCH(C2073,user_table!$B$2:$B3686,0)),"")
</f>
        <v>5, 5</v>
      </c>
      <c r="F2073" s="6" t="str">
        <f t="shared" si="2"/>
        <v>163716152</v>
      </c>
      <c r="G2073" s="16">
        <v>1.0</v>
      </c>
      <c r="H2073" s="17">
        <v>45080.0</v>
      </c>
      <c r="I2073" s="18" t="s">
        <v>2039</v>
      </c>
    </row>
    <row r="2074">
      <c r="A2074" s="5" t="str">
        <f t="array" ref="A2074">INDEX(event_table!$A$2:$A$69, RANDBETWEEN(1, COUNTA(event_table!$A$2:$A$69)))</f>
        <v>1638</v>
      </c>
      <c r="B2074" s="6">
        <f t="array" ref="B2074">IFERROR(INDEX(event_table!$E$1:$E3686,MATCH(A2074,event_table!$A$1:$A3686,0)),"")
</f>
        <v>6</v>
      </c>
      <c r="C2074" s="7">
        <f t="shared" si="1"/>
        <v>46</v>
      </c>
      <c r="D2074" s="6" t="str">
        <f t="array" ref="D2074">IFERROR(INDEX(user_table!$C$2:$C3686,MATCH(C2074,user_table!$B$2:$B3686,0)),"")
</f>
        <v>Dian Wijaya</v>
      </c>
      <c r="E2074" s="6" t="str">
        <f t="array" ref="E2074">IFERROR(INDEX(user_table!$E$2:$E3686,MATCH(C2074,user_table!$B$2:$B3686,0)),"")
</f>
        <v>2, 2</v>
      </c>
      <c r="F2074" s="6" t="str">
        <f t="shared" si="2"/>
        <v>16381646</v>
      </c>
      <c r="G2074" s="16">
        <v>1.0</v>
      </c>
      <c r="H2074" s="17">
        <v>45032.0</v>
      </c>
      <c r="I2074" s="18" t="s">
        <v>2040</v>
      </c>
    </row>
    <row r="2075">
      <c r="A2075" s="5" t="str">
        <f t="array" ref="A2075">INDEX(event_table!$A$2:$A$69, RANDBETWEEN(1, COUNTA(event_table!$A$2:$A$69)))</f>
        <v>3164</v>
      </c>
      <c r="B2075" s="6">
        <f t="array" ref="B2075">IFERROR(INDEX(event_table!$E$1:$E3686,MATCH(A2075,event_table!$A$1:$A3686,0)),"")
</f>
        <v>1</v>
      </c>
      <c r="C2075" s="7">
        <f t="shared" si="1"/>
        <v>120</v>
      </c>
      <c r="D2075" s="6" t="str">
        <f t="array" ref="D2075">IFERROR(INDEX(user_table!$C$2:$C3686,MATCH(C2075,user_table!$B$2:$B3686,0)),"")
</f>
        <v>Dewi Septiani</v>
      </c>
      <c r="E2075" s="6" t="str">
        <f t="array" ref="E2075">IFERROR(INDEX(user_table!$E$2:$E3686,MATCH(C2075,user_table!$B$2:$B3686,0)),"")
</f>
        <v>5, 3</v>
      </c>
      <c r="F2075" s="6" t="str">
        <f t="shared" si="2"/>
        <v>316451120</v>
      </c>
      <c r="G2075" s="16">
        <v>5.0</v>
      </c>
      <c r="H2075" s="17">
        <v>44750.0</v>
      </c>
      <c r="I2075" s="18" t="s">
        <v>2041</v>
      </c>
    </row>
    <row r="2076">
      <c r="A2076" s="5" t="str">
        <f t="array" ref="A2076">INDEX(event_table!$A$2:$A$69, RANDBETWEEN(1, COUNTA(event_table!$A$2:$A$69)))</f>
        <v>1651</v>
      </c>
      <c r="B2076" s="6">
        <f t="array" ref="B2076">IFERROR(INDEX(event_table!$E$1:$E3686,MATCH(A2076,event_table!$A$1:$A3686,0)),"")
</f>
        <v>6</v>
      </c>
      <c r="C2076" s="7">
        <f t="shared" si="1"/>
        <v>63</v>
      </c>
      <c r="D2076" s="6" t="str">
        <f t="array" ref="D2076">IFERROR(INDEX(user_table!$C$2:$C3686,MATCH(C2076,user_table!$B$2:$B3686,0)),"")
</f>
        <v>Desi Putri</v>
      </c>
      <c r="E2076" s="6" t="str">
        <f t="array" ref="E2076">IFERROR(INDEX(user_table!$E$2:$E3686,MATCH(C2076,user_table!$B$2:$B3686,0)),"")
</f>
        <v>2, 5</v>
      </c>
      <c r="F2076" s="6" t="str">
        <f t="shared" si="2"/>
        <v>16515663</v>
      </c>
      <c r="G2076" s="16">
        <v>5.0</v>
      </c>
      <c r="H2076" s="17">
        <v>44696.0</v>
      </c>
      <c r="I2076" s="18" t="s">
        <v>2042</v>
      </c>
    </row>
    <row r="2077">
      <c r="A2077" s="5" t="str">
        <f t="array" ref="A2077">INDEX(event_table!$A$2:$A$69, RANDBETWEEN(1, COUNTA(event_table!$A$2:$A$69)))</f>
        <v>1212</v>
      </c>
      <c r="B2077" s="6">
        <f t="array" ref="B2077">IFERROR(INDEX(event_table!$E$1:$E3686,MATCH(A2077,event_table!$A$1:$A3686,0)),"")
</f>
        <v>2</v>
      </c>
      <c r="C2077" s="7">
        <f t="shared" si="1"/>
        <v>65</v>
      </c>
      <c r="D2077" s="6" t="str">
        <f t="array" ref="D2077">IFERROR(INDEX(user_table!$C$2:$C3686,MATCH(C2077,user_table!$B$2:$B3686,0)),"")
</f>
        <v>Siti Pratama</v>
      </c>
      <c r="E2077" s="6" t="str">
        <f t="array" ref="E2077">IFERROR(INDEX(user_table!$E$2:$E3686,MATCH(C2077,user_table!$B$2:$B3686,0)),"")
</f>
        <v>5, 6</v>
      </c>
      <c r="F2077" s="6" t="str">
        <f t="shared" si="2"/>
        <v>12125265</v>
      </c>
      <c r="G2077" s="16">
        <v>5.0</v>
      </c>
      <c r="H2077" s="17">
        <v>44691.0</v>
      </c>
      <c r="I2077" s="18" t="s">
        <v>2043</v>
      </c>
    </row>
    <row r="2078">
      <c r="A2078" s="5" t="str">
        <f t="array" ref="A2078">INDEX(event_table!$A$2:$A$69, RANDBETWEEN(1, COUNTA(event_table!$A$2:$A$69)))</f>
        <v>118</v>
      </c>
      <c r="B2078" s="6">
        <f t="array" ref="B2078">IFERROR(INDEX(event_table!$E$1:$E3686,MATCH(A2078,event_table!$A$1:$A3686,0)),"")
</f>
        <v>1</v>
      </c>
      <c r="C2078" s="7">
        <f t="shared" si="1"/>
        <v>99</v>
      </c>
      <c r="D2078" s="6" t="str">
        <f t="array" ref="D2078">IFERROR(INDEX(user_table!$C$2:$C3686,MATCH(C2078,user_table!$B$2:$B3686,0)),"")
</f>
        <v>Maya Nugroho</v>
      </c>
      <c r="E2078" s="6" t="str">
        <f t="array" ref="E2078">IFERROR(INDEX(user_table!$E$2:$E3686,MATCH(C2078,user_table!$B$2:$B3686,0)),"")
</f>
        <v>6, 1</v>
      </c>
      <c r="F2078" s="6" t="str">
        <f t="shared" si="2"/>
        <v>1185199</v>
      </c>
      <c r="G2078" s="16">
        <v>5.0</v>
      </c>
      <c r="H2078" s="17">
        <v>44688.0</v>
      </c>
      <c r="I2078" s="18" t="s">
        <v>2044</v>
      </c>
    </row>
    <row r="2079">
      <c r="A2079" s="5" t="str">
        <f t="array" ref="A2079">INDEX(event_table!$A$2:$A$69, RANDBETWEEN(1, COUNTA(event_table!$A$2:$A$69)))</f>
        <v>1422</v>
      </c>
      <c r="B2079" s="6">
        <f t="array" ref="B2079">IFERROR(INDEX(event_table!$E$1:$E3686,MATCH(A2079,event_table!$A$1:$A3686,0)),"")
</f>
        <v>4</v>
      </c>
      <c r="C2079" s="7">
        <f t="shared" si="1"/>
        <v>169</v>
      </c>
      <c r="D2079" s="6" t="str">
        <f t="array" ref="D2079">IFERROR(INDEX(user_table!$C$2:$C3686,MATCH(C2079,user_table!$B$2:$B3686,0)),"")
</f>
        <v>Dian Saputra</v>
      </c>
      <c r="E2079" s="6" t="str">
        <f t="array" ref="E2079">IFERROR(INDEX(user_table!$E$2:$E3686,MATCH(C2079,user_table!$B$2:$B3686,0)),"")
</f>
        <v>6, 1</v>
      </c>
      <c r="F2079" s="6" t="str">
        <f t="shared" si="2"/>
        <v>142254169</v>
      </c>
      <c r="G2079" s="16">
        <v>5.0</v>
      </c>
      <c r="H2079" s="17">
        <v>44688.0</v>
      </c>
      <c r="I2079" s="18" t="s">
        <v>2045</v>
      </c>
    </row>
    <row r="2080">
      <c r="A2080" s="5" t="str">
        <f t="array" ref="A2080">INDEX(event_table!$A$2:$A$69, RANDBETWEEN(1, COUNTA(event_table!$A$2:$A$69)))</f>
        <v>1212</v>
      </c>
      <c r="B2080" s="6">
        <f t="array" ref="B2080">IFERROR(INDEX(event_table!$E$1:$E3686,MATCH(A2080,event_table!$A$1:$A3686,0)),"")
</f>
        <v>2</v>
      </c>
      <c r="C2080" s="7">
        <f t="shared" si="1"/>
        <v>80</v>
      </c>
      <c r="D2080" s="6" t="str">
        <f t="array" ref="D2080">IFERROR(INDEX(user_table!$C$2:$C3686,MATCH(C2080,user_table!$B$2:$B3686,0)),"")
</f>
        <v>Sinta Susanto</v>
      </c>
      <c r="E2080" s="6" t="str">
        <f t="array" ref="E2080">IFERROR(INDEX(user_table!$E$2:$E3686,MATCH(C2080,user_table!$B$2:$B3686,0)),"")
</f>
        <v>5, 2</v>
      </c>
      <c r="F2080" s="6" t="str">
        <f t="shared" si="2"/>
        <v>12125280</v>
      </c>
      <c r="G2080" s="16">
        <v>5.0</v>
      </c>
      <c r="H2080" s="17">
        <v>44688.0</v>
      </c>
      <c r="I2080" s="18" t="s">
        <v>2046</v>
      </c>
    </row>
    <row r="2081">
      <c r="A2081" s="5" t="str">
        <f t="array" ref="A2081">INDEX(event_table!$A$2:$A$69, RANDBETWEEN(1, COUNTA(event_table!$A$2:$A$69)))</f>
        <v>1212</v>
      </c>
      <c r="B2081" s="6">
        <f t="array" ref="B2081">IFERROR(INDEX(event_table!$E$1:$E3686,MATCH(A2081,event_table!$A$1:$A3686,0)),"")
</f>
        <v>2</v>
      </c>
      <c r="C2081" s="7">
        <f t="shared" si="1"/>
        <v>190</v>
      </c>
      <c r="D2081" s="6" t="str">
        <f t="array" ref="D2081">IFERROR(INDEX(user_table!$C$2:$C3686,MATCH(C2081,user_table!$B$2:$B3686,0)),"")
</f>
        <v>Fajar Santoso</v>
      </c>
      <c r="E2081" s="6" t="str">
        <f t="array" ref="E2081">IFERROR(INDEX(user_table!$E$2:$E3686,MATCH(C2081,user_table!$B$2:$B3686,0)),"")
</f>
        <v>1, 3</v>
      </c>
      <c r="F2081" s="6" t="str">
        <f t="shared" si="2"/>
        <v>121252190</v>
      </c>
      <c r="G2081" s="16">
        <v>5.0</v>
      </c>
      <c r="H2081" s="17">
        <v>44682.0</v>
      </c>
      <c r="I2081" s="18" t="s">
        <v>2047</v>
      </c>
    </row>
    <row r="2082">
      <c r="A2082" s="5" t="str">
        <f t="array" ref="A2082">INDEX(event_table!$A$2:$A$69, RANDBETWEEN(1, COUNTA(event_table!$A$2:$A$69)))</f>
        <v>3658</v>
      </c>
      <c r="B2082" s="6">
        <f t="array" ref="B2082">IFERROR(INDEX(event_table!$E$1:$E3686,MATCH(A2082,event_table!$A$1:$A3686,0)),"")
</f>
        <v>6</v>
      </c>
      <c r="C2082" s="7">
        <f t="shared" si="1"/>
        <v>11</v>
      </c>
      <c r="D2082" s="6" t="str">
        <f t="array" ref="D2082">IFERROR(INDEX(user_table!$C$2:$C3686,MATCH(C2082,user_table!$B$2:$B3686,0)),"")
</f>
        <v>Arif Sari</v>
      </c>
      <c r="E2082" s="6" t="str">
        <f t="array" ref="E2082">IFERROR(INDEX(user_table!$E$2:$E3686,MATCH(C2082,user_table!$B$2:$B3686,0)),"")
</f>
        <v>5, 2</v>
      </c>
      <c r="F2082" s="6" t="str">
        <f t="shared" si="2"/>
        <v>36585611</v>
      </c>
      <c r="G2082" s="16">
        <v>5.0</v>
      </c>
      <c r="H2082" s="17">
        <v>45249.0</v>
      </c>
      <c r="I2082" s="18" t="s">
        <v>2048</v>
      </c>
    </row>
    <row r="2083">
      <c r="A2083" s="5" t="str">
        <f t="array" ref="A2083">INDEX(event_table!$A$2:$A$69, RANDBETWEEN(1, COUNTA(event_table!$A$2:$A$69)))</f>
        <v>1334</v>
      </c>
      <c r="B2083" s="6">
        <f t="array" ref="B2083">IFERROR(INDEX(event_table!$E$1:$E3686,MATCH(A2083,event_table!$A$1:$A3686,0)),"")
</f>
        <v>3</v>
      </c>
      <c r="C2083" s="7">
        <f t="shared" si="1"/>
        <v>197</v>
      </c>
      <c r="D2083" s="6" t="str">
        <f t="array" ref="D2083">IFERROR(INDEX(user_table!$C$2:$C3686,MATCH(C2083,user_table!$B$2:$B3686,0)),"")
</f>
        <v>Dian Sari</v>
      </c>
      <c r="E2083" s="6" t="str">
        <f t="array" ref="E2083">IFERROR(INDEX(user_table!$E$2:$E3686,MATCH(C2083,user_table!$B$2:$B3686,0)),"")
</f>
        <v>6, 3</v>
      </c>
      <c r="F2083" s="6" t="str">
        <f t="shared" si="2"/>
        <v>133453197</v>
      </c>
      <c r="G2083" s="16">
        <v>5.0</v>
      </c>
      <c r="H2083" s="17">
        <v>44844.0</v>
      </c>
      <c r="I2083" s="18" t="s">
        <v>1093</v>
      </c>
    </row>
    <row r="2084">
      <c r="A2084" s="5" t="str">
        <f t="array" ref="A2084">INDEX(event_table!$A$2:$A$69, RANDBETWEEN(1, COUNTA(event_table!$A$2:$A$69)))</f>
        <v>1644</v>
      </c>
      <c r="B2084" s="6">
        <f t="array" ref="B2084">IFERROR(INDEX(event_table!$E$1:$E3686,MATCH(A2084,event_table!$A$1:$A3686,0)),"")
</f>
        <v>6</v>
      </c>
      <c r="C2084" s="7">
        <f t="shared" si="1"/>
        <v>173</v>
      </c>
      <c r="D2084" s="6" t="str">
        <f t="array" ref="D2084">IFERROR(INDEX(user_table!$C$2:$C3686,MATCH(C2084,user_table!$B$2:$B3686,0)),"")
</f>
        <v>Fajar Putri</v>
      </c>
      <c r="E2084" s="6" t="str">
        <f t="array" ref="E2084">IFERROR(INDEX(user_table!$E$2:$E3686,MATCH(C2084,user_table!$B$2:$B3686,0)),"")
</f>
        <v>2, 6</v>
      </c>
      <c r="F2084" s="6" t="str">
        <f t="shared" si="2"/>
        <v>164456173</v>
      </c>
      <c r="G2084" s="16">
        <v>5.0</v>
      </c>
      <c r="H2084" s="17">
        <v>44767.0</v>
      </c>
      <c r="I2084" s="18" t="s">
        <v>2049</v>
      </c>
    </row>
    <row r="2085">
      <c r="A2085" s="5" t="str">
        <f t="array" ref="A2085">INDEX(event_table!$A$2:$A$69, RANDBETWEEN(1, COUNTA(event_table!$A$2:$A$69)))</f>
        <v>1638</v>
      </c>
      <c r="B2085" s="6">
        <f t="array" ref="B2085">IFERROR(INDEX(event_table!$E$1:$E3686,MATCH(A2085,event_table!$A$1:$A3686,0)),"")
</f>
        <v>6</v>
      </c>
      <c r="C2085" s="7">
        <f t="shared" si="1"/>
        <v>160</v>
      </c>
      <c r="D2085" s="6" t="str">
        <f t="array" ref="D2085">IFERROR(INDEX(user_table!$C$2:$C3686,MATCH(C2085,user_table!$B$2:$B3686,0)),"")
</f>
        <v>Hadi Hadiwijaya</v>
      </c>
      <c r="E2085" s="6" t="str">
        <f t="array" ref="E2085">IFERROR(INDEX(user_table!$E$2:$E3686,MATCH(C2085,user_table!$B$2:$B3686,0)),"")
</f>
        <v>2, 4</v>
      </c>
      <c r="F2085" s="6" t="str">
        <f t="shared" si="2"/>
        <v>163856160</v>
      </c>
      <c r="G2085" s="16">
        <v>5.0</v>
      </c>
      <c r="H2085" s="17">
        <v>44717.0</v>
      </c>
      <c r="I2085" s="18" t="s">
        <v>2050</v>
      </c>
    </row>
    <row r="2086">
      <c r="A2086" s="5" t="str">
        <f t="array" ref="A2086">INDEX(event_table!$A$2:$A$69, RANDBETWEEN(1, COUNTA(event_table!$A$2:$A$69)))</f>
        <v>3454</v>
      </c>
      <c r="B2086" s="6">
        <f t="array" ref="B2086">IFERROR(INDEX(event_table!$E$1:$E3686,MATCH(A2086,event_table!$A$1:$A3686,0)),"")
</f>
        <v>4</v>
      </c>
      <c r="C2086" s="7">
        <f t="shared" si="1"/>
        <v>133</v>
      </c>
      <c r="D2086" s="6" t="str">
        <f t="array" ref="D2086">IFERROR(INDEX(user_table!$C$2:$C3686,MATCH(C2086,user_table!$B$2:$B3686,0)),"")
</f>
        <v>Dewi Sari</v>
      </c>
      <c r="E2086" s="6" t="str">
        <f t="array" ref="E2086">IFERROR(INDEX(user_table!$E$2:$E3686,MATCH(C2086,user_table!$B$2:$B3686,0)),"")
</f>
        <v>6, 5</v>
      </c>
      <c r="F2086" s="6" t="str">
        <f t="shared" si="2"/>
        <v>345444133</v>
      </c>
      <c r="G2086" s="16">
        <v>4.0</v>
      </c>
      <c r="H2086" s="17">
        <v>44998.0</v>
      </c>
      <c r="I2086" s="18" t="s">
        <v>2051</v>
      </c>
    </row>
    <row r="2087">
      <c r="A2087" s="5" t="str">
        <f t="array" ref="A2087">INDEX(event_table!$A$2:$A$69, RANDBETWEEN(1, COUNTA(event_table!$A$2:$A$69)))</f>
        <v>1335</v>
      </c>
      <c r="B2087" s="6">
        <f t="array" ref="B2087">IFERROR(INDEX(event_table!$E$1:$E3686,MATCH(A2087,event_table!$A$1:$A3686,0)),"")
</f>
        <v>3</v>
      </c>
      <c r="C2087" s="7">
        <f t="shared" si="1"/>
        <v>53</v>
      </c>
      <c r="D2087" s="6" t="str">
        <f t="array" ref="D2087">IFERROR(INDEX(user_table!$C$2:$C3686,MATCH(C2087,user_table!$B$2:$B3686,0)),"")
</f>
        <v>Wahyu Santoso</v>
      </c>
      <c r="E2087" s="6" t="str">
        <f t="array" ref="E2087">IFERROR(INDEX(user_table!$E$2:$E3686,MATCH(C2087,user_table!$B$2:$B3686,0)),"")
</f>
        <v>4, 5</v>
      </c>
      <c r="F2087" s="6" t="str">
        <f t="shared" si="2"/>
        <v>13354353</v>
      </c>
      <c r="G2087" s="16">
        <v>4.0</v>
      </c>
      <c r="H2087" s="17">
        <v>44790.0</v>
      </c>
      <c r="I2087" s="18" t="s">
        <v>2052</v>
      </c>
    </row>
    <row r="2088">
      <c r="A2088" s="5" t="str">
        <f t="array" ref="A2088">INDEX(event_table!$A$2:$A$69, RANDBETWEEN(1, COUNTA(event_table!$A$2:$A$69)))</f>
        <v>1531</v>
      </c>
      <c r="B2088" s="6">
        <f t="array" ref="B2088">IFERROR(INDEX(event_table!$E$1:$E3686,MATCH(A2088,event_table!$A$1:$A3686,0)),"")
</f>
        <v>5</v>
      </c>
      <c r="C2088" s="7">
        <f t="shared" si="1"/>
        <v>168</v>
      </c>
      <c r="D2088" s="6" t="str">
        <f t="array" ref="D2088">IFERROR(INDEX(user_table!$C$2:$C3686,MATCH(C2088,user_table!$B$2:$B3686,0)),"")
</f>
        <v>Lina Kurniawan</v>
      </c>
      <c r="E2088" s="6" t="str">
        <f t="array" ref="E2088">IFERROR(INDEX(user_table!$E$2:$E3686,MATCH(C2088,user_table!$B$2:$B3686,0)),"")
</f>
        <v>2, 2</v>
      </c>
      <c r="F2088" s="6" t="str">
        <f t="shared" si="2"/>
        <v>153145168</v>
      </c>
      <c r="G2088" s="16">
        <v>4.0</v>
      </c>
      <c r="H2088" s="17">
        <v>44934.0</v>
      </c>
      <c r="I2088" s="18" t="s">
        <v>2053</v>
      </c>
    </row>
    <row r="2089">
      <c r="A2089" s="5" t="str">
        <f t="array" ref="A2089">INDEX(event_table!$A$2:$A$69, RANDBETWEEN(1, COUNTA(event_table!$A$2:$A$69)))</f>
        <v>1531</v>
      </c>
      <c r="B2089" s="6">
        <f t="array" ref="B2089">IFERROR(INDEX(event_table!$E$1:$E3686,MATCH(A2089,event_table!$A$1:$A3686,0)),"")
</f>
        <v>5</v>
      </c>
      <c r="C2089" s="7">
        <f t="shared" si="1"/>
        <v>107</v>
      </c>
      <c r="D2089" s="6" t="str">
        <f t="array" ref="D2089">IFERROR(INDEX(user_table!$C$2:$C3686,MATCH(C2089,user_table!$B$2:$B3686,0)),"")
</f>
        <v>Citra Rahayu</v>
      </c>
      <c r="E2089" s="6" t="str">
        <f t="array" ref="E2089">IFERROR(INDEX(user_table!$E$2:$E3686,MATCH(C2089,user_table!$B$2:$B3686,0)),"")
</f>
        <v>1, 5</v>
      </c>
      <c r="F2089" s="6" t="str">
        <f t="shared" si="2"/>
        <v>153145107</v>
      </c>
      <c r="G2089" s="16">
        <v>4.0</v>
      </c>
      <c r="H2089" s="17">
        <v>44827.0</v>
      </c>
      <c r="I2089" s="18" t="s">
        <v>2054</v>
      </c>
    </row>
    <row r="2090">
      <c r="A2090" s="5" t="str">
        <f t="array" ref="A2090">INDEX(event_table!$A$2:$A$69, RANDBETWEEN(1, COUNTA(event_table!$A$2:$A$69)))</f>
        <v>1418</v>
      </c>
      <c r="B2090" s="6">
        <f t="array" ref="B2090">IFERROR(INDEX(event_table!$E$1:$E3686,MATCH(A2090,event_table!$A$1:$A3686,0)),"")
</f>
        <v>4</v>
      </c>
      <c r="C2090" s="7">
        <f t="shared" si="1"/>
        <v>61</v>
      </c>
      <c r="D2090" s="6" t="str">
        <f t="array" ref="D2090">IFERROR(INDEX(user_table!$C$2:$C3686,MATCH(C2090,user_table!$B$2:$B3686,0)),"")
</f>
        <v>Agus Setiawan</v>
      </c>
      <c r="E2090" s="6" t="str">
        <f t="array" ref="E2090">IFERROR(INDEX(user_table!$E$2:$E3686,MATCH(C2090,user_table!$B$2:$B3686,0)),"")
</f>
        <v>4, 5</v>
      </c>
      <c r="F2090" s="6" t="str">
        <f t="shared" si="2"/>
        <v>14184461</v>
      </c>
      <c r="G2090" s="16">
        <v>4.0</v>
      </c>
      <c r="H2090" s="17">
        <v>44736.0</v>
      </c>
      <c r="I2090" s="18" t="s">
        <v>2055</v>
      </c>
    </row>
    <row r="2091">
      <c r="A2091" s="5" t="str">
        <f t="array" ref="A2091">INDEX(event_table!$A$2:$A$69, RANDBETWEEN(1, COUNTA(event_table!$A$2:$A$69)))</f>
        <v>1333</v>
      </c>
      <c r="B2091" s="6">
        <f t="array" ref="B2091">IFERROR(INDEX(event_table!$E$1:$E3686,MATCH(A2091,event_table!$A$1:$A3686,0)),"")
</f>
        <v>3</v>
      </c>
      <c r="C2091" s="7">
        <f t="shared" si="1"/>
        <v>18</v>
      </c>
      <c r="D2091" s="6" t="str">
        <f t="array" ref="D2091">IFERROR(INDEX(user_table!$C$2:$C3686,MATCH(C2091,user_table!$B$2:$B3686,0)),"")
</f>
        <v>Rudi Santoso</v>
      </c>
      <c r="E2091" s="6" t="str">
        <f t="array" ref="E2091">IFERROR(INDEX(user_table!$E$2:$E3686,MATCH(C2091,user_table!$B$2:$B3686,0)),"")
</f>
        <v>4, 2</v>
      </c>
      <c r="F2091" s="6" t="str">
        <f t="shared" si="2"/>
        <v>13334318</v>
      </c>
      <c r="G2091" s="16">
        <v>4.0</v>
      </c>
      <c r="H2091" s="17">
        <v>45109.0</v>
      </c>
      <c r="I2091" s="18" t="s">
        <v>2056</v>
      </c>
    </row>
    <row r="2092">
      <c r="A2092" s="5" t="str">
        <f t="array" ref="A2092">INDEX(event_table!$A$2:$A$69, RANDBETWEEN(1, COUNTA(event_table!$A$2:$A$69)))</f>
        <v>1528</v>
      </c>
      <c r="B2092" s="6">
        <f t="array" ref="B2092">IFERROR(INDEX(event_table!$E$1:$E3686,MATCH(A2092,event_table!$A$1:$A3686,0)),"")
</f>
        <v>5</v>
      </c>
      <c r="C2092" s="7">
        <f t="shared" si="1"/>
        <v>30</v>
      </c>
      <c r="D2092" s="6" t="str">
        <f t="array" ref="D2092">IFERROR(INDEX(user_table!$C$2:$C3686,MATCH(C2092,user_table!$B$2:$B3686,0)),"")
</f>
        <v>Fajar Kurniawan</v>
      </c>
      <c r="E2092" s="6" t="str">
        <f t="array" ref="E2092">IFERROR(INDEX(user_table!$E$2:$E3686,MATCH(C2092,user_table!$B$2:$B3686,0)),"")
</f>
        <v>5, 3</v>
      </c>
      <c r="F2092" s="6" t="str">
        <f t="shared" si="2"/>
        <v>15283530</v>
      </c>
      <c r="G2092" s="16">
        <v>3.0</v>
      </c>
      <c r="H2092" s="17">
        <v>45008.0</v>
      </c>
      <c r="I2092" s="18" t="s">
        <v>2057</v>
      </c>
    </row>
    <row r="2093">
      <c r="A2093" s="5" t="str">
        <f t="array" ref="A2093">INDEX(event_table!$A$2:$A$69, RANDBETWEEN(1, COUNTA(event_table!$A$2:$A$69)))</f>
        <v>118</v>
      </c>
      <c r="B2093" s="6">
        <f t="array" ref="B2093">IFERROR(INDEX(event_table!$E$1:$E3686,MATCH(A2093,event_table!$A$1:$A3686,0)),"")
</f>
        <v>1</v>
      </c>
      <c r="C2093" s="7">
        <f t="shared" si="1"/>
        <v>13</v>
      </c>
      <c r="D2093" s="6" t="str">
        <f t="array" ref="D2093">IFERROR(INDEX(user_table!$C$2:$C3686,MATCH(C2093,user_table!$B$2:$B3686,0)),"")
</f>
        <v>Hadi Kurniawan</v>
      </c>
      <c r="E2093" s="6" t="str">
        <f t="array" ref="E2093">IFERROR(INDEX(user_table!$E$2:$E3686,MATCH(C2093,user_table!$B$2:$B3686,0)),"")
</f>
        <v>4, 3</v>
      </c>
      <c r="F2093" s="6" t="str">
        <f t="shared" si="2"/>
        <v>1183113</v>
      </c>
      <c r="G2093" s="16">
        <v>3.0</v>
      </c>
      <c r="H2093" s="17">
        <v>45130.0</v>
      </c>
      <c r="I2093" s="18" t="s">
        <v>2058</v>
      </c>
    </row>
    <row r="2094">
      <c r="A2094" s="5" t="str">
        <f t="array" ref="A2094">INDEX(event_table!$A$2:$A$69, RANDBETWEEN(1, COUNTA(event_table!$A$2:$A$69)))</f>
        <v>122</v>
      </c>
      <c r="B2094" s="6">
        <f t="array" ref="B2094">IFERROR(INDEX(event_table!$E$1:$E3686,MATCH(A2094,event_table!$A$1:$A3686,0)),"")
</f>
        <v>2</v>
      </c>
      <c r="C2094" s="7">
        <f t="shared" si="1"/>
        <v>54</v>
      </c>
      <c r="D2094" s="6" t="str">
        <f t="array" ref="D2094">IFERROR(INDEX(user_table!$C$2:$C3686,MATCH(C2094,user_table!$B$2:$B3686,0)),"")
</f>
        <v>Andi Kurniawan</v>
      </c>
      <c r="E2094" s="6" t="str">
        <f t="array" ref="E2094">IFERROR(INDEX(user_table!$E$2:$E3686,MATCH(C2094,user_table!$B$2:$B3686,0)),"")
</f>
        <v>4, 4</v>
      </c>
      <c r="F2094" s="6" t="str">
        <f t="shared" si="2"/>
        <v>1223254</v>
      </c>
      <c r="G2094" s="16">
        <v>3.0</v>
      </c>
      <c r="H2094" s="17">
        <v>45117.0</v>
      </c>
      <c r="I2094" s="18" t="s">
        <v>2059</v>
      </c>
    </row>
    <row r="2095">
      <c r="A2095" s="5" t="str">
        <f t="array" ref="A2095">INDEX(event_table!$A$2:$A$69, RANDBETWEEN(1, COUNTA(event_table!$A$2:$A$69)))</f>
        <v>1639</v>
      </c>
      <c r="B2095" s="6">
        <f t="array" ref="B2095">IFERROR(INDEX(event_table!$E$1:$E3686,MATCH(A2095,event_table!$A$1:$A3686,0)),"")
</f>
        <v>6</v>
      </c>
      <c r="C2095" s="7">
        <f t="shared" si="1"/>
        <v>121</v>
      </c>
      <c r="D2095" s="6" t="str">
        <f t="array" ref="D2095">IFERROR(INDEX(user_table!$C$2:$C3686,MATCH(C2095,user_table!$B$2:$B3686,0)),"")
</f>
        <v>Wahyu Saputra</v>
      </c>
      <c r="E2095" s="6" t="str">
        <f t="array" ref="E2095">IFERROR(INDEX(user_table!$E$2:$E3686,MATCH(C2095,user_table!$B$2:$B3686,0)),"")
</f>
        <v>6, 3</v>
      </c>
      <c r="F2095" s="6" t="str">
        <f t="shared" si="2"/>
        <v>163926121</v>
      </c>
      <c r="G2095" s="16">
        <v>2.0</v>
      </c>
      <c r="H2095" s="17">
        <v>45181.0</v>
      </c>
      <c r="I2095" s="18" t="s">
        <v>2060</v>
      </c>
    </row>
    <row r="2096">
      <c r="A2096" s="5" t="str">
        <f t="array" ref="A2096">INDEX(event_table!$A$2:$A$69, RANDBETWEEN(1, COUNTA(event_table!$A$2:$A$69)))</f>
        <v>1111</v>
      </c>
      <c r="B2096" s="6">
        <f t="array" ref="B2096">IFERROR(INDEX(event_table!$E$1:$E3686,MATCH(A2096,event_table!$A$1:$A3686,0)),"")
</f>
        <v>1</v>
      </c>
      <c r="C2096" s="7">
        <f t="shared" si="1"/>
        <v>147</v>
      </c>
      <c r="D2096" s="6" t="str">
        <f t="array" ref="D2096">IFERROR(INDEX(user_table!$C$2:$C3686,MATCH(C2096,user_table!$B$2:$B3686,0)),"")
</f>
        <v>Fajar Saputra</v>
      </c>
      <c r="E2096" s="6" t="str">
        <f t="array" ref="E2096">IFERROR(INDEX(user_table!$E$2:$E3686,MATCH(C2096,user_table!$B$2:$B3686,0)),"")
</f>
        <v>6, 2</v>
      </c>
      <c r="F2096" s="6" t="str">
        <f t="shared" si="2"/>
        <v>111121147</v>
      </c>
      <c r="G2096" s="16">
        <v>2.0</v>
      </c>
      <c r="H2096" s="17">
        <v>45115.0</v>
      </c>
      <c r="I2096" s="18" t="s">
        <v>2061</v>
      </c>
    </row>
    <row r="2097">
      <c r="A2097" s="5" t="str">
        <f t="array" ref="A2097">INDEX(event_table!$A$2:$A$69, RANDBETWEEN(1, COUNTA(event_table!$A$2:$A$69)))</f>
        <v>3169</v>
      </c>
      <c r="B2097" s="6">
        <f t="array" ref="B2097">IFERROR(INDEX(event_table!$E$1:$E3686,MATCH(A2097,event_table!$A$1:$A3686,0)),"")
</f>
        <v>1</v>
      </c>
      <c r="C2097" s="7">
        <f t="shared" si="1"/>
        <v>161</v>
      </c>
      <c r="D2097" s="6" t="str">
        <f t="array" ref="D2097">IFERROR(INDEX(user_table!$C$2:$C3686,MATCH(C2097,user_table!$B$2:$B3686,0)),"")
</f>
        <v>Lina Nugroho</v>
      </c>
      <c r="E2097" s="6" t="str">
        <f t="array" ref="E2097">IFERROR(INDEX(user_table!$E$2:$E3686,MATCH(C2097,user_table!$B$2:$B3686,0)),"")
</f>
        <v>6, 5</v>
      </c>
      <c r="F2097" s="6" t="str">
        <f t="shared" si="2"/>
        <v>316921161</v>
      </c>
      <c r="G2097" s="16">
        <v>2.0</v>
      </c>
      <c r="H2097" s="17">
        <v>44784.0</v>
      </c>
      <c r="I2097" s="18" t="s">
        <v>2062</v>
      </c>
    </row>
    <row r="2098">
      <c r="A2098" s="5" t="str">
        <f t="array" ref="A2098">INDEX(event_table!$A$2:$A$69, RANDBETWEEN(1, COUNTA(event_table!$A$2:$A$69)))</f>
        <v>1416</v>
      </c>
      <c r="B2098" s="6">
        <f t="array" ref="B2098">IFERROR(INDEX(event_table!$E$1:$E3686,MATCH(A2098,event_table!$A$1:$A3686,0)),"")
</f>
        <v>4</v>
      </c>
      <c r="C2098" s="7">
        <f t="shared" si="1"/>
        <v>184</v>
      </c>
      <c r="D2098" s="6" t="str">
        <f t="array" ref="D2098">IFERROR(INDEX(user_table!$C$2:$C3686,MATCH(C2098,user_table!$B$2:$B3686,0)),"")
</f>
        <v>Dewi Hadiwijaya</v>
      </c>
      <c r="E2098" s="6" t="str">
        <f t="array" ref="E2098">IFERROR(INDEX(user_table!$E$2:$E3686,MATCH(C2098,user_table!$B$2:$B3686,0)),"")
</f>
        <v>2, 1</v>
      </c>
      <c r="F2098" s="6" t="str">
        <f t="shared" si="2"/>
        <v>141624184</v>
      </c>
      <c r="G2098" s="16">
        <v>2.0</v>
      </c>
      <c r="H2098" s="17">
        <v>45258.0</v>
      </c>
      <c r="I2098" s="18" t="s">
        <v>2063</v>
      </c>
    </row>
    <row r="2099">
      <c r="A2099" s="5" t="str">
        <f t="array" ref="A2099">INDEX(event_table!$A$2:$A$69, RANDBETWEEN(1, COUNTA(event_table!$A$2:$A$69)))</f>
        <v>3658</v>
      </c>
      <c r="B2099" s="6">
        <f t="array" ref="B2099">IFERROR(INDEX(event_table!$E$1:$E3686,MATCH(A2099,event_table!$A$1:$A3686,0)),"")
</f>
        <v>6</v>
      </c>
      <c r="C2099" s="7">
        <f t="shared" si="1"/>
        <v>3</v>
      </c>
      <c r="D2099" s="6" t="str">
        <f t="array" ref="D2099">IFERROR(INDEX(user_table!$C$2:$C3686,MATCH(C2099,user_table!$B$2:$B3686,0)),"")
</f>
        <v>Fandi Wijaya</v>
      </c>
      <c r="E2099" s="6" t="str">
        <f t="array" ref="E2099">IFERROR(INDEX(user_table!$E$2:$E3686,MATCH(C2099,user_table!$B$2:$B3686,0)),"")
</f>
        <v>6, 1</v>
      </c>
      <c r="F2099" s="6" t="str">
        <f t="shared" si="2"/>
        <v>3658263</v>
      </c>
      <c r="G2099" s="16">
        <v>2.0</v>
      </c>
      <c r="H2099" s="17">
        <v>45227.0</v>
      </c>
      <c r="I2099" s="18" t="s">
        <v>2064</v>
      </c>
    </row>
    <row r="2100">
      <c r="A2100" s="5" t="str">
        <f t="array" ref="A2100">INDEX(event_table!$A$2:$A$69, RANDBETWEEN(1, COUNTA(event_table!$A$2:$A$69)))</f>
        <v>114</v>
      </c>
      <c r="B2100" s="6">
        <f t="array" ref="B2100">IFERROR(INDEX(event_table!$E$1:$E3686,MATCH(A2100,event_table!$A$1:$A3686,0)),"")
</f>
        <v>1</v>
      </c>
      <c r="C2100" s="7">
        <f t="shared" si="1"/>
        <v>182</v>
      </c>
      <c r="D2100" s="6" t="str">
        <f t="array" ref="D2100">IFERROR(INDEX(user_table!$C$2:$C3686,MATCH(C2100,user_table!$B$2:$B3686,0)),"")
</f>
        <v>Siti Utami</v>
      </c>
      <c r="E2100" s="6" t="str">
        <f t="array" ref="E2100">IFERROR(INDEX(user_table!$E$2:$E3686,MATCH(C2100,user_table!$B$2:$B3686,0)),"")
</f>
        <v>5, 4</v>
      </c>
      <c r="F2100" s="6" t="str">
        <f t="shared" si="2"/>
        <v>11421182</v>
      </c>
      <c r="G2100" s="16">
        <v>2.0</v>
      </c>
      <c r="H2100" s="17">
        <v>45203.0</v>
      </c>
      <c r="I2100" s="18" t="s">
        <v>2065</v>
      </c>
    </row>
    <row r="2101">
      <c r="A2101" s="5" t="str">
        <f t="array" ref="A2101">INDEX(event_table!$A$2:$A$69, RANDBETWEEN(1, COUNTA(event_table!$A$2:$A$69)))</f>
        <v>1646</v>
      </c>
      <c r="B2101" s="6">
        <f t="array" ref="B2101">IFERROR(INDEX(event_table!$E$1:$E3686,MATCH(A2101,event_table!$A$1:$A3686,0)),"")
</f>
        <v>6</v>
      </c>
      <c r="C2101" s="7">
        <f t="shared" si="1"/>
        <v>54</v>
      </c>
      <c r="D2101" s="6" t="str">
        <f t="array" ref="D2101">IFERROR(INDEX(user_table!$C$2:$C3686,MATCH(C2101,user_table!$B$2:$B3686,0)),"")
</f>
        <v>Andi Kurniawan</v>
      </c>
      <c r="E2101" s="6" t="str">
        <f t="array" ref="E2101">IFERROR(INDEX(user_table!$E$2:$E3686,MATCH(C2101,user_table!$B$2:$B3686,0)),"")
</f>
        <v>4, 4</v>
      </c>
      <c r="F2101" s="6" t="str">
        <f t="shared" si="2"/>
        <v>16462654</v>
      </c>
      <c r="G2101" s="16">
        <v>2.0</v>
      </c>
      <c r="H2101" s="17">
        <v>45177.0</v>
      </c>
      <c r="I2101" s="18" t="s">
        <v>2066</v>
      </c>
    </row>
    <row r="2102">
      <c r="A2102" s="5" t="str">
        <f t="array" ref="A2102">INDEX(event_table!$A$2:$A$69, RANDBETWEEN(1, COUNTA(event_table!$A$2:$A$69)))</f>
        <v>117</v>
      </c>
      <c r="B2102" s="6">
        <f t="array" ref="B2102">IFERROR(INDEX(event_table!$E$1:$E3686,MATCH(A2102,event_table!$A$1:$A3686,0)),"")
</f>
        <v>1</v>
      </c>
      <c r="C2102" s="7">
        <f t="shared" si="1"/>
        <v>178</v>
      </c>
      <c r="D2102" s="6" t="str">
        <f t="array" ref="D2102">IFERROR(INDEX(user_table!$C$2:$C3686,MATCH(C2102,user_table!$B$2:$B3686,0)),"")
</f>
        <v>Dewi Hidayat</v>
      </c>
      <c r="E2102" s="6" t="str">
        <f t="array" ref="E2102">IFERROR(INDEX(user_table!$E$2:$E3686,MATCH(C2102,user_table!$B$2:$B3686,0)),"")
</f>
        <v>3, 2</v>
      </c>
      <c r="F2102" s="6" t="str">
        <f t="shared" si="2"/>
        <v>11721178</v>
      </c>
      <c r="G2102" s="16">
        <v>2.0</v>
      </c>
      <c r="H2102" s="17">
        <v>45168.0</v>
      </c>
      <c r="I2102" s="18" t="s">
        <v>2067</v>
      </c>
    </row>
    <row r="2103">
      <c r="A2103" s="5" t="str">
        <f t="array" ref="A2103">INDEX(event_table!$A$2:$A$69, RANDBETWEEN(1, COUNTA(event_table!$A$2:$A$69)))</f>
        <v>111</v>
      </c>
      <c r="B2103" s="6">
        <f t="array" ref="B2103">IFERROR(INDEX(event_table!$E$1:$E3686,MATCH(A2103,event_table!$A$1:$A3686,0)),"")
</f>
        <v>1</v>
      </c>
      <c r="C2103" s="7">
        <f t="shared" si="1"/>
        <v>112</v>
      </c>
      <c r="D2103" s="6" t="str">
        <f t="array" ref="D2103">IFERROR(INDEX(user_table!$C$2:$C3686,MATCH(C2103,user_table!$B$2:$B3686,0)),"")
</f>
        <v>Ani Hadiwijaya</v>
      </c>
      <c r="E2103" s="6" t="str">
        <f t="array" ref="E2103">IFERROR(INDEX(user_table!$E$2:$E3686,MATCH(C2103,user_table!$B$2:$B3686,0)),"")
</f>
        <v>3, 5</v>
      </c>
      <c r="F2103" s="6" t="str">
        <f t="shared" si="2"/>
        <v>11121112</v>
      </c>
      <c r="G2103" s="16">
        <v>2.0</v>
      </c>
      <c r="H2103" s="17">
        <v>45076.0</v>
      </c>
      <c r="I2103" s="18" t="s">
        <v>2068</v>
      </c>
    </row>
    <row r="2104">
      <c r="A2104" s="5" t="str">
        <f t="array" ref="A2104">INDEX(event_table!$A$2:$A$69, RANDBETWEEN(1, COUNTA(event_table!$A$2:$A$69)))</f>
        <v>1647</v>
      </c>
      <c r="B2104" s="6">
        <f t="array" ref="B2104">IFERROR(INDEX(event_table!$E$1:$E3686,MATCH(A2104,event_table!$A$1:$A3686,0)),"")
</f>
        <v>6</v>
      </c>
      <c r="C2104" s="7">
        <f t="shared" si="1"/>
        <v>86</v>
      </c>
      <c r="D2104" s="6" t="str">
        <f t="array" ref="D2104">IFERROR(INDEX(user_table!$C$2:$C3686,MATCH(C2104,user_table!$B$2:$B3686,0)),"")
</f>
        <v>Lina Santoso</v>
      </c>
      <c r="E2104" s="6" t="str">
        <f t="array" ref="E2104">IFERROR(INDEX(user_table!$E$2:$E3686,MATCH(C2104,user_table!$B$2:$B3686,0)),"")
</f>
        <v>4, 3</v>
      </c>
      <c r="F2104" s="6" t="str">
        <f t="shared" si="2"/>
        <v>16472686</v>
      </c>
      <c r="G2104" s="16">
        <v>2.0</v>
      </c>
      <c r="H2104" s="17">
        <v>45047.0</v>
      </c>
      <c r="I2104" s="18" t="s">
        <v>2069</v>
      </c>
    </row>
    <row r="2105">
      <c r="A2105" s="5" t="str">
        <f t="array" ref="A2105">INDEX(event_table!$A$2:$A$69, RANDBETWEEN(1, COUNTA(event_table!$A$2:$A$69)))</f>
        <v>1422</v>
      </c>
      <c r="B2105" s="6">
        <f t="array" ref="B2105">IFERROR(INDEX(event_table!$E$1:$E3686,MATCH(A2105,event_table!$A$1:$A3686,0)),"")
</f>
        <v>4</v>
      </c>
      <c r="C2105" s="7">
        <f t="shared" si="1"/>
        <v>150</v>
      </c>
      <c r="D2105" s="6" t="str">
        <f t="array" ref="D2105">IFERROR(INDEX(user_table!$C$2:$C3686,MATCH(C2105,user_table!$B$2:$B3686,0)),"")
</f>
        <v>Dina Susanto</v>
      </c>
      <c r="E2105" s="6" t="str">
        <f t="array" ref="E2105">IFERROR(INDEX(user_table!$E$2:$E3686,MATCH(C2105,user_table!$B$2:$B3686,0)),"")
</f>
        <v>2, 6</v>
      </c>
      <c r="F2105" s="6" t="str">
        <f t="shared" si="2"/>
        <v>142214150</v>
      </c>
      <c r="G2105" s="16">
        <v>1.0</v>
      </c>
      <c r="H2105" s="17">
        <v>45233.0</v>
      </c>
      <c r="I2105" s="18" t="s">
        <v>2070</v>
      </c>
    </row>
    <row r="2106">
      <c r="A2106" s="5" t="str">
        <f t="array" ref="A2106">INDEX(event_table!$A$2:$A$69, RANDBETWEEN(1, COUNTA(event_table!$A$2:$A$69)))</f>
        <v>1647</v>
      </c>
      <c r="B2106" s="6">
        <f t="array" ref="B2106">IFERROR(INDEX(event_table!$E$1:$E3686,MATCH(A2106,event_table!$A$1:$A3686,0)),"")
</f>
        <v>6</v>
      </c>
      <c r="C2106" s="7">
        <f t="shared" si="1"/>
        <v>2</v>
      </c>
      <c r="D2106" s="6" t="str">
        <f t="array" ref="D2106">IFERROR(INDEX(user_table!$C$2:$C3686,MATCH(C2106,user_table!$B$2:$B3686,0)),"")
</f>
        <v>Dian Putri</v>
      </c>
      <c r="E2106" s="6" t="str">
        <f t="array" ref="E2106">IFERROR(INDEX(user_table!$E$2:$E3686,MATCH(C2106,user_table!$B$2:$B3686,0)),"")
</f>
        <v>1, 6</v>
      </c>
      <c r="F2106" s="6" t="str">
        <f t="shared" si="2"/>
        <v>1647162</v>
      </c>
      <c r="G2106" s="16">
        <v>1.0</v>
      </c>
      <c r="H2106" s="17">
        <v>45167.0</v>
      </c>
      <c r="I2106" s="18" t="s">
        <v>2071</v>
      </c>
    </row>
    <row r="2107">
      <c r="A2107" s="5" t="str">
        <f t="array" ref="A2107">INDEX(event_table!$A$2:$A$69, RANDBETWEEN(1, COUNTA(event_table!$A$2:$A$69)))</f>
        <v>115</v>
      </c>
      <c r="B2107" s="6">
        <f t="array" ref="B2107">IFERROR(INDEX(event_table!$E$1:$E3686,MATCH(A2107,event_table!$A$1:$A3686,0)),"")
</f>
        <v>1</v>
      </c>
      <c r="C2107" s="7">
        <f t="shared" si="1"/>
        <v>107</v>
      </c>
      <c r="D2107" s="6" t="str">
        <f t="array" ref="D2107">IFERROR(INDEX(user_table!$C$2:$C3686,MATCH(C2107,user_table!$B$2:$B3686,0)),"")
</f>
        <v>Citra Rahayu</v>
      </c>
      <c r="E2107" s="6" t="str">
        <f t="array" ref="E2107">IFERROR(INDEX(user_table!$E$2:$E3686,MATCH(C2107,user_table!$B$2:$B3686,0)),"")
</f>
        <v>1, 5</v>
      </c>
      <c r="F2107" s="6" t="str">
        <f t="shared" si="2"/>
        <v>11511107</v>
      </c>
      <c r="G2107" s="16">
        <v>1.0</v>
      </c>
      <c r="H2107" s="17">
        <v>45145.0</v>
      </c>
      <c r="I2107" s="18" t="s">
        <v>2072</v>
      </c>
    </row>
    <row r="2108">
      <c r="A2108" s="5" t="str">
        <f t="array" ref="A2108">INDEX(event_table!$A$2:$A$69, RANDBETWEEN(1, COUNTA(event_table!$A$2:$A$69)))</f>
        <v>1643</v>
      </c>
      <c r="B2108" s="6">
        <f t="array" ref="B2108">IFERROR(INDEX(event_table!$E$1:$E3686,MATCH(A2108,event_table!$A$1:$A3686,0)),"")
</f>
        <v>6</v>
      </c>
      <c r="C2108" s="7">
        <f t="shared" si="1"/>
        <v>191</v>
      </c>
      <c r="D2108" s="6" t="str">
        <f t="array" ref="D2108">IFERROR(INDEX(user_table!$C$2:$C3686,MATCH(C2108,user_table!$B$2:$B3686,0)),"")
</f>
        <v>Rudi Hermawan</v>
      </c>
      <c r="E2108" s="6" t="str">
        <f t="array" ref="E2108">IFERROR(INDEX(user_table!$E$2:$E3686,MATCH(C2108,user_table!$B$2:$B3686,0)),"")
</f>
        <v>5, 6</v>
      </c>
      <c r="F2108" s="6" t="str">
        <f t="shared" si="2"/>
        <v>164316191</v>
      </c>
      <c r="G2108" s="16">
        <v>1.0</v>
      </c>
      <c r="H2108" s="17">
        <v>45143.0</v>
      </c>
      <c r="I2108" s="18" t="s">
        <v>2073</v>
      </c>
    </row>
    <row r="2109">
      <c r="A2109" s="5" t="str">
        <f t="array" ref="A2109">INDEX(event_table!$A$2:$A$69, RANDBETWEEN(1, COUNTA(event_table!$A$2:$A$69)))</f>
        <v>1650</v>
      </c>
      <c r="B2109" s="6">
        <f t="array" ref="B2109">IFERROR(INDEX(event_table!$E$1:$E3686,MATCH(A2109,event_table!$A$1:$A3686,0)),"")
</f>
        <v>6</v>
      </c>
      <c r="C2109" s="7">
        <f t="shared" si="1"/>
        <v>8</v>
      </c>
      <c r="D2109" s="6" t="str">
        <f t="array" ref="D2109">IFERROR(INDEX(user_table!$C$2:$C3686,MATCH(C2109,user_table!$B$2:$B3686,0)),"")
</f>
        <v>Bambang Kurniawan</v>
      </c>
      <c r="E2109" s="6" t="str">
        <f t="array" ref="E2109">IFERROR(INDEX(user_table!$E$2:$E3686,MATCH(C2109,user_table!$B$2:$B3686,0)),"")
</f>
        <v>2, 1</v>
      </c>
      <c r="F2109" s="6" t="str">
        <f t="shared" si="2"/>
        <v>1650168</v>
      </c>
      <c r="G2109" s="16">
        <v>1.0</v>
      </c>
      <c r="H2109" s="17">
        <v>45135.0</v>
      </c>
      <c r="I2109" s="18" t="s">
        <v>2074</v>
      </c>
    </row>
    <row r="2110">
      <c r="A2110" s="5" t="str">
        <f t="array" ref="A2110">INDEX(event_table!$A$2:$A$69, RANDBETWEEN(1, COUNTA(event_table!$A$2:$A$69)))</f>
        <v>1212</v>
      </c>
      <c r="B2110" s="6">
        <f t="array" ref="B2110">IFERROR(INDEX(event_table!$E$1:$E3686,MATCH(A2110,event_table!$A$1:$A3686,0)),"")
</f>
        <v>2</v>
      </c>
      <c r="C2110" s="7">
        <f t="shared" si="1"/>
        <v>197</v>
      </c>
      <c r="D2110" s="6" t="str">
        <f t="array" ref="D2110">IFERROR(INDEX(user_table!$C$2:$C3686,MATCH(C2110,user_table!$B$2:$B3686,0)),"")
</f>
        <v>Dian Sari</v>
      </c>
      <c r="E2110" s="6" t="str">
        <f t="array" ref="E2110">IFERROR(INDEX(user_table!$E$2:$E3686,MATCH(C2110,user_table!$B$2:$B3686,0)),"")
</f>
        <v>6, 3</v>
      </c>
      <c r="F2110" s="6" t="str">
        <f t="shared" si="2"/>
        <v>121212197</v>
      </c>
      <c r="G2110" s="16">
        <v>1.0</v>
      </c>
      <c r="H2110" s="17">
        <v>45090.0</v>
      </c>
      <c r="I2110" s="18" t="s">
        <v>2075</v>
      </c>
    </row>
    <row r="2111">
      <c r="A2111" s="5" t="str">
        <f t="array" ref="A2111">INDEX(event_table!$A$2:$A$69, RANDBETWEEN(1, COUNTA(event_table!$A$2:$A$69)))</f>
        <v>116</v>
      </c>
      <c r="B2111" s="6">
        <f t="array" ref="B2111">IFERROR(INDEX(event_table!$E$1:$E3686,MATCH(A2111,event_table!$A$1:$A3686,0)),"")
</f>
        <v>1</v>
      </c>
      <c r="C2111" s="7">
        <f t="shared" si="1"/>
        <v>194</v>
      </c>
      <c r="D2111" s="6" t="str">
        <f t="array" ref="D2111">IFERROR(INDEX(user_table!$C$2:$C3686,MATCH(C2111,user_table!$B$2:$B3686,0)),"")
</f>
        <v>Andi Putri</v>
      </c>
      <c r="E2111" s="6" t="str">
        <f t="array" ref="E2111">IFERROR(INDEX(user_table!$E$2:$E3686,MATCH(C2111,user_table!$B$2:$B3686,0)),"")
</f>
        <v>4, 4</v>
      </c>
      <c r="F2111" s="6" t="str">
        <f t="shared" si="2"/>
        <v>11611194</v>
      </c>
      <c r="G2111" s="16">
        <v>1.0</v>
      </c>
      <c r="H2111" s="17">
        <v>45080.0</v>
      </c>
      <c r="I2111" s="18" t="s">
        <v>2076</v>
      </c>
    </row>
    <row r="2112">
      <c r="A2112" s="5" t="str">
        <f t="array" ref="A2112">INDEX(event_table!$A$2:$A$69, RANDBETWEEN(1, COUNTA(event_table!$A$2:$A$69)))</f>
        <v>1643</v>
      </c>
      <c r="B2112" s="6">
        <f t="array" ref="B2112">IFERROR(INDEX(event_table!$E$1:$E3686,MATCH(A2112,event_table!$A$1:$A3686,0)),"")
</f>
        <v>6</v>
      </c>
      <c r="C2112" s="7">
        <f t="shared" si="1"/>
        <v>186</v>
      </c>
      <c r="D2112" s="6" t="str">
        <f t="array" ref="D2112">IFERROR(INDEX(user_table!$C$2:$C3686,MATCH(C2112,user_table!$B$2:$B3686,0)),"")
</f>
        <v>Budi Wijaya</v>
      </c>
      <c r="E2112" s="6" t="str">
        <f t="array" ref="E2112">IFERROR(INDEX(user_table!$E$2:$E3686,MATCH(C2112,user_table!$B$2:$B3686,0)),"")
</f>
        <v>1, 4</v>
      </c>
      <c r="F2112" s="6" t="str">
        <f t="shared" si="2"/>
        <v>164316186</v>
      </c>
      <c r="G2112" s="16">
        <v>1.0</v>
      </c>
      <c r="H2112" s="17">
        <v>45031.0</v>
      </c>
      <c r="I2112" s="18" t="s">
        <v>2077</v>
      </c>
    </row>
    <row r="2113">
      <c r="A2113" s="5" t="str">
        <f t="array" ref="A2113">INDEX(event_table!$A$2:$A$69, RANDBETWEEN(1, COUNTA(event_table!$A$2:$A$69)))</f>
        <v>1420</v>
      </c>
      <c r="B2113" s="6">
        <f t="array" ref="B2113">IFERROR(INDEX(event_table!$E$1:$E3686,MATCH(A2113,event_table!$A$1:$A3686,0)),"")
</f>
        <v>4</v>
      </c>
      <c r="C2113" s="7">
        <f t="shared" si="1"/>
        <v>130</v>
      </c>
      <c r="D2113" s="6" t="str">
        <f t="array" ref="D2113">IFERROR(INDEX(user_table!$C$2:$C3686,MATCH(C2113,user_table!$B$2:$B3686,0)),"")
</f>
        <v>Andi Putri</v>
      </c>
      <c r="E2113" s="6" t="str">
        <f t="array" ref="E2113">IFERROR(INDEX(user_table!$E$2:$E3686,MATCH(C2113,user_table!$B$2:$B3686,0)),"")
</f>
        <v>2, 3</v>
      </c>
      <c r="F2113" s="6" t="str">
        <f t="shared" si="2"/>
        <v>142014130</v>
      </c>
      <c r="G2113" s="16">
        <v>1.0</v>
      </c>
      <c r="H2113" s="17">
        <v>45028.0</v>
      </c>
      <c r="I2113" s="18" t="s">
        <v>2078</v>
      </c>
    </row>
    <row r="2114">
      <c r="A2114" s="5" t="str">
        <f t="array" ref="A2114">INDEX(event_table!$A$2:$A$69, RANDBETWEEN(1, COUNTA(event_table!$A$2:$A$69)))</f>
        <v>1639</v>
      </c>
      <c r="B2114" s="6">
        <f t="array" ref="B2114">IFERROR(INDEX(event_table!$E$1:$E3686,MATCH(A2114,event_table!$A$1:$A3686,0)),"")
</f>
        <v>6</v>
      </c>
      <c r="C2114" s="7">
        <f t="shared" si="1"/>
        <v>94</v>
      </c>
      <c r="D2114" s="6" t="str">
        <f t="array" ref="D2114">IFERROR(INDEX(user_table!$C$2:$C3686,MATCH(C2114,user_table!$B$2:$B3686,0)),"")
</f>
        <v>Ani Susanto</v>
      </c>
      <c r="E2114" s="6" t="str">
        <f t="array" ref="E2114">IFERROR(INDEX(user_table!$E$2:$E3686,MATCH(C2114,user_table!$B$2:$B3686,0)),"")
</f>
        <v>2, 4</v>
      </c>
      <c r="F2114" s="6" t="str">
        <f t="shared" si="2"/>
        <v>16395694</v>
      </c>
      <c r="G2114" s="16">
        <v>5.0</v>
      </c>
      <c r="H2114" s="17">
        <v>44736.0</v>
      </c>
      <c r="I2114" s="18" t="s">
        <v>2079</v>
      </c>
    </row>
    <row r="2115">
      <c r="A2115" s="5" t="str">
        <f t="array" ref="A2115">INDEX(event_table!$A$2:$A$69, RANDBETWEEN(1, COUNTA(event_table!$A$2:$A$69)))</f>
        <v>1640</v>
      </c>
      <c r="B2115" s="6">
        <f t="array" ref="B2115">IFERROR(INDEX(event_table!$E$1:$E3686,MATCH(A2115,event_table!$A$1:$A3686,0)),"")
</f>
        <v>6</v>
      </c>
      <c r="C2115" s="7">
        <f t="shared" si="1"/>
        <v>112</v>
      </c>
      <c r="D2115" s="6" t="str">
        <f t="array" ref="D2115">IFERROR(INDEX(user_table!$C$2:$C3686,MATCH(C2115,user_table!$B$2:$B3686,0)),"")
</f>
        <v>Ani Hadiwijaya</v>
      </c>
      <c r="E2115" s="6" t="str">
        <f t="array" ref="E2115">IFERROR(INDEX(user_table!$E$2:$E3686,MATCH(C2115,user_table!$B$2:$B3686,0)),"")
</f>
        <v>3, 5</v>
      </c>
      <c r="F2115" s="6" t="str">
        <f t="shared" si="2"/>
        <v>164056112</v>
      </c>
      <c r="G2115" s="16">
        <v>5.0</v>
      </c>
      <c r="H2115" s="17">
        <v>44704.0</v>
      </c>
      <c r="I2115" s="18" t="s">
        <v>2080</v>
      </c>
    </row>
    <row r="2116">
      <c r="A2116" s="5" t="str">
        <f t="array" ref="A2116">INDEX(event_table!$A$2:$A$69, RANDBETWEEN(1, COUNTA(event_table!$A$2:$A$69)))</f>
        <v>118</v>
      </c>
      <c r="B2116" s="6">
        <f t="array" ref="B2116">IFERROR(INDEX(event_table!$E$1:$E3686,MATCH(A2116,event_table!$A$1:$A3686,0)),"")
</f>
        <v>1</v>
      </c>
      <c r="C2116" s="7">
        <f t="shared" si="1"/>
        <v>132</v>
      </c>
      <c r="D2116" s="6" t="str">
        <f t="array" ref="D2116">IFERROR(INDEX(user_table!$C$2:$C3686,MATCH(C2116,user_table!$B$2:$B3686,0)),"")
</f>
        <v>Joko Hartono</v>
      </c>
      <c r="E2116" s="6" t="str">
        <f t="array" ref="E2116">IFERROR(INDEX(user_table!$E$2:$E3686,MATCH(C2116,user_table!$B$2:$B3686,0)),"")
</f>
        <v>1, 3</v>
      </c>
      <c r="F2116" s="6" t="str">
        <f t="shared" si="2"/>
        <v>11851132</v>
      </c>
      <c r="G2116" s="16">
        <v>5.0</v>
      </c>
      <c r="H2116" s="17">
        <v>44688.0</v>
      </c>
      <c r="I2116" s="18" t="s">
        <v>2081</v>
      </c>
    </row>
    <row r="2117">
      <c r="A2117" s="5" t="str">
        <f t="array" ref="A2117">INDEX(event_table!$A$2:$A$69, RANDBETWEEN(1, COUNTA(event_table!$A$2:$A$69)))</f>
        <v>3170</v>
      </c>
      <c r="B2117" s="6">
        <f t="array" ref="B2117">IFERROR(INDEX(event_table!$E$1:$E3686,MATCH(A2117,event_table!$A$1:$A3686,0)),"")
</f>
        <v>1</v>
      </c>
      <c r="C2117" s="7">
        <f t="shared" si="1"/>
        <v>149</v>
      </c>
      <c r="D2117" s="6" t="str">
        <f t="array" ref="D2117">IFERROR(INDEX(user_table!$C$2:$C3686,MATCH(C2117,user_table!$B$2:$B3686,0)),"")
</f>
        <v>Dian Setiawan</v>
      </c>
      <c r="E2117" s="6" t="str">
        <f t="array" ref="E2117">IFERROR(INDEX(user_table!$E$2:$E3686,MATCH(C2117,user_table!$B$2:$B3686,0)),"")
</f>
        <v>2, 4</v>
      </c>
      <c r="F2117" s="6" t="str">
        <f t="shared" si="2"/>
        <v>317051149</v>
      </c>
      <c r="G2117" s="16">
        <v>5.0</v>
      </c>
      <c r="H2117" s="17">
        <v>44687.0</v>
      </c>
      <c r="I2117" s="18" t="s">
        <v>2082</v>
      </c>
    </row>
    <row r="2118">
      <c r="A2118" s="5" t="str">
        <f t="array" ref="A2118">INDEX(event_table!$A$2:$A$69, RANDBETWEEN(1, COUNTA(event_table!$A$2:$A$69)))</f>
        <v>1424</v>
      </c>
      <c r="B2118" s="6">
        <f t="array" ref="B2118">IFERROR(INDEX(event_table!$E$1:$E3686,MATCH(A2118,event_table!$A$1:$A3686,0)),"")
</f>
        <v>4</v>
      </c>
      <c r="C2118" s="7">
        <f t="shared" si="1"/>
        <v>26</v>
      </c>
      <c r="D2118" s="6" t="str">
        <f t="array" ref="D2118">IFERROR(INDEX(user_table!$C$2:$C3686,MATCH(C2118,user_table!$B$2:$B3686,0)),"")
</f>
        <v>Citra Sari</v>
      </c>
      <c r="E2118" s="6" t="str">
        <f t="array" ref="E2118">IFERROR(INDEX(user_table!$E$2:$E3686,MATCH(C2118,user_table!$B$2:$B3686,0)),"")
</f>
        <v>5, 1</v>
      </c>
      <c r="F2118" s="6" t="str">
        <f t="shared" si="2"/>
        <v>14245426</v>
      </c>
      <c r="G2118" s="16">
        <v>5.0</v>
      </c>
      <c r="H2118" s="17">
        <v>45113.0</v>
      </c>
      <c r="I2118" s="18" t="s">
        <v>2083</v>
      </c>
    </row>
    <row r="2119">
      <c r="A2119" s="5" t="str">
        <f t="array" ref="A2119">INDEX(event_table!$A$2:$A$69, RANDBETWEEN(1, COUNTA(event_table!$A$2:$A$69)))</f>
        <v>3170</v>
      </c>
      <c r="B2119" s="6">
        <f t="array" ref="B2119">IFERROR(INDEX(event_table!$E$1:$E3686,MATCH(A2119,event_table!$A$1:$A3686,0)),"")
</f>
        <v>1</v>
      </c>
      <c r="C2119" s="7">
        <f t="shared" si="1"/>
        <v>49</v>
      </c>
      <c r="D2119" s="6" t="str">
        <f t="array" ref="D2119">IFERROR(INDEX(user_table!$C$2:$C3686,MATCH(C2119,user_table!$B$2:$B3686,0)),"")
</f>
        <v>Fajar Hidayat</v>
      </c>
      <c r="E2119" s="6" t="str">
        <f t="array" ref="E2119">IFERROR(INDEX(user_table!$E$2:$E3686,MATCH(C2119,user_table!$B$2:$B3686,0)),"")
</f>
        <v>3, 1</v>
      </c>
      <c r="F2119" s="6" t="str">
        <f t="shared" si="2"/>
        <v>31705149</v>
      </c>
      <c r="G2119" s="16">
        <v>5.0</v>
      </c>
      <c r="H2119" s="17">
        <v>44933.0</v>
      </c>
      <c r="I2119" s="18" t="s">
        <v>2084</v>
      </c>
    </row>
    <row r="2120">
      <c r="A2120" s="5" t="str">
        <f t="array" ref="A2120">INDEX(event_table!$A$2:$A$69, RANDBETWEEN(1, COUNTA(event_table!$A$2:$A$69)))</f>
        <v>1416</v>
      </c>
      <c r="B2120" s="6">
        <f t="array" ref="B2120">IFERROR(INDEX(event_table!$E$1:$E3686,MATCH(A2120,event_table!$A$1:$A3686,0)),"")
</f>
        <v>4</v>
      </c>
      <c r="C2120" s="7">
        <f t="shared" si="1"/>
        <v>169</v>
      </c>
      <c r="D2120" s="6" t="str">
        <f t="array" ref="D2120">IFERROR(INDEX(user_table!$C$2:$C3686,MATCH(C2120,user_table!$B$2:$B3686,0)),"")
</f>
        <v>Dian Saputra</v>
      </c>
      <c r="E2120" s="6" t="str">
        <f t="array" ref="E2120">IFERROR(INDEX(user_table!$E$2:$E3686,MATCH(C2120,user_table!$B$2:$B3686,0)),"")
</f>
        <v>6, 1</v>
      </c>
      <c r="F2120" s="6" t="str">
        <f t="shared" si="2"/>
        <v>141654169</v>
      </c>
      <c r="G2120" s="16">
        <v>5.0</v>
      </c>
      <c r="H2120" s="17">
        <v>44924.0</v>
      </c>
      <c r="I2120" s="18" t="s">
        <v>2085</v>
      </c>
    </row>
    <row r="2121">
      <c r="A2121" s="5" t="str">
        <f t="array" ref="A2121">INDEX(event_table!$A$2:$A$69, RANDBETWEEN(1, COUNTA(event_table!$A$2:$A$69)))</f>
        <v>1651</v>
      </c>
      <c r="B2121" s="6">
        <f t="array" ref="B2121">IFERROR(INDEX(event_table!$E$1:$E3686,MATCH(A2121,event_table!$A$1:$A3686,0)),"")
</f>
        <v>6</v>
      </c>
      <c r="C2121" s="7">
        <f t="shared" si="1"/>
        <v>1</v>
      </c>
      <c r="D2121" s="6" t="str">
        <f t="array" ref="D2121">IFERROR(INDEX(user_table!$C$2:$C3686,MATCH(C2121,user_table!$B$2:$B3686,0)),"")
</f>
        <v>Maya Putri</v>
      </c>
      <c r="E2121" s="6" t="str">
        <f t="array" ref="E2121">IFERROR(INDEX(user_table!$E$2:$E3686,MATCH(C2121,user_table!$B$2:$B3686,0)),"")
</f>
        <v>5, 6</v>
      </c>
      <c r="F2121" s="6" t="str">
        <f t="shared" si="2"/>
        <v>1651561</v>
      </c>
      <c r="G2121" s="16">
        <v>5.0</v>
      </c>
      <c r="H2121" s="17">
        <v>44881.0</v>
      </c>
      <c r="I2121" s="18" t="s">
        <v>2086</v>
      </c>
    </row>
    <row r="2122">
      <c r="A2122" s="5" t="str">
        <f t="array" ref="A2122">INDEX(event_table!$A$2:$A$69, RANDBETWEEN(1, COUNTA(event_table!$A$2:$A$69)))</f>
        <v>117</v>
      </c>
      <c r="B2122" s="6">
        <f t="array" ref="B2122">IFERROR(INDEX(event_table!$E$1:$E3686,MATCH(A2122,event_table!$A$1:$A3686,0)),"")
</f>
        <v>1</v>
      </c>
      <c r="C2122" s="7">
        <f t="shared" si="1"/>
        <v>138</v>
      </c>
      <c r="D2122" s="6" t="str">
        <f t="array" ref="D2122">IFERROR(INDEX(user_table!$C$2:$C3686,MATCH(C2122,user_table!$B$2:$B3686,0)),"")
</f>
        <v>Joko Hermawan</v>
      </c>
      <c r="E2122" s="6" t="str">
        <f t="array" ref="E2122">IFERROR(INDEX(user_table!$E$2:$E3686,MATCH(C2122,user_table!$B$2:$B3686,0)),"")
</f>
        <v>4, 1</v>
      </c>
      <c r="F2122" s="6" t="str">
        <f t="shared" si="2"/>
        <v>11751138</v>
      </c>
      <c r="G2122" s="16">
        <v>5.0</v>
      </c>
      <c r="H2122" s="17">
        <v>44871.0</v>
      </c>
      <c r="I2122" s="18" t="s">
        <v>2087</v>
      </c>
    </row>
    <row r="2123">
      <c r="A2123" s="5" t="str">
        <f t="array" ref="A2123">INDEX(event_table!$A$2:$A$69, RANDBETWEEN(1, COUNTA(event_table!$A$2:$A$69)))</f>
        <v>1644</v>
      </c>
      <c r="B2123" s="6">
        <f t="array" ref="B2123">IFERROR(INDEX(event_table!$E$1:$E3686,MATCH(A2123,event_table!$A$1:$A3686,0)),"")
</f>
        <v>6</v>
      </c>
      <c r="C2123" s="7">
        <f t="shared" si="1"/>
        <v>78</v>
      </c>
      <c r="D2123" s="6" t="str">
        <f t="array" ref="D2123">IFERROR(INDEX(user_table!$C$2:$C3686,MATCH(C2123,user_table!$B$2:$B3686,0)),"")
</f>
        <v>Fandi Putri</v>
      </c>
      <c r="E2123" s="6" t="str">
        <f t="array" ref="E2123">IFERROR(INDEX(user_table!$E$2:$E3686,MATCH(C2123,user_table!$B$2:$B3686,0)),"")
</f>
        <v>3, 3</v>
      </c>
      <c r="F2123" s="6" t="str">
        <f t="shared" si="2"/>
        <v>16445678</v>
      </c>
      <c r="G2123" s="16">
        <v>5.0</v>
      </c>
      <c r="H2123" s="17">
        <v>44832.0</v>
      </c>
      <c r="I2123" s="18" t="s">
        <v>2088</v>
      </c>
    </row>
    <row r="2124">
      <c r="A2124" s="5" t="str">
        <f t="array" ref="A2124">INDEX(event_table!$A$2:$A$69, RANDBETWEEN(1, COUNTA(event_table!$A$2:$A$69)))</f>
        <v>3164</v>
      </c>
      <c r="B2124" s="6">
        <f t="array" ref="B2124">IFERROR(INDEX(event_table!$E$1:$E3686,MATCH(A2124,event_table!$A$1:$A3686,0)),"")
</f>
        <v>1</v>
      </c>
      <c r="C2124" s="7">
        <f t="shared" si="1"/>
        <v>134</v>
      </c>
      <c r="D2124" s="6" t="str">
        <f t="array" ref="D2124">IFERROR(INDEX(user_table!$C$2:$C3686,MATCH(C2124,user_table!$B$2:$B3686,0)),"")
</f>
        <v>Maya Septiani</v>
      </c>
      <c r="E2124" s="6" t="str">
        <f t="array" ref="E2124">IFERROR(INDEX(user_table!$E$2:$E3686,MATCH(C2124,user_table!$B$2:$B3686,0)),"")
</f>
        <v>2, 4</v>
      </c>
      <c r="F2124" s="6" t="str">
        <f t="shared" si="2"/>
        <v>316451134</v>
      </c>
      <c r="G2124" s="16">
        <v>5.0</v>
      </c>
      <c r="H2124" s="17">
        <v>44741.0</v>
      </c>
      <c r="I2124" s="18" t="s">
        <v>2089</v>
      </c>
    </row>
    <row r="2125">
      <c r="A2125" s="5" t="str">
        <f t="array" ref="A2125">INDEX(event_table!$A$2:$A$69, RANDBETWEEN(1, COUNTA(event_table!$A$2:$A$69)))</f>
        <v>1648</v>
      </c>
      <c r="B2125" s="6">
        <f t="array" ref="B2125">IFERROR(INDEX(event_table!$E$1:$E3686,MATCH(A2125,event_table!$A$1:$A3686,0)),"")
</f>
        <v>6</v>
      </c>
      <c r="C2125" s="7">
        <f t="shared" si="1"/>
        <v>13</v>
      </c>
      <c r="D2125" s="6" t="str">
        <f t="array" ref="D2125">IFERROR(INDEX(user_table!$C$2:$C3686,MATCH(C2125,user_table!$B$2:$B3686,0)),"")
</f>
        <v>Hadi Kurniawan</v>
      </c>
      <c r="E2125" s="6" t="str">
        <f t="array" ref="E2125">IFERROR(INDEX(user_table!$E$2:$E3686,MATCH(C2125,user_table!$B$2:$B3686,0)),"")
</f>
        <v>4, 3</v>
      </c>
      <c r="F2125" s="6" t="str">
        <f t="shared" si="2"/>
        <v>16485613</v>
      </c>
      <c r="G2125" s="16">
        <v>5.0</v>
      </c>
      <c r="H2125" s="17">
        <v>44694.0</v>
      </c>
      <c r="I2125" s="18" t="s">
        <v>2090</v>
      </c>
    </row>
    <row r="2126">
      <c r="A2126" s="5" t="str">
        <f t="array" ref="A2126">INDEX(event_table!$A$2:$A$69, RANDBETWEEN(1, COUNTA(event_table!$A$2:$A$69)))</f>
        <v>1416</v>
      </c>
      <c r="B2126" s="6">
        <f t="array" ref="B2126">IFERROR(INDEX(event_table!$E$1:$E3686,MATCH(A2126,event_table!$A$1:$A3686,0)),"")
</f>
        <v>4</v>
      </c>
      <c r="C2126" s="7">
        <f t="shared" si="1"/>
        <v>62</v>
      </c>
      <c r="D2126" s="6" t="str">
        <f t="array" ref="D2126">IFERROR(INDEX(user_table!$C$2:$C3686,MATCH(C2126,user_table!$B$2:$B3686,0)),"")
</f>
        <v>Joko Sari</v>
      </c>
      <c r="E2126" s="6" t="str">
        <f t="array" ref="E2126">IFERROR(INDEX(user_table!$E$2:$E3686,MATCH(C2126,user_table!$B$2:$B3686,0)),"")
</f>
        <v>6, 1</v>
      </c>
      <c r="F2126" s="6" t="str">
        <f t="shared" si="2"/>
        <v>14165462</v>
      </c>
      <c r="G2126" s="16">
        <v>5.0</v>
      </c>
      <c r="H2126" s="17">
        <v>44693.0</v>
      </c>
      <c r="I2126" s="18" t="s">
        <v>2091</v>
      </c>
    </row>
    <row r="2127">
      <c r="A2127" s="5" t="str">
        <f t="array" ref="A2127">INDEX(event_table!$A$2:$A$69, RANDBETWEEN(1, COUNTA(event_table!$A$2:$A$69)))</f>
        <v>1528</v>
      </c>
      <c r="B2127" s="6">
        <f t="array" ref="B2127">IFERROR(INDEX(event_table!$E$1:$E3686,MATCH(A2127,event_table!$A$1:$A3686,0)),"")
</f>
        <v>5</v>
      </c>
      <c r="C2127" s="7">
        <f t="shared" si="1"/>
        <v>167</v>
      </c>
      <c r="D2127" s="6" t="str">
        <f t="array" ref="D2127">IFERROR(INDEX(user_table!$C$2:$C3686,MATCH(C2127,user_table!$B$2:$B3686,0)),"")
</f>
        <v>Fandi Hermawan</v>
      </c>
      <c r="E2127" s="6" t="str">
        <f t="array" ref="E2127">IFERROR(INDEX(user_table!$E$2:$E3686,MATCH(C2127,user_table!$B$2:$B3686,0)),"")
</f>
        <v>3, 1</v>
      </c>
      <c r="F2127" s="6" t="str">
        <f t="shared" si="2"/>
        <v>152855167</v>
      </c>
      <c r="G2127" s="16">
        <v>5.0</v>
      </c>
      <c r="H2127" s="17">
        <v>44682.0</v>
      </c>
      <c r="I2127" s="18" t="s">
        <v>2092</v>
      </c>
    </row>
    <row r="2128">
      <c r="A2128" s="5" t="str">
        <f t="array" ref="A2128">INDEX(event_table!$A$2:$A$69, RANDBETWEEN(1, COUNTA(event_table!$A$2:$A$69)))</f>
        <v>1114</v>
      </c>
      <c r="B2128" s="6">
        <f t="array" ref="B2128">IFERROR(INDEX(event_table!$E$1:$E3686,MATCH(A2128,event_table!$A$1:$A3686,0)),"")
</f>
        <v>1</v>
      </c>
      <c r="C2128" s="7">
        <f t="shared" si="1"/>
        <v>10</v>
      </c>
      <c r="D2128" s="6" t="str">
        <f t="array" ref="D2128">IFERROR(INDEX(user_table!$C$2:$C3686,MATCH(C2128,user_table!$B$2:$B3686,0)),"")
</f>
        <v>Dina Susanto</v>
      </c>
      <c r="E2128" s="6" t="str">
        <f t="array" ref="E2128">IFERROR(INDEX(user_table!$E$2:$E3686,MATCH(C2128,user_table!$B$2:$B3686,0)),"")
</f>
        <v>4, 5</v>
      </c>
      <c r="F2128" s="6" t="str">
        <f t="shared" si="2"/>
        <v>11144110</v>
      </c>
      <c r="G2128" s="16">
        <v>4.0</v>
      </c>
      <c r="H2128" s="17">
        <v>44743.0</v>
      </c>
      <c r="I2128" s="18" t="s">
        <v>2093</v>
      </c>
    </row>
    <row r="2129">
      <c r="A2129" s="5" t="str">
        <f t="array" ref="A2129">INDEX(event_table!$A$2:$A$69, RANDBETWEEN(1, COUNTA(event_table!$A$2:$A$69)))</f>
        <v>3167</v>
      </c>
      <c r="B2129" s="6">
        <f t="array" ref="B2129">IFERROR(INDEX(event_table!$E$1:$E3686,MATCH(A2129,event_table!$A$1:$A3686,0)),"")
</f>
        <v>1</v>
      </c>
      <c r="C2129" s="7">
        <f t="shared" si="1"/>
        <v>140</v>
      </c>
      <c r="D2129" s="6" t="str">
        <f t="array" ref="D2129">IFERROR(INDEX(user_table!$C$2:$C3686,MATCH(C2129,user_table!$B$2:$B3686,0)),"")
</f>
        <v>Maya Wijaya</v>
      </c>
      <c r="E2129" s="6" t="str">
        <f t="array" ref="E2129">IFERROR(INDEX(user_table!$E$2:$E3686,MATCH(C2129,user_table!$B$2:$B3686,0)),"")
</f>
        <v>3, 2</v>
      </c>
      <c r="F2129" s="6" t="str">
        <f t="shared" si="2"/>
        <v>316741140</v>
      </c>
      <c r="G2129" s="16">
        <v>4.0</v>
      </c>
      <c r="H2129" s="17">
        <v>44691.0</v>
      </c>
      <c r="I2129" s="18" t="s">
        <v>2094</v>
      </c>
    </row>
    <row r="2130">
      <c r="A2130" s="5" t="str">
        <f t="array" ref="A2130">INDEX(event_table!$A$2:$A$69, RANDBETWEEN(1, COUNTA(event_table!$A$2:$A$69)))</f>
        <v>1417</v>
      </c>
      <c r="B2130" s="6">
        <f t="array" ref="B2130">IFERROR(INDEX(event_table!$E$1:$E3686,MATCH(A2130,event_table!$A$1:$A3686,0)),"")
</f>
        <v>4</v>
      </c>
      <c r="C2130" s="7">
        <f t="shared" si="1"/>
        <v>166</v>
      </c>
      <c r="D2130" s="6" t="str">
        <f t="array" ref="D2130">IFERROR(INDEX(user_table!$C$2:$C3686,MATCH(C2130,user_table!$B$2:$B3686,0)),"")
</f>
        <v>Fajar Nurhayati</v>
      </c>
      <c r="E2130" s="6" t="str">
        <f t="array" ref="E2130">IFERROR(INDEX(user_table!$E$2:$E3686,MATCH(C2130,user_table!$B$2:$B3686,0)),"")
</f>
        <v>3, 5</v>
      </c>
      <c r="F2130" s="6" t="str">
        <f t="shared" si="2"/>
        <v>141744166</v>
      </c>
      <c r="G2130" s="16">
        <v>4.0</v>
      </c>
      <c r="H2130" s="17">
        <v>45103.0</v>
      </c>
      <c r="I2130" s="18" t="s">
        <v>2095</v>
      </c>
    </row>
    <row r="2131">
      <c r="A2131" s="5" t="str">
        <f t="array" ref="A2131">INDEX(event_table!$A$2:$A$69, RANDBETWEEN(1, COUNTA(event_table!$A$2:$A$69)))</f>
        <v>116</v>
      </c>
      <c r="B2131" s="6">
        <f t="array" ref="B2131">IFERROR(INDEX(event_table!$E$1:$E3686,MATCH(A2131,event_table!$A$1:$A3686,0)),"")
</f>
        <v>1</v>
      </c>
      <c r="C2131" s="7">
        <f t="shared" si="1"/>
        <v>54</v>
      </c>
      <c r="D2131" s="6" t="str">
        <f t="array" ref="D2131">IFERROR(INDEX(user_table!$C$2:$C3686,MATCH(C2131,user_table!$B$2:$B3686,0)),"")
</f>
        <v>Andi Kurniawan</v>
      </c>
      <c r="E2131" s="6" t="str">
        <f t="array" ref="E2131">IFERROR(INDEX(user_table!$E$2:$E3686,MATCH(C2131,user_table!$B$2:$B3686,0)),"")
</f>
        <v>4, 4</v>
      </c>
      <c r="F2131" s="6" t="str">
        <f t="shared" si="2"/>
        <v>1164154</v>
      </c>
      <c r="G2131" s="16">
        <v>4.0</v>
      </c>
      <c r="H2131" s="17">
        <v>45057.0</v>
      </c>
      <c r="I2131" s="18" t="s">
        <v>2096</v>
      </c>
    </row>
    <row r="2132">
      <c r="A2132" s="5" t="str">
        <f t="array" ref="A2132">INDEX(event_table!$A$2:$A$69, RANDBETWEEN(1, COUNTA(event_table!$A$2:$A$69)))</f>
        <v>1420</v>
      </c>
      <c r="B2132" s="6">
        <f t="array" ref="B2132">IFERROR(INDEX(event_table!$E$1:$E3686,MATCH(A2132,event_table!$A$1:$A3686,0)),"")
</f>
        <v>4</v>
      </c>
      <c r="C2132" s="7">
        <f t="shared" si="1"/>
        <v>102</v>
      </c>
      <c r="D2132" s="6" t="str">
        <f t="array" ref="D2132">IFERROR(INDEX(user_table!$C$2:$C3686,MATCH(C2132,user_table!$B$2:$B3686,0)),"")
</f>
        <v>Lina Nurhayati</v>
      </c>
      <c r="E2132" s="6" t="str">
        <f t="array" ref="E2132">IFERROR(INDEX(user_table!$E$2:$E3686,MATCH(C2132,user_table!$B$2:$B3686,0)),"")
</f>
        <v>1, 2</v>
      </c>
      <c r="F2132" s="6" t="str">
        <f t="shared" si="2"/>
        <v>142044102</v>
      </c>
      <c r="G2132" s="16">
        <v>4.0</v>
      </c>
      <c r="H2132" s="17">
        <v>44769.0</v>
      </c>
      <c r="I2132" s="18" t="s">
        <v>2097</v>
      </c>
    </row>
    <row r="2133">
      <c r="A2133" s="5" t="str">
        <f t="array" ref="A2133">INDEX(event_table!$A$2:$A$69, RANDBETWEEN(1, COUNTA(event_table!$A$2:$A$69)))</f>
        <v>3658</v>
      </c>
      <c r="B2133" s="6">
        <f t="array" ref="B2133">IFERROR(INDEX(event_table!$E$1:$E3686,MATCH(A2133,event_table!$A$1:$A3686,0)),"")
</f>
        <v>6</v>
      </c>
      <c r="C2133" s="7">
        <f t="shared" si="1"/>
        <v>165</v>
      </c>
      <c r="D2133" s="6" t="str">
        <f t="array" ref="D2133">IFERROR(INDEX(user_table!$C$2:$C3686,MATCH(C2133,user_table!$B$2:$B3686,0)),"")
</f>
        <v>Agus Pratama</v>
      </c>
      <c r="E2133" s="6" t="str">
        <f t="array" ref="E2133">IFERROR(INDEX(user_table!$E$2:$E3686,MATCH(C2133,user_table!$B$2:$B3686,0)),"")
</f>
        <v>6, 2</v>
      </c>
      <c r="F2133" s="6" t="str">
        <f t="shared" si="2"/>
        <v>365846165</v>
      </c>
      <c r="G2133" s="16">
        <v>4.0</v>
      </c>
      <c r="H2133" s="17">
        <v>44759.0</v>
      </c>
      <c r="I2133" s="18" t="s">
        <v>2098</v>
      </c>
    </row>
    <row r="2134">
      <c r="A2134" s="5" t="str">
        <f t="array" ref="A2134">INDEX(event_table!$A$2:$A$69, RANDBETWEEN(1, COUNTA(event_table!$A$2:$A$69)))</f>
        <v>3454</v>
      </c>
      <c r="B2134" s="6">
        <f t="array" ref="B2134">IFERROR(INDEX(event_table!$E$1:$E3686,MATCH(A2134,event_table!$A$1:$A3686,0)),"")
</f>
        <v>4</v>
      </c>
      <c r="C2134" s="7">
        <f t="shared" si="1"/>
        <v>187</v>
      </c>
      <c r="D2134" s="6" t="str">
        <f t="array" ref="D2134">IFERROR(INDEX(user_table!$C$2:$C3686,MATCH(C2134,user_table!$B$2:$B3686,0)),"")
</f>
        <v>Bambang Saputra</v>
      </c>
      <c r="E2134" s="6" t="str">
        <f t="array" ref="E2134">IFERROR(INDEX(user_table!$E$2:$E3686,MATCH(C2134,user_table!$B$2:$B3686,0)),"")
</f>
        <v>3, 1</v>
      </c>
      <c r="F2134" s="6" t="str">
        <f t="shared" si="2"/>
        <v>345444187</v>
      </c>
      <c r="G2134" s="16">
        <v>4.0</v>
      </c>
      <c r="H2134" s="17">
        <v>44742.0</v>
      </c>
      <c r="I2134" s="18" t="s">
        <v>2099</v>
      </c>
    </row>
    <row r="2135">
      <c r="A2135" s="5" t="str">
        <f t="array" ref="A2135">INDEX(event_table!$A$2:$A$69, RANDBETWEEN(1, COUNTA(event_table!$A$2:$A$69)))</f>
        <v>1531</v>
      </c>
      <c r="B2135" s="6">
        <f t="array" ref="B2135">IFERROR(INDEX(event_table!$E$1:$E3686,MATCH(A2135,event_table!$A$1:$A3686,0)),"")
</f>
        <v>5</v>
      </c>
      <c r="C2135" s="7">
        <f t="shared" si="1"/>
        <v>52</v>
      </c>
      <c r="D2135" s="6" t="str">
        <f t="array" ref="D2135">IFERROR(INDEX(user_table!$C$2:$C3686,MATCH(C2135,user_table!$B$2:$B3686,0)),"")
</f>
        <v>Ani Nurhayati</v>
      </c>
      <c r="E2135" s="6" t="str">
        <f t="array" ref="E2135">IFERROR(INDEX(user_table!$E$2:$E3686,MATCH(C2135,user_table!$B$2:$B3686,0)),"")
</f>
        <v>2, 2</v>
      </c>
      <c r="F2135" s="6" t="str">
        <f t="shared" si="2"/>
        <v>15314552</v>
      </c>
      <c r="G2135" s="16">
        <v>4.0</v>
      </c>
      <c r="H2135" s="17">
        <v>44728.0</v>
      </c>
      <c r="I2135" s="18" t="s">
        <v>2100</v>
      </c>
    </row>
    <row r="2136">
      <c r="A2136" s="5" t="str">
        <f t="array" ref="A2136">INDEX(event_table!$A$2:$A$69, RANDBETWEEN(1, COUNTA(event_table!$A$2:$A$69)))</f>
        <v>1425</v>
      </c>
      <c r="B2136" s="6">
        <f t="array" ref="B2136">IFERROR(INDEX(event_table!$E$1:$E3686,MATCH(A2136,event_table!$A$1:$A3686,0)),"")
</f>
        <v>4</v>
      </c>
      <c r="C2136" s="7">
        <f t="shared" si="1"/>
        <v>182</v>
      </c>
      <c r="D2136" s="6" t="str">
        <f t="array" ref="D2136">IFERROR(INDEX(user_table!$C$2:$C3686,MATCH(C2136,user_table!$B$2:$B3686,0)),"")
</f>
        <v>Siti Utami</v>
      </c>
      <c r="E2136" s="6" t="str">
        <f t="array" ref="E2136">IFERROR(INDEX(user_table!$E$2:$E3686,MATCH(C2136,user_table!$B$2:$B3686,0)),"")
</f>
        <v>5, 4</v>
      </c>
      <c r="F2136" s="6" t="str">
        <f t="shared" si="2"/>
        <v>142544182</v>
      </c>
      <c r="G2136" s="16">
        <v>4.0</v>
      </c>
      <c r="H2136" s="17">
        <v>44721.0</v>
      </c>
      <c r="I2136" s="18" t="s">
        <v>2101</v>
      </c>
    </row>
    <row r="2137">
      <c r="A2137" s="5" t="str">
        <f t="array" ref="A2137">INDEX(event_table!$A$2:$A$69, RANDBETWEEN(1, COUNTA(event_table!$A$2:$A$69)))</f>
        <v>1644</v>
      </c>
      <c r="B2137" s="6">
        <f t="array" ref="B2137">IFERROR(INDEX(event_table!$E$1:$E3686,MATCH(A2137,event_table!$A$1:$A3686,0)),"")
</f>
        <v>6</v>
      </c>
      <c r="C2137" s="7">
        <f t="shared" si="1"/>
        <v>124</v>
      </c>
      <c r="D2137" s="6" t="str">
        <f t="array" ref="D2137">IFERROR(INDEX(user_table!$C$2:$C3686,MATCH(C2137,user_table!$B$2:$B3686,0)),"")
</f>
        <v>Fandi Setiawan</v>
      </c>
      <c r="E2137" s="6" t="str">
        <f t="array" ref="E2137">IFERROR(INDEX(user_table!$E$2:$E3686,MATCH(C2137,user_table!$B$2:$B3686,0)),"")
</f>
        <v>5, 4</v>
      </c>
      <c r="F2137" s="6" t="str">
        <f t="shared" si="2"/>
        <v>164446124</v>
      </c>
      <c r="G2137" s="16">
        <v>4.0</v>
      </c>
      <c r="H2137" s="17">
        <v>44693.0</v>
      </c>
      <c r="I2137" s="18" t="s">
        <v>2102</v>
      </c>
    </row>
    <row r="2138">
      <c r="A2138" s="5" t="str">
        <f t="array" ref="A2138">INDEX(event_table!$A$2:$A$69, RANDBETWEEN(1, COUNTA(event_table!$A$2:$A$69)))</f>
        <v>3164</v>
      </c>
      <c r="B2138" s="6">
        <f t="array" ref="B2138">IFERROR(INDEX(event_table!$E$1:$E3686,MATCH(A2138,event_table!$A$1:$A3686,0)),"")
</f>
        <v>1</v>
      </c>
      <c r="C2138" s="7">
        <f t="shared" si="1"/>
        <v>117</v>
      </c>
      <c r="D2138" s="6" t="str">
        <f t="array" ref="D2138">IFERROR(INDEX(user_table!$C$2:$C3686,MATCH(C2138,user_table!$B$2:$B3686,0)),"")
</f>
        <v>Wahyu Sari</v>
      </c>
      <c r="E2138" s="6" t="str">
        <f t="array" ref="E2138">IFERROR(INDEX(user_table!$E$2:$E3686,MATCH(C2138,user_table!$B$2:$B3686,0)),"")
</f>
        <v>4, 2</v>
      </c>
      <c r="F2138" s="6" t="str">
        <f t="shared" si="2"/>
        <v>316441117</v>
      </c>
      <c r="G2138" s="16">
        <v>4.0</v>
      </c>
      <c r="H2138" s="17">
        <v>44748.0</v>
      </c>
      <c r="I2138" s="18" t="s">
        <v>2103</v>
      </c>
    </row>
    <row r="2139">
      <c r="A2139" s="5" t="str">
        <f t="array" ref="A2139">INDEX(event_table!$A$2:$A$69, RANDBETWEEN(1, COUNTA(event_table!$A$2:$A$69)))</f>
        <v>1641</v>
      </c>
      <c r="B2139" s="6">
        <f t="array" ref="B2139">IFERROR(INDEX(event_table!$E$1:$E3686,MATCH(A2139,event_table!$A$1:$A3686,0)),"")
</f>
        <v>6</v>
      </c>
      <c r="C2139" s="7">
        <f t="shared" si="1"/>
        <v>178</v>
      </c>
      <c r="D2139" s="6" t="str">
        <f t="array" ref="D2139">IFERROR(INDEX(user_table!$C$2:$C3686,MATCH(C2139,user_table!$B$2:$B3686,0)),"")
</f>
        <v>Dewi Hidayat</v>
      </c>
      <c r="E2139" s="6" t="str">
        <f t="array" ref="E2139">IFERROR(INDEX(user_table!$E$2:$E3686,MATCH(C2139,user_table!$B$2:$B3686,0)),"")
</f>
        <v>3, 2</v>
      </c>
      <c r="F2139" s="6" t="str">
        <f t="shared" si="2"/>
        <v>164136178</v>
      </c>
      <c r="G2139" s="16">
        <v>3.0</v>
      </c>
      <c r="H2139" s="17">
        <v>44754.0</v>
      </c>
      <c r="I2139" s="18" t="s">
        <v>2104</v>
      </c>
    </row>
    <row r="2140">
      <c r="A2140" s="5" t="str">
        <f t="array" ref="A2140">INDEX(event_table!$A$2:$A$69, RANDBETWEEN(1, COUNTA(event_table!$A$2:$A$69)))</f>
        <v>1650</v>
      </c>
      <c r="B2140" s="6">
        <f t="array" ref="B2140">IFERROR(INDEX(event_table!$E$1:$E3686,MATCH(A2140,event_table!$A$1:$A3686,0)),"")
</f>
        <v>6</v>
      </c>
      <c r="C2140" s="7">
        <f t="shared" si="1"/>
        <v>180</v>
      </c>
      <c r="D2140" s="6" t="str">
        <f t="array" ref="D2140">IFERROR(INDEX(user_table!$C$2:$C3686,MATCH(C2140,user_table!$B$2:$B3686,0)),"")
</f>
        <v>Andi Susanto</v>
      </c>
      <c r="E2140" s="6" t="str">
        <f t="array" ref="E2140">IFERROR(INDEX(user_table!$E$2:$E3686,MATCH(C2140,user_table!$B$2:$B3686,0)),"")
</f>
        <v>6, 5</v>
      </c>
      <c r="F2140" s="6" t="str">
        <f t="shared" si="2"/>
        <v>165036180</v>
      </c>
      <c r="G2140" s="16">
        <v>3.0</v>
      </c>
      <c r="H2140" s="17">
        <v>45203.0</v>
      </c>
      <c r="I2140" s="18" t="s">
        <v>2105</v>
      </c>
    </row>
    <row r="2141">
      <c r="A2141" s="5" t="str">
        <f t="array" ref="A2141">INDEX(event_table!$A$2:$A$69, RANDBETWEEN(1, COUNTA(event_table!$A$2:$A$69)))</f>
        <v>1526</v>
      </c>
      <c r="B2141" s="6">
        <f t="array" ref="B2141">IFERROR(INDEX(event_table!$E$1:$E3686,MATCH(A2141,event_table!$A$1:$A3686,0)),"")
</f>
        <v>5</v>
      </c>
      <c r="C2141" s="7">
        <f t="shared" si="1"/>
        <v>89</v>
      </c>
      <c r="D2141" s="6" t="str">
        <f t="array" ref="D2141">IFERROR(INDEX(user_table!$C$2:$C3686,MATCH(C2141,user_table!$B$2:$B3686,0)),"")
</f>
        <v>Hadi Wijaya</v>
      </c>
      <c r="E2141" s="6" t="str">
        <f t="array" ref="E2141">IFERROR(INDEX(user_table!$E$2:$E3686,MATCH(C2141,user_table!$B$2:$B3686,0)),"")
</f>
        <v>6, 4</v>
      </c>
      <c r="F2141" s="6" t="str">
        <f t="shared" si="2"/>
        <v>15263589</v>
      </c>
      <c r="G2141" s="16">
        <v>3.0</v>
      </c>
      <c r="H2141" s="17">
        <v>45202.0</v>
      </c>
      <c r="I2141" s="18" t="s">
        <v>2106</v>
      </c>
    </row>
    <row r="2142">
      <c r="A2142" s="5" t="str">
        <f t="array" ref="A2142">INDEX(event_table!$A$2:$A$69, RANDBETWEEN(1, COUNTA(event_table!$A$2:$A$69)))</f>
        <v>3170</v>
      </c>
      <c r="B2142" s="6">
        <f t="array" ref="B2142">IFERROR(INDEX(event_table!$E$1:$E3686,MATCH(A2142,event_table!$A$1:$A3686,0)),"")
</f>
        <v>1</v>
      </c>
      <c r="C2142" s="7">
        <f t="shared" si="1"/>
        <v>112</v>
      </c>
      <c r="D2142" s="6" t="str">
        <f t="array" ref="D2142">IFERROR(INDEX(user_table!$C$2:$C3686,MATCH(C2142,user_table!$B$2:$B3686,0)),"")
</f>
        <v>Ani Hadiwijaya</v>
      </c>
      <c r="E2142" s="6" t="str">
        <f t="array" ref="E2142">IFERROR(INDEX(user_table!$E$2:$E3686,MATCH(C2142,user_table!$B$2:$B3686,0)),"")
</f>
        <v>3, 5</v>
      </c>
      <c r="F2142" s="6" t="str">
        <f t="shared" si="2"/>
        <v>317031112</v>
      </c>
      <c r="G2142" s="16">
        <v>3.0</v>
      </c>
      <c r="H2142" s="17">
        <v>45189.0</v>
      </c>
      <c r="I2142" s="18" t="s">
        <v>2107</v>
      </c>
    </row>
    <row r="2143">
      <c r="A2143" s="5" t="str">
        <f t="array" ref="A2143">INDEX(event_table!$A$2:$A$69, RANDBETWEEN(1, COUNTA(event_table!$A$2:$A$69)))</f>
        <v>1333</v>
      </c>
      <c r="B2143" s="6">
        <f t="array" ref="B2143">IFERROR(INDEX(event_table!$E$1:$E3686,MATCH(A2143,event_table!$A$1:$A3686,0)),"")
</f>
        <v>3</v>
      </c>
      <c r="C2143" s="7">
        <f t="shared" si="1"/>
        <v>120</v>
      </c>
      <c r="D2143" s="6" t="str">
        <f t="array" ref="D2143">IFERROR(INDEX(user_table!$C$2:$C3686,MATCH(C2143,user_table!$B$2:$B3686,0)),"")
</f>
        <v>Dewi Septiani</v>
      </c>
      <c r="E2143" s="6" t="str">
        <f t="array" ref="E2143">IFERROR(INDEX(user_table!$E$2:$E3686,MATCH(C2143,user_table!$B$2:$B3686,0)),"")
</f>
        <v>5, 3</v>
      </c>
      <c r="F2143" s="6" t="str">
        <f t="shared" si="2"/>
        <v>133333120</v>
      </c>
      <c r="G2143" s="16">
        <v>3.0</v>
      </c>
      <c r="H2143" s="17">
        <v>45133.0</v>
      </c>
      <c r="I2143" s="18" t="s">
        <v>2108</v>
      </c>
    </row>
    <row r="2144">
      <c r="A2144" s="5" t="str">
        <f t="array" ref="A2144">INDEX(event_table!$A$2:$A$69, RANDBETWEEN(1, COUNTA(event_table!$A$2:$A$69)))</f>
        <v>3164</v>
      </c>
      <c r="B2144" s="6">
        <f t="array" ref="B2144">IFERROR(INDEX(event_table!$E$1:$E3686,MATCH(A2144,event_table!$A$1:$A3686,0)),"")
</f>
        <v>1</v>
      </c>
      <c r="C2144" s="7">
        <f t="shared" si="1"/>
        <v>200</v>
      </c>
      <c r="D2144" s="6" t="str">
        <f t="array" ref="D2144">IFERROR(INDEX(user_table!$C$2:$C3686,MATCH(C2144,user_table!$B$2:$B3686,0)),"")
</f>
        <v>Dina Susanto</v>
      </c>
      <c r="E2144" s="6" t="str">
        <f t="array" ref="E2144">IFERROR(INDEX(user_table!$E$2:$E3686,MATCH(C2144,user_table!$B$2:$B3686,0)),"")
</f>
        <v>5, 4</v>
      </c>
      <c r="F2144" s="6" t="str">
        <f t="shared" si="2"/>
        <v>316421200</v>
      </c>
      <c r="G2144" s="16">
        <v>2.0</v>
      </c>
      <c r="H2144" s="17">
        <v>45263.0</v>
      </c>
      <c r="I2144" s="18" t="s">
        <v>2109</v>
      </c>
    </row>
    <row r="2145">
      <c r="A2145" s="5" t="str">
        <f t="array" ref="A2145">INDEX(event_table!$A$2:$A$69, RANDBETWEEN(1, COUNTA(event_table!$A$2:$A$69)))</f>
        <v>1110</v>
      </c>
      <c r="B2145" s="6">
        <f t="array" ref="B2145">IFERROR(INDEX(event_table!$E$1:$E3686,MATCH(A2145,event_table!$A$1:$A3686,0)),"")
</f>
        <v>1</v>
      </c>
      <c r="C2145" s="7">
        <f t="shared" si="1"/>
        <v>8</v>
      </c>
      <c r="D2145" s="6" t="str">
        <f t="array" ref="D2145">IFERROR(INDEX(user_table!$C$2:$C3686,MATCH(C2145,user_table!$B$2:$B3686,0)),"")
</f>
        <v>Bambang Kurniawan</v>
      </c>
      <c r="E2145" s="6" t="str">
        <f t="array" ref="E2145">IFERROR(INDEX(user_table!$E$2:$E3686,MATCH(C2145,user_table!$B$2:$B3686,0)),"")
</f>
        <v>2, 1</v>
      </c>
      <c r="F2145" s="6" t="str">
        <f t="shared" si="2"/>
        <v>1110218</v>
      </c>
      <c r="G2145" s="16">
        <v>2.0</v>
      </c>
      <c r="H2145" s="17">
        <v>45143.0</v>
      </c>
      <c r="I2145" s="18" t="s">
        <v>2110</v>
      </c>
    </row>
    <row r="2146">
      <c r="A2146" s="5" t="str">
        <f t="array" ref="A2146">INDEX(event_table!$A$2:$A$69, RANDBETWEEN(1, COUNTA(event_table!$A$2:$A$69)))</f>
        <v>1553</v>
      </c>
      <c r="B2146" s="6">
        <f t="array" ref="B2146">IFERROR(INDEX(event_table!$E$1:$E3686,MATCH(A2146,event_table!$A$1:$A3686,0)),"")
</f>
        <v>5</v>
      </c>
      <c r="C2146" s="7">
        <f t="shared" si="1"/>
        <v>80</v>
      </c>
      <c r="D2146" s="6" t="str">
        <f t="array" ref="D2146">IFERROR(INDEX(user_table!$C$2:$C3686,MATCH(C2146,user_table!$B$2:$B3686,0)),"")
</f>
        <v>Sinta Susanto</v>
      </c>
      <c r="E2146" s="6" t="str">
        <f t="array" ref="E2146">IFERROR(INDEX(user_table!$E$2:$E3686,MATCH(C2146,user_table!$B$2:$B3686,0)),"")
</f>
        <v>5, 2</v>
      </c>
      <c r="F2146" s="6" t="str">
        <f t="shared" si="2"/>
        <v>15532580</v>
      </c>
      <c r="G2146" s="16">
        <v>2.0</v>
      </c>
      <c r="H2146" s="17">
        <v>44962.0</v>
      </c>
      <c r="I2146" s="18" t="s">
        <v>2111</v>
      </c>
    </row>
    <row r="2147">
      <c r="A2147" s="5" t="str">
        <f t="array" ref="A2147">INDEX(event_table!$A$2:$A$69, RANDBETWEEN(1, COUNTA(event_table!$A$2:$A$69)))</f>
        <v>1648</v>
      </c>
      <c r="B2147" s="6">
        <f t="array" ref="B2147">IFERROR(INDEX(event_table!$E$1:$E3686,MATCH(A2147,event_table!$A$1:$A3686,0)),"")
</f>
        <v>6</v>
      </c>
      <c r="C2147" s="7">
        <f t="shared" si="1"/>
        <v>174</v>
      </c>
      <c r="D2147" s="6" t="str">
        <f t="array" ref="D2147">IFERROR(INDEX(user_table!$C$2:$C3686,MATCH(C2147,user_table!$B$2:$B3686,0)),"")
</f>
        <v>Maya Hermawan</v>
      </c>
      <c r="E2147" s="6" t="str">
        <f t="array" ref="E2147">IFERROR(INDEX(user_table!$E$2:$E3686,MATCH(C2147,user_table!$B$2:$B3686,0)),"")
</f>
        <v>5, 1</v>
      </c>
      <c r="F2147" s="6" t="str">
        <f t="shared" si="2"/>
        <v>164826174</v>
      </c>
      <c r="G2147" s="16">
        <v>2.0</v>
      </c>
      <c r="H2147" s="17">
        <v>44929.0</v>
      </c>
      <c r="I2147" s="18" t="s">
        <v>2112</v>
      </c>
    </row>
    <row r="2148">
      <c r="A2148" s="5" t="str">
        <f t="array" ref="A2148">INDEX(event_table!$A$2:$A$69, RANDBETWEEN(1, COUNTA(event_table!$A$2:$A$69)))</f>
        <v>1641</v>
      </c>
      <c r="B2148" s="6">
        <f t="array" ref="B2148">IFERROR(INDEX(event_table!$E$1:$E3686,MATCH(A2148,event_table!$A$1:$A3686,0)),"")
</f>
        <v>6</v>
      </c>
      <c r="C2148" s="7">
        <f t="shared" si="1"/>
        <v>185</v>
      </c>
      <c r="D2148" s="6" t="str">
        <f t="array" ref="D2148">IFERROR(INDEX(user_table!$C$2:$C3686,MATCH(C2148,user_table!$B$2:$B3686,0)),"")
</f>
        <v>Budi Wijaya</v>
      </c>
      <c r="E2148" s="6" t="str">
        <f t="array" ref="E2148">IFERROR(INDEX(user_table!$E$2:$E3686,MATCH(C2148,user_table!$B$2:$B3686,0)),"")
</f>
        <v>6, 3</v>
      </c>
      <c r="F2148" s="6" t="str">
        <f t="shared" si="2"/>
        <v>164126185</v>
      </c>
      <c r="G2148" s="16">
        <v>2.0</v>
      </c>
      <c r="H2148" s="17">
        <v>44790.0</v>
      </c>
      <c r="I2148" s="18" t="s">
        <v>2113</v>
      </c>
    </row>
    <row r="2149">
      <c r="A2149" s="5" t="str">
        <f t="array" ref="A2149">INDEX(event_table!$A$2:$A$69, RANDBETWEEN(1, COUNTA(event_table!$A$2:$A$69)))</f>
        <v>1519</v>
      </c>
      <c r="B2149" s="6">
        <f t="array" ref="B2149">IFERROR(INDEX(event_table!$E$1:$E3686,MATCH(A2149,event_table!$A$1:$A3686,0)),"")
</f>
        <v>5</v>
      </c>
      <c r="C2149" s="7">
        <f t="shared" si="1"/>
        <v>94</v>
      </c>
      <c r="D2149" s="6" t="str">
        <f t="array" ref="D2149">IFERROR(INDEX(user_table!$C$2:$C3686,MATCH(C2149,user_table!$B$2:$B3686,0)),"")
</f>
        <v>Ani Susanto</v>
      </c>
      <c r="E2149" s="6" t="str">
        <f t="array" ref="E2149">IFERROR(INDEX(user_table!$E$2:$E3686,MATCH(C2149,user_table!$B$2:$B3686,0)),"")
</f>
        <v>2, 4</v>
      </c>
      <c r="F2149" s="6" t="str">
        <f t="shared" si="2"/>
        <v>15192594</v>
      </c>
      <c r="G2149" s="16">
        <v>2.0</v>
      </c>
      <c r="H2149" s="17">
        <v>44790.0</v>
      </c>
      <c r="I2149" s="18" t="s">
        <v>2114</v>
      </c>
    </row>
    <row r="2150">
      <c r="A2150" s="5" t="str">
        <f t="array" ref="A2150">INDEX(event_table!$A$2:$A$69, RANDBETWEEN(1, COUNTA(event_table!$A$2:$A$69)))</f>
        <v>1425</v>
      </c>
      <c r="B2150" s="6">
        <f t="array" ref="B2150">IFERROR(INDEX(event_table!$E$1:$E3686,MATCH(A2150,event_table!$A$1:$A3686,0)),"")
</f>
        <v>4</v>
      </c>
      <c r="C2150" s="7">
        <f t="shared" si="1"/>
        <v>95</v>
      </c>
      <c r="D2150" s="6" t="str">
        <f t="array" ref="D2150">IFERROR(INDEX(user_table!$C$2:$C3686,MATCH(C2150,user_table!$B$2:$B3686,0)),"")
</f>
        <v>Ani Pratama</v>
      </c>
      <c r="E2150" s="6" t="str">
        <f t="array" ref="E2150">IFERROR(INDEX(user_table!$E$2:$E3686,MATCH(C2150,user_table!$B$2:$B3686,0)),"")
</f>
        <v>3, 5</v>
      </c>
      <c r="F2150" s="6" t="str">
        <f t="shared" si="2"/>
        <v>14252495</v>
      </c>
      <c r="G2150" s="16">
        <v>2.0</v>
      </c>
      <c r="H2150" s="17">
        <v>44348.0</v>
      </c>
      <c r="I2150" s="18" t="s">
        <v>2115</v>
      </c>
    </row>
    <row r="2151">
      <c r="A2151" s="5" t="str">
        <f t="array" ref="A2151">INDEX(event_table!$A$2:$A$69, RANDBETWEEN(1, COUNTA(event_table!$A$2:$A$69)))</f>
        <v>1422</v>
      </c>
      <c r="B2151" s="6">
        <f t="array" ref="B2151">IFERROR(INDEX(event_table!$E$1:$E3686,MATCH(A2151,event_table!$A$1:$A3686,0)),"")
</f>
        <v>4</v>
      </c>
      <c r="C2151" s="7">
        <f t="shared" si="1"/>
        <v>110</v>
      </c>
      <c r="D2151" s="6" t="str">
        <f t="array" ref="D2151">IFERROR(INDEX(user_table!$C$2:$C3686,MATCH(C2151,user_table!$B$2:$B3686,0)),"")
</f>
        <v>Fajar Wijaya</v>
      </c>
      <c r="E2151" s="6" t="str">
        <f t="array" ref="E2151">IFERROR(INDEX(user_table!$E$2:$E3686,MATCH(C2151,user_table!$B$2:$B3686,0)),"")
</f>
        <v>3, 6</v>
      </c>
      <c r="F2151" s="6" t="str">
        <f t="shared" si="2"/>
        <v>142224110</v>
      </c>
      <c r="G2151" s="16">
        <v>2.0</v>
      </c>
      <c r="H2151" s="17">
        <v>45179.0</v>
      </c>
      <c r="I2151" s="18" t="s">
        <v>2116</v>
      </c>
    </row>
    <row r="2152">
      <c r="A2152" s="5" t="str">
        <f t="array" ref="A2152">INDEX(event_table!$A$2:$A$69, RANDBETWEEN(1, COUNTA(event_table!$A$2:$A$69)))</f>
        <v>1417</v>
      </c>
      <c r="B2152" s="6">
        <f t="array" ref="B2152">IFERROR(INDEX(event_table!$E$1:$E3686,MATCH(A2152,event_table!$A$1:$A3686,0)),"")
</f>
        <v>4</v>
      </c>
      <c r="C2152" s="7">
        <f t="shared" si="1"/>
        <v>121</v>
      </c>
      <c r="D2152" s="6" t="str">
        <f t="array" ref="D2152">IFERROR(INDEX(user_table!$C$2:$C3686,MATCH(C2152,user_table!$B$2:$B3686,0)),"")
</f>
        <v>Wahyu Saputra</v>
      </c>
      <c r="E2152" s="6" t="str">
        <f t="array" ref="E2152">IFERROR(INDEX(user_table!$E$2:$E3686,MATCH(C2152,user_table!$B$2:$B3686,0)),"")
</f>
        <v>6, 3</v>
      </c>
      <c r="F2152" s="6" t="str">
        <f t="shared" si="2"/>
        <v>141724121</v>
      </c>
      <c r="G2152" s="16">
        <v>2.0</v>
      </c>
      <c r="H2152" s="17">
        <v>45177.0</v>
      </c>
      <c r="I2152" s="18" t="s">
        <v>2117</v>
      </c>
    </row>
    <row r="2153">
      <c r="A2153" s="5" t="str">
        <f t="array" ref="A2153">INDEX(event_table!$A$2:$A$69, RANDBETWEEN(1, COUNTA(event_table!$A$2:$A$69)))</f>
        <v>1334</v>
      </c>
      <c r="B2153" s="6">
        <f t="array" ref="B2153">IFERROR(INDEX(event_table!$E$1:$E3686,MATCH(A2153,event_table!$A$1:$A3686,0)),"")
</f>
        <v>3</v>
      </c>
      <c r="C2153" s="7">
        <f t="shared" si="1"/>
        <v>106</v>
      </c>
      <c r="D2153" s="6" t="str">
        <f t="array" ref="D2153">IFERROR(INDEX(user_table!$C$2:$C3686,MATCH(C2153,user_table!$B$2:$B3686,0)),"")
</f>
        <v>Budi Hidayat</v>
      </c>
      <c r="E2153" s="6" t="str">
        <f t="array" ref="E2153">IFERROR(INDEX(user_table!$E$2:$E3686,MATCH(C2153,user_table!$B$2:$B3686,0)),"")
</f>
        <v>2, 6</v>
      </c>
      <c r="F2153" s="6" t="str">
        <f t="shared" si="2"/>
        <v>133423106</v>
      </c>
      <c r="G2153" s="16">
        <v>2.0</v>
      </c>
      <c r="H2153" s="17">
        <v>45139.0</v>
      </c>
      <c r="I2153" s="18" t="s">
        <v>2118</v>
      </c>
    </row>
    <row r="2154">
      <c r="A2154" s="5" t="str">
        <f t="array" ref="A2154">INDEX(event_table!$A$2:$A$69, RANDBETWEEN(1, COUNTA(event_table!$A$2:$A$69)))</f>
        <v>1645</v>
      </c>
      <c r="B2154" s="6">
        <f t="array" ref="B2154">IFERROR(INDEX(event_table!$E$1:$E3686,MATCH(A2154,event_table!$A$1:$A3686,0)),"")
</f>
        <v>6</v>
      </c>
      <c r="C2154" s="7">
        <f t="shared" si="1"/>
        <v>111</v>
      </c>
      <c r="D2154" s="6" t="str">
        <f t="array" ref="D2154">IFERROR(INDEX(user_table!$C$2:$C3686,MATCH(C2154,user_table!$B$2:$B3686,0)),"")
</f>
        <v>Hadi Kurniawan</v>
      </c>
      <c r="E2154" s="6" t="str">
        <f t="array" ref="E2154">IFERROR(INDEX(user_table!$E$2:$E3686,MATCH(C2154,user_table!$B$2:$B3686,0)),"")
</f>
        <v>3, 4</v>
      </c>
      <c r="F2154" s="6" t="str">
        <f t="shared" si="2"/>
        <v>164526111</v>
      </c>
      <c r="G2154" s="16">
        <v>2.0</v>
      </c>
      <c r="H2154" s="17">
        <v>45133.0</v>
      </c>
      <c r="I2154" s="18" t="s">
        <v>2119</v>
      </c>
    </row>
    <row r="2155">
      <c r="A2155" s="5" t="str">
        <f t="array" ref="A2155">INDEX(event_table!$A$2:$A$69, RANDBETWEEN(1, COUNTA(event_table!$A$2:$A$69)))</f>
        <v>1637</v>
      </c>
      <c r="B2155" s="6">
        <f t="array" ref="B2155">IFERROR(INDEX(event_table!$E$1:$E3686,MATCH(A2155,event_table!$A$1:$A3686,0)),"")
</f>
        <v>6</v>
      </c>
      <c r="C2155" s="7">
        <f t="shared" si="1"/>
        <v>90</v>
      </c>
      <c r="D2155" s="6" t="str">
        <f t="array" ref="D2155">IFERROR(INDEX(user_table!$C$2:$C3686,MATCH(C2155,user_table!$B$2:$B3686,0)),"")
</f>
        <v>Dina Saputra</v>
      </c>
      <c r="E2155" s="6" t="str">
        <f t="array" ref="E2155">IFERROR(INDEX(user_table!$E$2:$E3686,MATCH(C2155,user_table!$B$2:$B3686,0)),"")
</f>
        <v>1, 2</v>
      </c>
      <c r="F2155" s="6" t="str">
        <f t="shared" si="2"/>
        <v>16372690</v>
      </c>
      <c r="G2155" s="16">
        <v>2.0</v>
      </c>
      <c r="H2155" s="17">
        <v>45104.0</v>
      </c>
      <c r="I2155" s="18" t="s">
        <v>2120</v>
      </c>
    </row>
    <row r="2156">
      <c r="A2156" s="5" t="str">
        <f t="array" ref="A2156">INDEX(event_table!$A$2:$A$69, RANDBETWEEN(1, COUNTA(event_table!$A$2:$A$69)))</f>
        <v>1651</v>
      </c>
      <c r="B2156" s="6">
        <f t="array" ref="B2156">IFERROR(INDEX(event_table!$E$1:$E3686,MATCH(A2156,event_table!$A$1:$A3686,0)),"")
</f>
        <v>6</v>
      </c>
      <c r="C2156" s="7">
        <f t="shared" si="1"/>
        <v>102</v>
      </c>
      <c r="D2156" s="6" t="str">
        <f t="array" ref="D2156">IFERROR(INDEX(user_table!$C$2:$C3686,MATCH(C2156,user_table!$B$2:$B3686,0)),"")
</f>
        <v>Lina Nurhayati</v>
      </c>
      <c r="E2156" s="6" t="str">
        <f t="array" ref="E2156">IFERROR(INDEX(user_table!$E$2:$E3686,MATCH(C2156,user_table!$B$2:$B3686,0)),"")
</f>
        <v>1, 2</v>
      </c>
      <c r="F2156" s="6" t="str">
        <f t="shared" si="2"/>
        <v>165116102</v>
      </c>
      <c r="G2156" s="16">
        <v>1.0</v>
      </c>
      <c r="H2156" s="17">
        <v>45205.0</v>
      </c>
      <c r="I2156" s="18" t="s">
        <v>2121</v>
      </c>
    </row>
    <row r="2157">
      <c r="A2157" s="5" t="str">
        <f t="array" ref="A2157">INDEX(event_table!$A$2:$A$69, RANDBETWEEN(1, COUNTA(event_table!$A$2:$A$69)))</f>
        <v>118</v>
      </c>
      <c r="B2157" s="6">
        <f t="array" ref="B2157">IFERROR(INDEX(event_table!$E$1:$E3686,MATCH(A2157,event_table!$A$1:$A3686,0)),"")
</f>
        <v>1</v>
      </c>
      <c r="C2157" s="7">
        <f t="shared" si="1"/>
        <v>12</v>
      </c>
      <c r="D2157" s="6" t="str">
        <f t="array" ref="D2157">IFERROR(INDEX(user_table!$C$2:$C3686,MATCH(C2157,user_table!$B$2:$B3686,0)),"")
</f>
        <v>Joko Susanto</v>
      </c>
      <c r="E2157" s="6" t="str">
        <f t="array" ref="E2157">IFERROR(INDEX(user_table!$E$2:$E3686,MATCH(C2157,user_table!$B$2:$B3686,0)),"")
</f>
        <v>4, 2</v>
      </c>
      <c r="F2157" s="6" t="str">
        <f t="shared" si="2"/>
        <v>1181112</v>
      </c>
      <c r="G2157" s="16">
        <v>1.0</v>
      </c>
      <c r="H2157" s="17">
        <v>45192.0</v>
      </c>
      <c r="I2157" s="18" t="s">
        <v>2122</v>
      </c>
    </row>
    <row r="2158">
      <c r="A2158" s="5" t="str">
        <f t="array" ref="A2158">INDEX(event_table!$A$2:$A$69, RANDBETWEEN(1, COUNTA(event_table!$A$2:$A$69)))</f>
        <v>1642</v>
      </c>
      <c r="B2158" s="6">
        <f t="array" ref="B2158">IFERROR(INDEX(event_table!$E$1:$E3686,MATCH(A2158,event_table!$A$1:$A3686,0)),"")
</f>
        <v>6</v>
      </c>
      <c r="C2158" s="7">
        <f t="shared" si="1"/>
        <v>125</v>
      </c>
      <c r="D2158" s="6" t="str">
        <f t="array" ref="D2158">IFERROR(INDEX(user_table!$C$2:$C3686,MATCH(C2158,user_table!$B$2:$B3686,0)),"")
</f>
        <v>Fandi Hidayat</v>
      </c>
      <c r="E2158" s="6" t="str">
        <f t="array" ref="E2158">IFERROR(INDEX(user_table!$E$2:$E3686,MATCH(C2158,user_table!$B$2:$B3686,0)),"")
</f>
        <v>5, 2</v>
      </c>
      <c r="F2158" s="6" t="str">
        <f t="shared" si="2"/>
        <v>164216125</v>
      </c>
      <c r="G2158" s="16">
        <v>1.0</v>
      </c>
      <c r="H2158" s="17">
        <v>45266.0</v>
      </c>
      <c r="I2158" s="18" t="s">
        <v>2123</v>
      </c>
    </row>
    <row r="2159">
      <c r="A2159" s="5" t="str">
        <f t="array" ref="A2159">INDEX(event_table!$A$2:$A$69, RANDBETWEEN(1, COUNTA(event_table!$A$2:$A$69)))</f>
        <v>3166</v>
      </c>
      <c r="B2159" s="6">
        <f t="array" ref="B2159">IFERROR(INDEX(event_table!$E$1:$E3686,MATCH(A2159,event_table!$A$1:$A3686,0)),"")
</f>
        <v>1</v>
      </c>
      <c r="C2159" s="7">
        <f t="shared" si="1"/>
        <v>65</v>
      </c>
      <c r="D2159" s="6" t="str">
        <f t="array" ref="D2159">IFERROR(INDEX(user_table!$C$2:$C3686,MATCH(C2159,user_table!$B$2:$B3686,0)),"")
</f>
        <v>Siti Pratama</v>
      </c>
      <c r="E2159" s="6" t="str">
        <f t="array" ref="E2159">IFERROR(INDEX(user_table!$E$2:$E3686,MATCH(C2159,user_table!$B$2:$B3686,0)),"")
</f>
        <v>5, 6</v>
      </c>
      <c r="F2159" s="6" t="str">
        <f t="shared" si="2"/>
        <v>31661165</v>
      </c>
      <c r="G2159" s="16">
        <v>1.0</v>
      </c>
      <c r="H2159" s="17">
        <v>45265.0</v>
      </c>
      <c r="I2159" s="18" t="s">
        <v>2124</v>
      </c>
    </row>
    <row r="2160">
      <c r="A2160" s="5" t="str">
        <f t="array" ref="A2160">INDEX(event_table!$A$2:$A$69, RANDBETWEEN(1, COUNTA(event_table!$A$2:$A$69)))</f>
        <v>3163</v>
      </c>
      <c r="B2160" s="6">
        <f t="array" ref="B2160">IFERROR(INDEX(event_table!$E$1:$E3686,MATCH(A2160,event_table!$A$1:$A3686,0)),"")
</f>
        <v>1</v>
      </c>
      <c r="C2160" s="7">
        <f t="shared" si="1"/>
        <v>100</v>
      </c>
      <c r="D2160" s="6" t="str">
        <f t="array" ref="D2160">IFERROR(INDEX(user_table!$C$2:$C3686,MATCH(C2160,user_table!$B$2:$B3686,0)),"")
</f>
        <v>Lina Rahayu</v>
      </c>
      <c r="E2160" s="6" t="str">
        <f t="array" ref="E2160">IFERROR(INDEX(user_table!$E$2:$E3686,MATCH(C2160,user_table!$B$2:$B3686,0)),"")
</f>
        <v>6, 2</v>
      </c>
      <c r="F2160" s="6" t="str">
        <f t="shared" si="2"/>
        <v>316311100</v>
      </c>
      <c r="G2160" s="16">
        <v>1.0</v>
      </c>
      <c r="H2160" s="17">
        <v>45227.0</v>
      </c>
      <c r="I2160" s="18" t="s">
        <v>2125</v>
      </c>
    </row>
    <row r="2161">
      <c r="A2161" s="5" t="str">
        <f t="array" ref="A2161">INDEX(event_table!$A$2:$A$69, RANDBETWEEN(1, COUNTA(event_table!$A$2:$A$69)))</f>
        <v>1417</v>
      </c>
      <c r="B2161" s="6">
        <f t="array" ref="B2161">IFERROR(INDEX(event_table!$E$1:$E3686,MATCH(A2161,event_table!$A$1:$A3686,0)),"")
</f>
        <v>4</v>
      </c>
      <c r="C2161" s="7">
        <f t="shared" si="1"/>
        <v>51</v>
      </c>
      <c r="D2161" s="6" t="str">
        <f t="array" ref="D2161">IFERROR(INDEX(user_table!$C$2:$C3686,MATCH(C2161,user_table!$B$2:$B3686,0)),"")
</f>
        <v>Fandi Pratama</v>
      </c>
      <c r="E2161" s="6" t="str">
        <f t="array" ref="E2161">IFERROR(INDEX(user_table!$E$2:$E3686,MATCH(C2161,user_table!$B$2:$B3686,0)),"")
</f>
        <v>2, 1</v>
      </c>
      <c r="F2161" s="6" t="str">
        <f t="shared" si="2"/>
        <v>14171451</v>
      </c>
      <c r="G2161" s="16">
        <v>1.0</v>
      </c>
      <c r="H2161" s="17">
        <v>45168.0</v>
      </c>
      <c r="I2161" s="18" t="s">
        <v>2126</v>
      </c>
    </row>
    <row r="2162">
      <c r="A2162" s="5" t="str">
        <f t="array" ref="A2162">INDEX(event_table!$A$2:$A$69, RANDBETWEEN(1, COUNTA(event_table!$A$2:$A$69)))</f>
        <v>1114</v>
      </c>
      <c r="B2162" s="6">
        <f t="array" ref="B2162">IFERROR(INDEX(event_table!$E$1:$E3686,MATCH(A2162,event_table!$A$1:$A3686,0)),"")
</f>
        <v>1</v>
      </c>
      <c r="C2162" s="7">
        <f t="shared" si="1"/>
        <v>114</v>
      </c>
      <c r="D2162" s="6" t="str">
        <f t="array" ref="D2162">IFERROR(INDEX(user_table!$C$2:$C3686,MATCH(C2162,user_table!$B$2:$B3686,0)),"")
</f>
        <v>Ani Sari</v>
      </c>
      <c r="E2162" s="6" t="str">
        <f t="array" ref="E2162">IFERROR(INDEX(user_table!$E$2:$E3686,MATCH(C2162,user_table!$B$2:$B3686,0)),"")
</f>
        <v>4, 3</v>
      </c>
      <c r="F2162" s="6" t="str">
        <f t="shared" si="2"/>
        <v>111411114</v>
      </c>
      <c r="G2162" s="16">
        <v>1.0</v>
      </c>
      <c r="H2162" s="17">
        <v>45143.0</v>
      </c>
      <c r="I2162" s="18" t="s">
        <v>2127</v>
      </c>
    </row>
    <row r="2163">
      <c r="A2163" s="5" t="str">
        <f t="array" ref="A2163">INDEX(event_table!$A$2:$A$69, RANDBETWEEN(1, COUNTA(event_table!$A$2:$A$69)))</f>
        <v>3167</v>
      </c>
      <c r="B2163" s="6">
        <f t="array" ref="B2163">IFERROR(INDEX(event_table!$E$1:$E3686,MATCH(A2163,event_table!$A$1:$A3686,0)),"")
</f>
        <v>1</v>
      </c>
      <c r="C2163" s="7">
        <f t="shared" si="1"/>
        <v>163</v>
      </c>
      <c r="D2163" s="6" t="str">
        <f t="array" ref="D2163">IFERROR(INDEX(user_table!$C$2:$C3686,MATCH(C2163,user_table!$B$2:$B3686,0)),"")
</f>
        <v>Budi Susanto</v>
      </c>
      <c r="E2163" s="6" t="str">
        <f t="array" ref="E2163">IFERROR(INDEX(user_table!$E$2:$E3686,MATCH(C2163,user_table!$B$2:$B3686,0)),"")
</f>
        <v>6, 3</v>
      </c>
      <c r="F2163" s="6" t="str">
        <f t="shared" si="2"/>
        <v>316711163</v>
      </c>
      <c r="G2163" s="16">
        <v>1.0</v>
      </c>
      <c r="H2163" s="17">
        <v>45143.0</v>
      </c>
      <c r="I2163" s="18" t="s">
        <v>2128</v>
      </c>
    </row>
    <row r="2164">
      <c r="A2164" s="5" t="str">
        <f t="array" ref="A2164">INDEX(event_table!$A$2:$A$69, RANDBETWEEN(1, COUNTA(event_table!$A$2:$A$69)))</f>
        <v>1416</v>
      </c>
      <c r="B2164" s="6">
        <f t="array" ref="B2164">IFERROR(INDEX(event_table!$E$1:$E3686,MATCH(A2164,event_table!$A$1:$A3686,0)),"")
</f>
        <v>4</v>
      </c>
      <c r="C2164" s="7">
        <f t="shared" si="1"/>
        <v>143</v>
      </c>
      <c r="D2164" s="6" t="str">
        <f t="array" ref="D2164">IFERROR(INDEX(user_table!$C$2:$C3686,MATCH(C2164,user_table!$B$2:$B3686,0)),"")
</f>
        <v>Agus Putri</v>
      </c>
      <c r="E2164" s="6" t="str">
        <f t="array" ref="E2164">IFERROR(INDEX(user_table!$E$2:$E3686,MATCH(C2164,user_table!$B$2:$B3686,0)),"")
</f>
        <v>3, 3</v>
      </c>
      <c r="F2164" s="6" t="str">
        <f t="shared" si="2"/>
        <v>141654143</v>
      </c>
      <c r="G2164" s="16">
        <v>5.0</v>
      </c>
      <c r="H2164" s="17">
        <v>44740.0</v>
      </c>
      <c r="I2164" s="18" t="s">
        <v>2129</v>
      </c>
    </row>
    <row r="2165">
      <c r="A2165" s="5" t="str">
        <f t="array" ref="A2165">INDEX(event_table!$A$2:$A$69, RANDBETWEEN(1, COUNTA(event_table!$A$2:$A$69)))</f>
        <v>119</v>
      </c>
      <c r="B2165" s="6">
        <f t="array" ref="B2165">IFERROR(INDEX(event_table!$E$1:$E3686,MATCH(A2165,event_table!$A$1:$A3686,0)),"")
</f>
        <v>1</v>
      </c>
      <c r="C2165" s="7">
        <f t="shared" si="1"/>
        <v>79</v>
      </c>
      <c r="D2165" s="6" t="str">
        <f t="array" ref="D2165">IFERROR(INDEX(user_table!$C$2:$C3686,MATCH(C2165,user_table!$B$2:$B3686,0)),"")
</f>
        <v>Arif Nugroho</v>
      </c>
      <c r="E2165" s="6" t="str">
        <f t="array" ref="E2165">IFERROR(INDEX(user_table!$E$2:$E3686,MATCH(C2165,user_table!$B$2:$B3686,0)),"")
</f>
        <v>2, 3</v>
      </c>
      <c r="F2165" s="6" t="str">
        <f t="shared" si="2"/>
        <v>1195179</v>
      </c>
      <c r="G2165" s="16">
        <v>5.0</v>
      </c>
      <c r="H2165" s="17">
        <v>44738.0</v>
      </c>
      <c r="I2165" s="18" t="s">
        <v>2130</v>
      </c>
    </row>
    <row r="2166">
      <c r="A2166" s="5" t="str">
        <f t="array" ref="A2166">INDEX(event_table!$A$2:$A$69, RANDBETWEEN(1, COUNTA(event_table!$A$2:$A$69)))</f>
        <v>3162</v>
      </c>
      <c r="B2166" s="6">
        <f t="array" ref="B2166">IFERROR(INDEX(event_table!$E$1:$E3686,MATCH(A2166,event_table!$A$1:$A3686,0)),"")
</f>
        <v>1</v>
      </c>
      <c r="C2166" s="7">
        <f t="shared" si="1"/>
        <v>104</v>
      </c>
      <c r="D2166" s="6" t="str">
        <f t="array" ref="D2166">IFERROR(INDEX(user_table!$C$2:$C3686,MATCH(C2166,user_table!$B$2:$B3686,0)),"")
</f>
        <v>Fajar Utami</v>
      </c>
      <c r="E2166" s="6" t="str">
        <f t="array" ref="E2166">IFERROR(INDEX(user_table!$E$2:$E3686,MATCH(C2166,user_table!$B$2:$B3686,0)),"")
</f>
        <v>2, 5</v>
      </c>
      <c r="F2166" s="6" t="str">
        <f t="shared" si="2"/>
        <v>316251104</v>
      </c>
      <c r="G2166" s="16">
        <v>5.0</v>
      </c>
      <c r="H2166" s="17">
        <v>44733.0</v>
      </c>
      <c r="I2166" s="18" t="s">
        <v>2131</v>
      </c>
    </row>
    <row r="2167">
      <c r="A2167" s="5" t="str">
        <f t="array" ref="A2167">INDEX(event_table!$A$2:$A$69, RANDBETWEEN(1, COUNTA(event_table!$A$2:$A$69)))</f>
        <v>1427</v>
      </c>
      <c r="B2167" s="6">
        <f t="array" ref="B2167">IFERROR(INDEX(event_table!$E$1:$E3686,MATCH(A2167,event_table!$A$1:$A3686,0)),"")
</f>
        <v>4</v>
      </c>
      <c r="C2167" s="7">
        <f t="shared" si="1"/>
        <v>18</v>
      </c>
      <c r="D2167" s="6" t="str">
        <f t="array" ref="D2167">IFERROR(INDEX(user_table!$C$2:$C3686,MATCH(C2167,user_table!$B$2:$B3686,0)),"")
</f>
        <v>Rudi Santoso</v>
      </c>
      <c r="E2167" s="6" t="str">
        <f t="array" ref="E2167">IFERROR(INDEX(user_table!$E$2:$E3686,MATCH(C2167,user_table!$B$2:$B3686,0)),"")
</f>
        <v>4, 2</v>
      </c>
      <c r="F2167" s="6" t="str">
        <f t="shared" si="2"/>
        <v>14275418</v>
      </c>
      <c r="G2167" s="16">
        <v>5.0</v>
      </c>
      <c r="H2167" s="17">
        <v>44728.0</v>
      </c>
      <c r="I2167" s="18" t="s">
        <v>2132</v>
      </c>
    </row>
    <row r="2168">
      <c r="A2168" s="5" t="str">
        <f t="array" ref="A2168">INDEX(event_table!$A$2:$A$69, RANDBETWEEN(1, COUNTA(event_table!$A$2:$A$69)))</f>
        <v>1646</v>
      </c>
      <c r="B2168" s="6">
        <f t="array" ref="B2168">IFERROR(INDEX(event_table!$E$1:$E3686,MATCH(A2168,event_table!$A$1:$A3686,0)),"")
</f>
        <v>6</v>
      </c>
      <c r="C2168" s="7">
        <f t="shared" si="1"/>
        <v>156</v>
      </c>
      <c r="D2168" s="6" t="str">
        <f t="array" ref="D2168">IFERROR(INDEX(user_table!$C$2:$C3686,MATCH(C2168,user_table!$B$2:$B3686,0)),"")
</f>
        <v>Lina Kusuma</v>
      </c>
      <c r="E2168" s="6" t="str">
        <f t="array" ref="E2168">IFERROR(INDEX(user_table!$E$2:$E3686,MATCH(C2168,user_table!$B$2:$B3686,0)),"")
</f>
        <v>4, 3</v>
      </c>
      <c r="F2168" s="6" t="str">
        <f t="shared" si="2"/>
        <v>164656156</v>
      </c>
      <c r="G2168" s="16">
        <v>5.0</v>
      </c>
      <c r="H2168" s="17">
        <v>44721.0</v>
      </c>
      <c r="I2168" s="18" t="s">
        <v>2133</v>
      </c>
    </row>
    <row r="2169">
      <c r="A2169" s="5" t="str">
        <f t="array" ref="A2169">INDEX(event_table!$A$2:$A$69, RANDBETWEEN(1, COUNTA(event_table!$A$2:$A$69)))</f>
        <v>1114</v>
      </c>
      <c r="B2169" s="6">
        <f t="array" ref="B2169">IFERROR(INDEX(event_table!$E$1:$E3686,MATCH(A2169,event_table!$A$1:$A3686,0)),"")
</f>
        <v>1</v>
      </c>
      <c r="C2169" s="7">
        <f t="shared" si="1"/>
        <v>158</v>
      </c>
      <c r="D2169" s="6" t="str">
        <f t="array" ref="D2169">IFERROR(INDEX(user_table!$C$2:$C3686,MATCH(C2169,user_table!$B$2:$B3686,0)),"")
</f>
        <v>Maya Wijaya</v>
      </c>
      <c r="E2169" s="6" t="str">
        <f t="array" ref="E2169">IFERROR(INDEX(user_table!$E$2:$E3686,MATCH(C2169,user_table!$B$2:$B3686,0)),"")
</f>
        <v>3, 4</v>
      </c>
      <c r="F2169" s="6" t="str">
        <f t="shared" si="2"/>
        <v>111451158</v>
      </c>
      <c r="G2169" s="16">
        <v>5.0</v>
      </c>
      <c r="H2169" s="17">
        <v>44695.0</v>
      </c>
      <c r="I2169" s="18" t="s">
        <v>2134</v>
      </c>
    </row>
    <row r="2170">
      <c r="A2170" s="5" t="str">
        <f t="array" ref="A2170">INDEX(event_table!$A$2:$A$69, RANDBETWEEN(1, COUNTA(event_table!$A$2:$A$69)))</f>
        <v>3163</v>
      </c>
      <c r="B2170" s="6">
        <f t="array" ref="B2170">IFERROR(INDEX(event_table!$E$1:$E3686,MATCH(A2170,event_table!$A$1:$A3686,0)),"")
</f>
        <v>1</v>
      </c>
      <c r="C2170" s="7">
        <f t="shared" si="1"/>
        <v>174</v>
      </c>
      <c r="D2170" s="6" t="str">
        <f t="array" ref="D2170">IFERROR(INDEX(user_table!$C$2:$C3686,MATCH(C2170,user_table!$B$2:$B3686,0)),"")
</f>
        <v>Maya Hermawan</v>
      </c>
      <c r="E2170" s="6" t="str">
        <f t="array" ref="E2170">IFERROR(INDEX(user_table!$E$2:$E3686,MATCH(C2170,user_table!$B$2:$B3686,0)),"")
</f>
        <v>5, 1</v>
      </c>
      <c r="F2170" s="6" t="str">
        <f t="shared" si="2"/>
        <v>316351174</v>
      </c>
      <c r="G2170" s="16">
        <v>5.0</v>
      </c>
      <c r="H2170" s="17">
        <v>44687.0</v>
      </c>
      <c r="I2170" s="18" t="s">
        <v>2135</v>
      </c>
    </row>
    <row r="2171">
      <c r="A2171" s="5" t="str">
        <f t="array" ref="A2171">INDEX(event_table!$A$2:$A$69, RANDBETWEEN(1, COUNTA(event_table!$A$2:$A$69)))</f>
        <v>3164</v>
      </c>
      <c r="B2171" s="6">
        <f t="array" ref="B2171">IFERROR(INDEX(event_table!$E$1:$E3686,MATCH(A2171,event_table!$A$1:$A3686,0)),"")
</f>
        <v>1</v>
      </c>
      <c r="C2171" s="7">
        <f t="shared" si="1"/>
        <v>159</v>
      </c>
      <c r="D2171" s="6" t="str">
        <f t="array" ref="D2171">IFERROR(INDEX(user_table!$C$2:$C3686,MATCH(C2171,user_table!$B$2:$B3686,0)),"")
</f>
        <v>Rudi Santoso</v>
      </c>
      <c r="E2171" s="6" t="str">
        <f t="array" ref="E2171">IFERROR(INDEX(user_table!$E$2:$E3686,MATCH(C2171,user_table!$B$2:$B3686,0)),"")
</f>
        <v>5, 1</v>
      </c>
      <c r="F2171" s="6" t="str">
        <f t="shared" si="2"/>
        <v>316451159</v>
      </c>
      <c r="G2171" s="16">
        <v>5.0</v>
      </c>
      <c r="H2171" s="17">
        <v>45094.0</v>
      </c>
      <c r="I2171" s="18" t="s">
        <v>2136</v>
      </c>
    </row>
    <row r="2172">
      <c r="A2172" s="5" t="str">
        <f t="array" ref="A2172">INDEX(event_table!$A$2:$A$69, RANDBETWEEN(1, COUNTA(event_table!$A$2:$A$69)))</f>
        <v>3658</v>
      </c>
      <c r="B2172" s="6">
        <f t="array" ref="B2172">IFERROR(INDEX(event_table!$E$1:$E3686,MATCH(A2172,event_table!$A$1:$A3686,0)),"")
</f>
        <v>6</v>
      </c>
      <c r="C2172" s="7">
        <f t="shared" si="1"/>
        <v>163</v>
      </c>
      <c r="D2172" s="6" t="str">
        <f t="array" ref="D2172">IFERROR(INDEX(user_table!$C$2:$C3686,MATCH(C2172,user_table!$B$2:$B3686,0)),"")
</f>
        <v>Budi Susanto</v>
      </c>
      <c r="E2172" s="6" t="str">
        <f t="array" ref="E2172">IFERROR(INDEX(user_table!$E$2:$E3686,MATCH(C2172,user_table!$B$2:$B3686,0)),"")
</f>
        <v>6, 3</v>
      </c>
      <c r="F2172" s="6" t="str">
        <f t="shared" si="2"/>
        <v>365856163</v>
      </c>
      <c r="G2172" s="16">
        <v>5.0</v>
      </c>
      <c r="H2172" s="17">
        <v>45049.0</v>
      </c>
      <c r="I2172" s="18" t="s">
        <v>2137</v>
      </c>
    </row>
    <row r="2173">
      <c r="A2173" s="5" t="str">
        <f t="array" ref="A2173">INDEX(event_table!$A$2:$A$69, RANDBETWEEN(1, COUNTA(event_table!$A$2:$A$69)))</f>
        <v>1420</v>
      </c>
      <c r="B2173" s="6">
        <f t="array" ref="B2173">IFERROR(INDEX(event_table!$E$1:$E3686,MATCH(A2173,event_table!$A$1:$A3686,0)),"")
</f>
        <v>4</v>
      </c>
      <c r="C2173" s="7">
        <f t="shared" si="1"/>
        <v>57</v>
      </c>
      <c r="D2173" s="6" t="str">
        <f t="array" ref="D2173">IFERROR(INDEX(user_table!$C$2:$C3686,MATCH(C2173,user_table!$B$2:$B3686,0)),"")
</f>
        <v>Hadi Sari</v>
      </c>
      <c r="E2173" s="6" t="str">
        <f t="array" ref="E2173">IFERROR(INDEX(user_table!$E$2:$E3686,MATCH(C2173,user_table!$B$2:$B3686,0)),"")
</f>
        <v>2, 4</v>
      </c>
      <c r="F2173" s="6" t="str">
        <f t="shared" si="2"/>
        <v>14205457</v>
      </c>
      <c r="G2173" s="16">
        <v>5.0</v>
      </c>
      <c r="H2173" s="17">
        <v>45021.0</v>
      </c>
      <c r="I2173" s="18" t="s">
        <v>2138</v>
      </c>
    </row>
    <row r="2174">
      <c r="A2174" s="5" t="str">
        <f t="array" ref="A2174">INDEX(event_table!$A$2:$A$69, RANDBETWEEN(1, COUNTA(event_table!$A$2:$A$69)))</f>
        <v>117</v>
      </c>
      <c r="B2174" s="6">
        <f t="array" ref="B2174">IFERROR(INDEX(event_table!$E$1:$E3686,MATCH(A2174,event_table!$A$1:$A3686,0)),"")
</f>
        <v>1</v>
      </c>
      <c r="C2174" s="7">
        <f t="shared" si="1"/>
        <v>21</v>
      </c>
      <c r="D2174" s="6" t="str">
        <f t="array" ref="D2174">IFERROR(INDEX(user_table!$C$2:$C3686,MATCH(C2174,user_table!$B$2:$B3686,0)),"")
</f>
        <v>Budi Santoso</v>
      </c>
      <c r="E2174" s="6" t="str">
        <f t="array" ref="E2174">IFERROR(INDEX(user_table!$E$2:$E3686,MATCH(C2174,user_table!$B$2:$B3686,0)),"")
</f>
        <v>6, 1</v>
      </c>
      <c r="F2174" s="6" t="str">
        <f t="shared" si="2"/>
        <v>1175121</v>
      </c>
      <c r="G2174" s="16">
        <v>5.0</v>
      </c>
      <c r="H2174" s="17">
        <v>44841.0</v>
      </c>
      <c r="I2174" s="18" t="s">
        <v>2139</v>
      </c>
    </row>
    <row r="2175">
      <c r="A2175" s="5" t="str">
        <f t="array" ref="A2175">INDEX(event_table!$A$2:$A$69, RANDBETWEEN(1, COUNTA(event_table!$A$2:$A$69)))</f>
        <v>1553</v>
      </c>
      <c r="B2175" s="6">
        <f t="array" ref="B2175">IFERROR(INDEX(event_table!$E$1:$E3686,MATCH(A2175,event_table!$A$1:$A3686,0)),"")
</f>
        <v>5</v>
      </c>
      <c r="C2175" s="7">
        <f t="shared" si="1"/>
        <v>142</v>
      </c>
      <c r="D2175" s="6" t="str">
        <f t="array" ref="D2175">IFERROR(INDEX(user_table!$C$2:$C3686,MATCH(C2175,user_table!$B$2:$B3686,0)),"")
</f>
        <v>Siti Rahayu</v>
      </c>
      <c r="E2175" s="6" t="str">
        <f t="array" ref="E2175">IFERROR(INDEX(user_table!$E$2:$E3686,MATCH(C2175,user_table!$B$2:$B3686,0)),"")
</f>
        <v>6, 3</v>
      </c>
      <c r="F2175" s="6" t="str">
        <f t="shared" si="2"/>
        <v>155355142</v>
      </c>
      <c r="G2175" s="16">
        <v>5.0</v>
      </c>
      <c r="H2175" s="17">
        <v>44783.0</v>
      </c>
      <c r="I2175" s="18" t="s">
        <v>2140</v>
      </c>
    </row>
    <row r="2176">
      <c r="A2176" s="5" t="str">
        <f t="array" ref="A2176">INDEX(event_table!$A$2:$A$69, RANDBETWEEN(1, COUNTA(event_table!$A$2:$A$69)))</f>
        <v>1423</v>
      </c>
      <c r="B2176" s="6">
        <f t="array" ref="B2176">IFERROR(INDEX(event_table!$E$1:$E3686,MATCH(A2176,event_table!$A$1:$A3686,0)),"")
</f>
        <v>4</v>
      </c>
      <c r="C2176" s="7">
        <f t="shared" si="1"/>
        <v>142</v>
      </c>
      <c r="D2176" s="6" t="str">
        <f t="array" ref="D2176">IFERROR(INDEX(user_table!$C$2:$C3686,MATCH(C2176,user_table!$B$2:$B3686,0)),"")
</f>
        <v>Siti Rahayu</v>
      </c>
      <c r="E2176" s="6" t="str">
        <f t="array" ref="E2176">IFERROR(INDEX(user_table!$E$2:$E3686,MATCH(C2176,user_table!$B$2:$B3686,0)),"")
</f>
        <v>6, 3</v>
      </c>
      <c r="F2176" s="6" t="str">
        <f t="shared" si="2"/>
        <v>142354142</v>
      </c>
      <c r="G2176" s="16">
        <v>5.0</v>
      </c>
      <c r="H2176" s="17">
        <v>44763.0</v>
      </c>
      <c r="I2176" s="18" t="s">
        <v>2141</v>
      </c>
    </row>
    <row r="2177">
      <c r="A2177" s="5" t="str">
        <f t="array" ref="A2177">INDEX(event_table!$A$2:$A$69, RANDBETWEEN(1, COUNTA(event_table!$A$2:$A$69)))</f>
        <v>1642</v>
      </c>
      <c r="B2177" s="6">
        <f t="array" ref="B2177">IFERROR(INDEX(event_table!$E$1:$E3686,MATCH(A2177,event_table!$A$1:$A3686,0)),"")
</f>
        <v>6</v>
      </c>
      <c r="C2177" s="7">
        <f t="shared" si="1"/>
        <v>191</v>
      </c>
      <c r="D2177" s="6" t="str">
        <f t="array" ref="D2177">IFERROR(INDEX(user_table!$C$2:$C3686,MATCH(C2177,user_table!$B$2:$B3686,0)),"")
</f>
        <v>Rudi Hermawan</v>
      </c>
      <c r="E2177" s="6" t="str">
        <f t="array" ref="E2177">IFERROR(INDEX(user_table!$E$2:$E3686,MATCH(C2177,user_table!$B$2:$B3686,0)),"")
</f>
        <v>5, 6</v>
      </c>
      <c r="F2177" s="6" t="str">
        <f t="shared" si="2"/>
        <v>164256191</v>
      </c>
      <c r="G2177" s="16">
        <v>5.0</v>
      </c>
      <c r="H2177" s="17">
        <v>44753.0</v>
      </c>
      <c r="I2177" s="18" t="s">
        <v>2142</v>
      </c>
    </row>
    <row r="2178">
      <c r="A2178" s="5" t="str">
        <f t="array" ref="A2178">INDEX(event_table!$A$2:$A$69, RANDBETWEEN(1, COUNTA(event_table!$A$2:$A$69)))</f>
        <v>3657</v>
      </c>
      <c r="B2178" s="6">
        <f t="array" ref="B2178">IFERROR(INDEX(event_table!$E$1:$E3686,MATCH(A2178,event_table!$A$1:$A3686,0)),"")
</f>
        <v>6</v>
      </c>
      <c r="C2178" s="7">
        <f t="shared" si="1"/>
        <v>137</v>
      </c>
      <c r="D2178" s="6" t="str">
        <f t="array" ref="D2178">IFERROR(INDEX(user_table!$C$2:$C3686,MATCH(C2178,user_table!$B$2:$B3686,0)),"")
</f>
        <v>Dina Pratama</v>
      </c>
      <c r="E2178" s="6" t="str">
        <f t="array" ref="E2178">IFERROR(INDEX(user_table!$E$2:$E3686,MATCH(C2178,user_table!$B$2:$B3686,0)),"")
</f>
        <v>4, 4</v>
      </c>
      <c r="F2178" s="6" t="str">
        <f t="shared" si="2"/>
        <v>365756137</v>
      </c>
      <c r="G2178" s="16">
        <v>5.0</v>
      </c>
      <c r="H2178" s="17">
        <v>44697.0</v>
      </c>
      <c r="I2178" s="18" t="s">
        <v>2143</v>
      </c>
    </row>
    <row r="2179">
      <c r="A2179" s="5" t="str">
        <f t="array" ref="A2179">INDEX(event_table!$A$2:$A$69, RANDBETWEEN(1, COUNTA(event_table!$A$2:$A$69)))</f>
        <v>1652</v>
      </c>
      <c r="B2179" s="6">
        <f t="array" ref="B2179">IFERROR(INDEX(event_table!$E$1:$E3686,MATCH(A2179,event_table!$A$1:$A3686,0)),"")
</f>
        <v>6</v>
      </c>
      <c r="C2179" s="7">
        <f t="shared" si="1"/>
        <v>190</v>
      </c>
      <c r="D2179" s="6" t="str">
        <f t="array" ref="D2179">IFERROR(INDEX(user_table!$C$2:$C3686,MATCH(C2179,user_table!$B$2:$B3686,0)),"")
</f>
        <v>Fajar Santoso</v>
      </c>
      <c r="E2179" s="6" t="str">
        <f t="array" ref="E2179">IFERROR(INDEX(user_table!$E$2:$E3686,MATCH(C2179,user_table!$B$2:$B3686,0)),"")
</f>
        <v>1, 3</v>
      </c>
      <c r="F2179" s="6" t="str">
        <f t="shared" si="2"/>
        <v>165256190</v>
      </c>
      <c r="G2179" s="16">
        <v>5.0</v>
      </c>
      <c r="H2179" s="17">
        <v>44696.0</v>
      </c>
      <c r="I2179" s="18" t="s">
        <v>2144</v>
      </c>
    </row>
    <row r="2180">
      <c r="A2180" s="5" t="str">
        <f t="array" ref="A2180">INDEX(event_table!$A$2:$A$69, RANDBETWEEN(1, COUNTA(event_table!$A$2:$A$69)))</f>
        <v>1530</v>
      </c>
      <c r="B2180" s="6">
        <f t="array" ref="B2180">IFERROR(INDEX(event_table!$E$1:$E3686,MATCH(A2180,event_table!$A$1:$A3686,0)),"")
</f>
        <v>5</v>
      </c>
      <c r="C2180" s="7">
        <f t="shared" si="1"/>
        <v>52</v>
      </c>
      <c r="D2180" s="6" t="str">
        <f t="array" ref="D2180">IFERROR(INDEX(user_table!$C$2:$C3686,MATCH(C2180,user_table!$B$2:$B3686,0)),"")
</f>
        <v>Ani Nurhayati</v>
      </c>
      <c r="E2180" s="6" t="str">
        <f t="array" ref="E2180">IFERROR(INDEX(user_table!$E$2:$E3686,MATCH(C2180,user_table!$B$2:$B3686,0)),"")
</f>
        <v>2, 2</v>
      </c>
      <c r="F2180" s="6" t="str">
        <f t="shared" si="2"/>
        <v>15304552</v>
      </c>
      <c r="G2180" s="16">
        <v>4.0</v>
      </c>
      <c r="H2180" s="17">
        <v>45103.0</v>
      </c>
      <c r="I2180" s="18" t="s">
        <v>2145</v>
      </c>
    </row>
    <row r="2181">
      <c r="A2181" s="5" t="str">
        <f t="array" ref="A2181">INDEX(event_table!$A$2:$A$69, RANDBETWEEN(1, COUNTA(event_table!$A$2:$A$69)))</f>
        <v>3658</v>
      </c>
      <c r="B2181" s="6">
        <f t="array" ref="B2181">IFERROR(INDEX(event_table!$E$1:$E3686,MATCH(A2181,event_table!$A$1:$A3686,0)),"")
</f>
        <v>6</v>
      </c>
      <c r="C2181" s="7">
        <f t="shared" si="1"/>
        <v>115</v>
      </c>
      <c r="D2181" s="6" t="str">
        <f t="array" ref="D2181">IFERROR(INDEX(user_table!$C$2:$C3686,MATCH(C2181,user_table!$B$2:$B3686,0)),"")
</f>
        <v>Dewi Septiani</v>
      </c>
      <c r="E2181" s="6" t="str">
        <f t="array" ref="E2181">IFERROR(INDEX(user_table!$E$2:$E3686,MATCH(C2181,user_table!$B$2:$B3686,0)),"")
</f>
        <v>6, 3</v>
      </c>
      <c r="F2181" s="6" t="str">
        <f t="shared" si="2"/>
        <v>365846115</v>
      </c>
      <c r="G2181" s="16">
        <v>4.0</v>
      </c>
      <c r="H2181" s="17">
        <v>44776.0</v>
      </c>
      <c r="I2181" s="18" t="s">
        <v>2146</v>
      </c>
    </row>
    <row r="2182">
      <c r="A2182" s="5" t="str">
        <f t="array" ref="A2182">INDEX(event_table!$A$2:$A$69, RANDBETWEEN(1, COUNTA(event_table!$A$2:$A$69)))</f>
        <v>3657</v>
      </c>
      <c r="B2182" s="6">
        <f t="array" ref="B2182">IFERROR(INDEX(event_table!$E$1:$E3686,MATCH(A2182,event_table!$A$1:$A3686,0)),"")
</f>
        <v>6</v>
      </c>
      <c r="C2182" s="7">
        <f t="shared" si="1"/>
        <v>158</v>
      </c>
      <c r="D2182" s="6" t="str">
        <f t="array" ref="D2182">IFERROR(INDEX(user_table!$C$2:$C3686,MATCH(C2182,user_table!$B$2:$B3686,0)),"")
</f>
        <v>Maya Wijaya</v>
      </c>
      <c r="E2182" s="6" t="str">
        <f t="array" ref="E2182">IFERROR(INDEX(user_table!$E$2:$E3686,MATCH(C2182,user_table!$B$2:$B3686,0)),"")
</f>
        <v>3, 4</v>
      </c>
      <c r="F2182" s="6" t="str">
        <f t="shared" si="2"/>
        <v>365746158</v>
      </c>
      <c r="G2182" s="16">
        <v>4.0</v>
      </c>
      <c r="H2182" s="17">
        <v>44746.0</v>
      </c>
      <c r="I2182" s="18" t="s">
        <v>2147</v>
      </c>
    </row>
    <row r="2183">
      <c r="A2183" s="5" t="str">
        <f t="array" ref="A2183">INDEX(event_table!$A$2:$A$69, RANDBETWEEN(1, COUNTA(event_table!$A$2:$A$69)))</f>
        <v>1638</v>
      </c>
      <c r="B2183" s="6">
        <f t="array" ref="B2183">IFERROR(INDEX(event_table!$E$1:$E3686,MATCH(A2183,event_table!$A$1:$A3686,0)),"")
</f>
        <v>6</v>
      </c>
      <c r="C2183" s="7">
        <f t="shared" si="1"/>
        <v>187</v>
      </c>
      <c r="D2183" s="6" t="str">
        <f t="array" ref="D2183">IFERROR(INDEX(user_table!$C$2:$C3686,MATCH(C2183,user_table!$B$2:$B3686,0)),"")
</f>
        <v>Bambang Saputra</v>
      </c>
      <c r="E2183" s="6" t="str">
        <f t="array" ref="E2183">IFERROR(INDEX(user_table!$E$2:$E3686,MATCH(C2183,user_table!$B$2:$B3686,0)),"")
</f>
        <v>3, 1</v>
      </c>
      <c r="F2183" s="6" t="str">
        <f t="shared" si="2"/>
        <v>163846187</v>
      </c>
      <c r="G2183" s="16">
        <v>4.0</v>
      </c>
      <c r="H2183" s="17">
        <v>44868.0</v>
      </c>
      <c r="I2183" s="18" t="s">
        <v>2148</v>
      </c>
    </row>
    <row r="2184">
      <c r="A2184" s="5" t="str">
        <f t="array" ref="A2184">INDEX(event_table!$A$2:$A$69, RANDBETWEEN(1, COUNTA(event_table!$A$2:$A$69)))</f>
        <v>1422</v>
      </c>
      <c r="B2184" s="6">
        <f t="array" ref="B2184">IFERROR(INDEX(event_table!$E$1:$E3686,MATCH(A2184,event_table!$A$1:$A3686,0)),"")
</f>
        <v>4</v>
      </c>
      <c r="C2184" s="7">
        <f t="shared" si="1"/>
        <v>178</v>
      </c>
      <c r="D2184" s="6" t="str">
        <f t="array" ref="D2184">IFERROR(INDEX(user_table!$C$2:$C3686,MATCH(C2184,user_table!$B$2:$B3686,0)),"")
</f>
        <v>Dewi Hidayat</v>
      </c>
      <c r="E2184" s="6" t="str">
        <f t="array" ref="E2184">IFERROR(INDEX(user_table!$E$2:$E3686,MATCH(C2184,user_table!$B$2:$B3686,0)),"")
</f>
        <v>3, 2</v>
      </c>
      <c r="F2184" s="6" t="str">
        <f t="shared" si="2"/>
        <v>142244178</v>
      </c>
      <c r="G2184" s="16">
        <v>4.0</v>
      </c>
      <c r="H2184" s="17">
        <v>44762.0</v>
      </c>
      <c r="I2184" s="18" t="s">
        <v>2149</v>
      </c>
    </row>
    <row r="2185">
      <c r="A2185" s="5" t="str">
        <f t="array" ref="A2185">INDEX(event_table!$A$2:$A$69, RANDBETWEEN(1, COUNTA(event_table!$A$2:$A$69)))</f>
        <v>1638</v>
      </c>
      <c r="B2185" s="6">
        <f t="array" ref="B2185">IFERROR(INDEX(event_table!$E$1:$E3686,MATCH(A2185,event_table!$A$1:$A3686,0)),"")
</f>
        <v>6</v>
      </c>
      <c r="C2185" s="7">
        <f t="shared" si="1"/>
        <v>44</v>
      </c>
      <c r="D2185" s="6" t="str">
        <f t="array" ref="D2185">IFERROR(INDEX(user_table!$C$2:$C3686,MATCH(C2185,user_table!$B$2:$B3686,0)),"")
</f>
        <v>Arif Sari</v>
      </c>
      <c r="E2185" s="6" t="str">
        <f t="array" ref="E2185">IFERROR(INDEX(user_table!$E$2:$E3686,MATCH(C2185,user_table!$B$2:$B3686,0)),"")
</f>
        <v>2, 4</v>
      </c>
      <c r="F2185" s="6" t="str">
        <f t="shared" si="2"/>
        <v>16384644</v>
      </c>
      <c r="G2185" s="16">
        <v>4.0</v>
      </c>
      <c r="H2185" s="17">
        <v>44696.0</v>
      </c>
      <c r="I2185" s="18" t="s">
        <v>2150</v>
      </c>
    </row>
    <row r="2186">
      <c r="A2186" s="5" t="str">
        <f t="array" ref="A2186">INDEX(event_table!$A$2:$A$69, RANDBETWEEN(1, COUNTA(event_table!$A$2:$A$69)))</f>
        <v>3658</v>
      </c>
      <c r="B2186" s="6">
        <f t="array" ref="B2186">IFERROR(INDEX(event_table!$E$1:$E3686,MATCH(A2186,event_table!$A$1:$A3686,0)),"")
</f>
        <v>6</v>
      </c>
      <c r="C2186" s="7">
        <f t="shared" si="1"/>
        <v>106</v>
      </c>
      <c r="D2186" s="6" t="str">
        <f t="array" ref="D2186">IFERROR(INDEX(user_table!$C$2:$C3686,MATCH(C2186,user_table!$B$2:$B3686,0)),"")
</f>
        <v>Budi Hidayat</v>
      </c>
      <c r="E2186" s="6" t="str">
        <f t="array" ref="E2186">IFERROR(INDEX(user_table!$E$2:$E3686,MATCH(C2186,user_table!$B$2:$B3686,0)),"")
</f>
        <v>2, 6</v>
      </c>
      <c r="F2186" s="6" t="str">
        <f t="shared" si="2"/>
        <v>365846106</v>
      </c>
      <c r="G2186" s="16">
        <v>4.0</v>
      </c>
      <c r="H2186" s="17">
        <v>44692.0</v>
      </c>
      <c r="I2186" s="18" t="s">
        <v>2151</v>
      </c>
    </row>
    <row r="2187">
      <c r="A2187" s="5" t="str">
        <f t="array" ref="A2187">INDEX(event_table!$A$2:$A$69, RANDBETWEEN(1, COUNTA(event_table!$A$2:$A$69)))</f>
        <v>1313</v>
      </c>
      <c r="B2187" s="6">
        <f t="array" ref="B2187">IFERROR(INDEX(event_table!$E$1:$E3686,MATCH(A2187,event_table!$A$1:$A3686,0)),"")
</f>
        <v>3</v>
      </c>
      <c r="C2187" s="7">
        <f t="shared" si="1"/>
        <v>43</v>
      </c>
      <c r="D2187" s="6" t="str">
        <f t="array" ref="D2187">IFERROR(INDEX(user_table!$C$2:$C3686,MATCH(C2187,user_table!$B$2:$B3686,0)),"")
</f>
        <v>Lina Putri</v>
      </c>
      <c r="E2187" s="6" t="str">
        <f t="array" ref="E2187">IFERROR(INDEX(user_table!$E$2:$E3686,MATCH(C2187,user_table!$B$2:$B3686,0)),"")
</f>
        <v>1, 6</v>
      </c>
      <c r="F2187" s="6" t="str">
        <f t="shared" si="2"/>
        <v>13134343</v>
      </c>
      <c r="G2187" s="16">
        <v>4.0</v>
      </c>
      <c r="H2187" s="17">
        <v>45205.0</v>
      </c>
      <c r="I2187" s="18" t="s">
        <v>2152</v>
      </c>
    </row>
    <row r="2188">
      <c r="A2188" s="5" t="str">
        <f t="array" ref="A2188">INDEX(event_table!$A$2:$A$69, RANDBETWEEN(1, COUNTA(event_table!$A$2:$A$69)))</f>
        <v>122</v>
      </c>
      <c r="B2188" s="6">
        <f t="array" ref="B2188">IFERROR(INDEX(event_table!$E$1:$E3686,MATCH(A2188,event_table!$A$1:$A3686,0)),"")
</f>
        <v>2</v>
      </c>
      <c r="C2188" s="7">
        <f t="shared" si="1"/>
        <v>176</v>
      </c>
      <c r="D2188" s="6" t="str">
        <f t="array" ref="D2188">IFERROR(INDEX(user_table!$C$2:$C3686,MATCH(C2188,user_table!$B$2:$B3686,0)),"")
</f>
        <v>Ani Hartono</v>
      </c>
      <c r="E2188" s="6" t="str">
        <f t="array" ref="E2188">IFERROR(INDEX(user_table!$E$2:$E3686,MATCH(C2188,user_table!$B$2:$B3686,0)),"")
</f>
        <v>2, 3</v>
      </c>
      <c r="F2188" s="6" t="str">
        <f t="shared" si="2"/>
        <v>12242176</v>
      </c>
      <c r="G2188" s="16">
        <v>4.0</v>
      </c>
      <c r="H2188" s="17">
        <v>45160.0</v>
      </c>
      <c r="I2188" s="18" t="s">
        <v>2153</v>
      </c>
    </row>
    <row r="2189">
      <c r="A2189" s="5" t="str">
        <f t="array" ref="A2189">INDEX(event_table!$A$2:$A$69, RANDBETWEEN(1, COUNTA(event_table!$A$2:$A$69)))</f>
        <v>1110</v>
      </c>
      <c r="B2189" s="6">
        <f t="array" ref="B2189">IFERROR(INDEX(event_table!$E$1:$E3686,MATCH(A2189,event_table!$A$1:$A3686,0)),"")
</f>
        <v>1</v>
      </c>
      <c r="C2189" s="7">
        <f t="shared" si="1"/>
        <v>16</v>
      </c>
      <c r="D2189" s="6" t="str">
        <f t="array" ref="D2189">IFERROR(INDEX(user_table!$C$2:$C3686,MATCH(C2189,user_table!$B$2:$B3686,0)),"")
</f>
        <v>Siti Utami</v>
      </c>
      <c r="E2189" s="6" t="str">
        <f t="array" ref="E2189">IFERROR(INDEX(user_table!$E$2:$E3686,MATCH(C2189,user_table!$B$2:$B3686,0)),"")
</f>
        <v>1, 2</v>
      </c>
      <c r="F2189" s="6" t="str">
        <f t="shared" si="2"/>
        <v>11104116</v>
      </c>
      <c r="G2189" s="16">
        <v>4.0</v>
      </c>
      <c r="H2189" s="17">
        <v>44736.0</v>
      </c>
      <c r="I2189" s="18" t="s">
        <v>2154</v>
      </c>
    </row>
    <row r="2190">
      <c r="A2190" s="5" t="str">
        <f t="array" ref="A2190">INDEX(event_table!$A$2:$A$69, RANDBETWEEN(1, COUNTA(event_table!$A$2:$A$69)))</f>
        <v>1526</v>
      </c>
      <c r="B2190" s="6">
        <f t="array" ref="B2190">IFERROR(INDEX(event_table!$E$1:$E3686,MATCH(A2190,event_table!$A$1:$A3686,0)),"")
</f>
        <v>5</v>
      </c>
      <c r="C2190" s="7">
        <f t="shared" si="1"/>
        <v>10</v>
      </c>
      <c r="D2190" s="6" t="str">
        <f t="array" ref="D2190">IFERROR(INDEX(user_table!$C$2:$C3686,MATCH(C2190,user_table!$B$2:$B3686,0)),"")
</f>
        <v>Dina Susanto</v>
      </c>
      <c r="E2190" s="6" t="str">
        <f t="array" ref="E2190">IFERROR(INDEX(user_table!$E$2:$E3686,MATCH(C2190,user_table!$B$2:$B3686,0)),"")
</f>
        <v>4, 5</v>
      </c>
      <c r="F2190" s="6" t="str">
        <f t="shared" si="2"/>
        <v>15264510</v>
      </c>
      <c r="G2190" s="16">
        <v>4.0</v>
      </c>
      <c r="H2190" s="17">
        <v>44712.0</v>
      </c>
      <c r="I2190" s="18" t="s">
        <v>2155</v>
      </c>
    </row>
    <row r="2191">
      <c r="A2191" s="5" t="str">
        <f t="array" ref="A2191">INDEX(event_table!$A$2:$A$69, RANDBETWEEN(1, COUNTA(event_table!$A$2:$A$69)))</f>
        <v>1422</v>
      </c>
      <c r="B2191" s="6">
        <f t="array" ref="B2191">IFERROR(INDEX(event_table!$E$1:$E3686,MATCH(A2191,event_table!$A$1:$A3686,0)),"")
</f>
        <v>4</v>
      </c>
      <c r="C2191" s="7">
        <f t="shared" si="1"/>
        <v>76</v>
      </c>
      <c r="D2191" s="6" t="str">
        <f t="array" ref="D2191">IFERROR(INDEX(user_table!$C$2:$C3686,MATCH(C2191,user_table!$B$2:$B3686,0)),"")
</f>
        <v>Sinta Hidayat</v>
      </c>
      <c r="E2191" s="6" t="str">
        <f t="array" ref="E2191">IFERROR(INDEX(user_table!$E$2:$E3686,MATCH(C2191,user_table!$B$2:$B3686,0)),"")
</f>
        <v>3, 2</v>
      </c>
      <c r="F2191" s="6" t="str">
        <f t="shared" si="2"/>
        <v>14223476</v>
      </c>
      <c r="G2191" s="16">
        <v>3.0</v>
      </c>
      <c r="H2191" s="17">
        <v>45019.0</v>
      </c>
      <c r="I2191" s="18" t="s">
        <v>2156</v>
      </c>
    </row>
    <row r="2192">
      <c r="A2192" s="5" t="str">
        <f t="array" ref="A2192">INDEX(event_table!$A$2:$A$69, RANDBETWEEN(1, COUNTA(event_table!$A$2:$A$69)))</f>
        <v>1110</v>
      </c>
      <c r="B2192" s="6">
        <f t="array" ref="B2192">IFERROR(INDEX(event_table!$E$1:$E3686,MATCH(A2192,event_table!$A$1:$A3686,0)),"")
</f>
        <v>1</v>
      </c>
      <c r="C2192" s="7">
        <f t="shared" si="1"/>
        <v>33</v>
      </c>
      <c r="D2192" s="6" t="str">
        <f t="array" ref="D2192">IFERROR(INDEX(user_table!$C$2:$C3686,MATCH(C2192,user_table!$B$2:$B3686,0)),"")
</f>
        <v>Dewi Wijaya</v>
      </c>
      <c r="E2192" s="6" t="str">
        <f t="array" ref="E2192">IFERROR(INDEX(user_table!$E$2:$E3686,MATCH(C2192,user_table!$B$2:$B3686,0)),"")
</f>
        <v>4, 2</v>
      </c>
      <c r="F2192" s="6" t="str">
        <f t="shared" si="2"/>
        <v>11103133</v>
      </c>
      <c r="G2192" s="16">
        <v>3.0</v>
      </c>
      <c r="H2192" s="17">
        <v>45251.0</v>
      </c>
      <c r="I2192" s="18" t="s">
        <v>2157</v>
      </c>
    </row>
    <row r="2193">
      <c r="A2193" s="5" t="str">
        <f t="array" ref="A2193">INDEX(event_table!$A$2:$A$69, RANDBETWEEN(1, COUNTA(event_table!$A$2:$A$69)))</f>
        <v>1114</v>
      </c>
      <c r="B2193" s="6">
        <f t="array" ref="B2193">IFERROR(INDEX(event_table!$E$1:$E3686,MATCH(A2193,event_table!$A$1:$A3686,0)),"")
</f>
        <v>1</v>
      </c>
      <c r="C2193" s="7">
        <f t="shared" si="1"/>
        <v>135</v>
      </c>
      <c r="D2193" s="6" t="str">
        <f t="array" ref="D2193">IFERROR(INDEX(user_table!$C$2:$C3686,MATCH(C2193,user_table!$B$2:$B3686,0)),"")
</f>
        <v>Sinta Hermawan</v>
      </c>
      <c r="E2193" s="6" t="str">
        <f t="array" ref="E2193">IFERROR(INDEX(user_table!$E$2:$E3686,MATCH(C2193,user_table!$B$2:$B3686,0)),"")
</f>
        <v>1, 5</v>
      </c>
      <c r="F2193" s="6" t="str">
        <f t="shared" si="2"/>
        <v>111431135</v>
      </c>
      <c r="G2193" s="16">
        <v>3.0</v>
      </c>
      <c r="H2193" s="17">
        <v>45179.0</v>
      </c>
      <c r="I2193" s="18" t="s">
        <v>2158</v>
      </c>
    </row>
    <row r="2194">
      <c r="A2194" s="5" t="str">
        <f t="array" ref="A2194">INDEX(event_table!$A$2:$A$69, RANDBETWEEN(1, COUNTA(event_table!$A$2:$A$69)))</f>
        <v>1651</v>
      </c>
      <c r="B2194" s="6">
        <f t="array" ref="B2194">IFERROR(INDEX(event_table!$E$1:$E3686,MATCH(A2194,event_table!$A$1:$A3686,0)),"")
</f>
        <v>6</v>
      </c>
      <c r="C2194" s="7">
        <f t="shared" si="1"/>
        <v>168</v>
      </c>
      <c r="D2194" s="6" t="str">
        <f t="array" ref="D2194">IFERROR(INDEX(user_table!$C$2:$C3686,MATCH(C2194,user_table!$B$2:$B3686,0)),"")
</f>
        <v>Lina Kurniawan</v>
      </c>
      <c r="E2194" s="6" t="str">
        <f t="array" ref="E2194">IFERROR(INDEX(user_table!$E$2:$E3686,MATCH(C2194,user_table!$B$2:$B3686,0)),"")
</f>
        <v>2, 2</v>
      </c>
      <c r="F2194" s="6" t="str">
        <f t="shared" si="2"/>
        <v>165136168</v>
      </c>
      <c r="G2194" s="16">
        <v>3.0</v>
      </c>
      <c r="H2194" s="17">
        <v>45108.0</v>
      </c>
      <c r="I2194" s="18" t="s">
        <v>2159</v>
      </c>
    </row>
    <row r="2195">
      <c r="A2195" s="5" t="str">
        <f t="array" ref="A2195">INDEX(event_table!$A$2:$A$69, RANDBETWEEN(1, COUNTA(event_table!$A$2:$A$69)))</f>
        <v>1647</v>
      </c>
      <c r="B2195" s="6">
        <f t="array" ref="B2195">IFERROR(INDEX(event_table!$E$1:$E3686,MATCH(A2195,event_table!$A$1:$A3686,0)),"")
</f>
        <v>6</v>
      </c>
      <c r="C2195" s="7">
        <f t="shared" si="1"/>
        <v>116</v>
      </c>
      <c r="D2195" s="6" t="str">
        <f t="array" ref="D2195">IFERROR(INDEX(user_table!$C$2:$C3686,MATCH(C2195,user_table!$B$2:$B3686,0)),"")
</f>
        <v>Fandi Hartono</v>
      </c>
      <c r="E2195" s="6" t="str">
        <f t="array" ref="E2195">IFERROR(INDEX(user_table!$E$2:$E3686,MATCH(C2195,user_table!$B$2:$B3686,0)),"")
</f>
        <v>2, 1</v>
      </c>
      <c r="F2195" s="6" t="str">
        <f t="shared" si="2"/>
        <v>164726116</v>
      </c>
      <c r="G2195" s="16">
        <v>2.0</v>
      </c>
      <c r="H2195" s="17">
        <v>44739.0</v>
      </c>
      <c r="I2195" s="18" t="s">
        <v>2160</v>
      </c>
    </row>
    <row r="2196">
      <c r="A2196" s="5" t="str">
        <f t="array" ref="A2196">INDEX(event_table!$A$2:$A$69, RANDBETWEEN(1, COUNTA(event_table!$A$2:$A$69)))</f>
        <v>1425</v>
      </c>
      <c r="B2196" s="6">
        <f t="array" ref="B2196">IFERROR(INDEX(event_table!$E$1:$E3686,MATCH(A2196,event_table!$A$1:$A3686,0)),"")
</f>
        <v>4</v>
      </c>
      <c r="C2196" s="7">
        <f t="shared" si="1"/>
        <v>3</v>
      </c>
      <c r="D2196" s="6" t="str">
        <f t="array" ref="D2196">IFERROR(INDEX(user_table!$C$2:$C3686,MATCH(C2196,user_table!$B$2:$B3686,0)),"")
</f>
        <v>Fandi Wijaya</v>
      </c>
      <c r="E2196" s="6" t="str">
        <f t="array" ref="E2196">IFERROR(INDEX(user_table!$E$2:$E3686,MATCH(C2196,user_table!$B$2:$B3686,0)),"")
</f>
        <v>6, 1</v>
      </c>
      <c r="F2196" s="6" t="str">
        <f t="shared" si="2"/>
        <v>1425243</v>
      </c>
      <c r="G2196" s="16">
        <v>2.0</v>
      </c>
      <c r="H2196" s="17">
        <v>45037.0</v>
      </c>
      <c r="I2196" s="18" t="s">
        <v>2161</v>
      </c>
    </row>
    <row r="2197">
      <c r="A2197" s="5" t="str">
        <f t="array" ref="A2197">INDEX(event_table!$A$2:$A$69, RANDBETWEEN(1, COUNTA(event_table!$A$2:$A$69)))</f>
        <v>1651</v>
      </c>
      <c r="B2197" s="6">
        <f t="array" ref="B2197">IFERROR(INDEX(event_table!$E$1:$E3686,MATCH(A2197,event_table!$A$1:$A3686,0)),"")
</f>
        <v>6</v>
      </c>
      <c r="C2197" s="7">
        <f t="shared" si="1"/>
        <v>24</v>
      </c>
      <c r="D2197" s="6" t="str">
        <f t="array" ref="D2197">IFERROR(INDEX(user_table!$C$2:$C3686,MATCH(C2197,user_table!$B$2:$B3686,0)),"")
</f>
        <v>Andi Septiani</v>
      </c>
      <c r="E2197" s="6" t="str">
        <f t="array" ref="E2197">IFERROR(INDEX(user_table!$E$2:$E3686,MATCH(C2197,user_table!$B$2:$B3686,0)),"")
</f>
        <v>2, 2</v>
      </c>
      <c r="F2197" s="6" t="str">
        <f t="shared" si="2"/>
        <v>16512624</v>
      </c>
      <c r="G2197" s="16">
        <v>2.0</v>
      </c>
      <c r="H2197" s="17">
        <v>44714.0</v>
      </c>
      <c r="I2197" s="18" t="s">
        <v>2162</v>
      </c>
    </row>
    <row r="2198">
      <c r="A2198" s="5" t="str">
        <f t="array" ref="A2198">INDEX(event_table!$A$2:$A$69, RANDBETWEEN(1, COUNTA(event_table!$A$2:$A$69)))</f>
        <v>122</v>
      </c>
      <c r="B2198" s="6">
        <f t="array" ref="B2198">IFERROR(INDEX(event_table!$E$1:$E3686,MATCH(A2198,event_table!$A$1:$A3686,0)),"")
</f>
        <v>2</v>
      </c>
      <c r="C2198" s="7">
        <f t="shared" si="1"/>
        <v>56</v>
      </c>
      <c r="D2198" s="6" t="str">
        <f t="array" ref="D2198">IFERROR(INDEX(user_table!$C$2:$C3686,MATCH(C2198,user_table!$B$2:$B3686,0)),"")
</f>
        <v>Desi Putri</v>
      </c>
      <c r="E2198" s="6" t="str">
        <f t="array" ref="E2198">IFERROR(INDEX(user_table!$E$2:$E3686,MATCH(C2198,user_table!$B$2:$B3686,0)),"")
</f>
        <v>1, 3</v>
      </c>
      <c r="F2198" s="6" t="str">
        <f t="shared" si="2"/>
        <v>1222256</v>
      </c>
      <c r="G2198" s="16">
        <v>2.0</v>
      </c>
      <c r="H2198" s="17">
        <v>44543.0</v>
      </c>
      <c r="I2198" s="18" t="s">
        <v>2163</v>
      </c>
    </row>
    <row r="2199">
      <c r="A2199" s="5" t="str">
        <f t="array" ref="A2199">INDEX(event_table!$A$2:$A$69, RANDBETWEEN(1, COUNTA(event_table!$A$2:$A$69)))</f>
        <v>3165</v>
      </c>
      <c r="B2199" s="6">
        <f t="array" ref="B2199">IFERROR(INDEX(event_table!$E$1:$E3686,MATCH(A2199,event_table!$A$1:$A3686,0)),"")
</f>
        <v>1</v>
      </c>
      <c r="C2199" s="7">
        <f t="shared" si="1"/>
        <v>173</v>
      </c>
      <c r="D2199" s="6" t="str">
        <f t="array" ref="D2199">IFERROR(INDEX(user_table!$C$2:$C3686,MATCH(C2199,user_table!$B$2:$B3686,0)),"")
</f>
        <v>Fajar Putri</v>
      </c>
      <c r="E2199" s="6" t="str">
        <f t="array" ref="E2199">IFERROR(INDEX(user_table!$E$2:$E3686,MATCH(C2199,user_table!$B$2:$B3686,0)),"")
</f>
        <v>2, 6</v>
      </c>
      <c r="F2199" s="6" t="str">
        <f t="shared" si="2"/>
        <v>316521173</v>
      </c>
      <c r="G2199" s="16">
        <v>2.0</v>
      </c>
      <c r="H2199" s="17">
        <v>45154.0</v>
      </c>
      <c r="I2199" s="18" t="s">
        <v>2164</v>
      </c>
    </row>
    <row r="2200">
      <c r="A2200" s="5" t="str">
        <f t="array" ref="A2200">INDEX(event_table!$A$2:$A$69, RANDBETWEEN(1, COUNTA(event_table!$A$2:$A$69)))</f>
        <v>3167</v>
      </c>
      <c r="B2200" s="6">
        <f t="array" ref="B2200">IFERROR(INDEX(event_table!$E$1:$E3686,MATCH(A2200,event_table!$A$1:$A3686,0)),"")
</f>
        <v>1</v>
      </c>
      <c r="C2200" s="7">
        <f t="shared" si="1"/>
        <v>35</v>
      </c>
      <c r="D2200" s="6" t="str">
        <f t="array" ref="D2200">IFERROR(INDEX(user_table!$C$2:$C3686,MATCH(C2200,user_table!$B$2:$B3686,0)),"")
</f>
        <v>Maya Nugroho</v>
      </c>
      <c r="E2200" s="6" t="str">
        <f t="array" ref="E2200">IFERROR(INDEX(user_table!$E$2:$E3686,MATCH(C2200,user_table!$B$2:$B3686,0)),"")
</f>
        <v>6, 2</v>
      </c>
      <c r="F2200" s="6" t="str">
        <f t="shared" si="2"/>
        <v>31672135</v>
      </c>
      <c r="G2200" s="16">
        <v>2.0</v>
      </c>
      <c r="H2200" s="17">
        <v>45147.0</v>
      </c>
      <c r="I2200" s="18" t="s">
        <v>2165</v>
      </c>
    </row>
    <row r="2201">
      <c r="A2201" s="5" t="str">
        <f t="array" ref="A2201">INDEX(event_table!$A$2:$A$69, RANDBETWEEN(1, COUNTA(event_table!$A$2:$A$69)))</f>
        <v>1531</v>
      </c>
      <c r="B2201" s="6">
        <f t="array" ref="B2201">IFERROR(INDEX(event_table!$E$1:$E3686,MATCH(A2201,event_table!$A$1:$A3686,0)),"")
</f>
        <v>5</v>
      </c>
      <c r="C2201" s="7">
        <f t="shared" si="1"/>
        <v>137</v>
      </c>
      <c r="D2201" s="6" t="str">
        <f t="array" ref="D2201">IFERROR(INDEX(user_table!$C$2:$C3686,MATCH(C2201,user_table!$B$2:$B3686,0)),"")
</f>
        <v>Dina Pratama</v>
      </c>
      <c r="E2201" s="6" t="str">
        <f t="array" ref="E2201">IFERROR(INDEX(user_table!$E$2:$E3686,MATCH(C2201,user_table!$B$2:$B3686,0)),"")
</f>
        <v>4, 4</v>
      </c>
      <c r="F2201" s="6" t="str">
        <f t="shared" si="2"/>
        <v>153115137</v>
      </c>
      <c r="G2201" s="16">
        <v>1.0</v>
      </c>
      <c r="H2201" s="17">
        <v>45266.0</v>
      </c>
      <c r="I2201" s="18" t="s">
        <v>2166</v>
      </c>
    </row>
    <row r="2202">
      <c r="A2202" s="5" t="str">
        <f t="array" ref="A2202">INDEX(event_table!$A$2:$A$69, RANDBETWEEN(1, COUNTA(event_table!$A$2:$A$69)))</f>
        <v>3167</v>
      </c>
      <c r="B2202" s="6">
        <f t="array" ref="B2202">IFERROR(INDEX(event_table!$E$1:$E3686,MATCH(A2202,event_table!$A$1:$A3686,0)),"")
</f>
        <v>1</v>
      </c>
      <c r="C2202" s="7">
        <f t="shared" si="1"/>
        <v>116</v>
      </c>
      <c r="D2202" s="6" t="str">
        <f t="array" ref="D2202">IFERROR(INDEX(user_table!$C$2:$C3686,MATCH(C2202,user_table!$B$2:$B3686,0)),"")
</f>
        <v>Fandi Hartono</v>
      </c>
      <c r="E2202" s="6" t="str">
        <f t="array" ref="E2202">IFERROR(INDEX(user_table!$E$2:$E3686,MATCH(C2202,user_table!$B$2:$B3686,0)),"")
</f>
        <v>2, 1</v>
      </c>
      <c r="F2202" s="6" t="str">
        <f t="shared" si="2"/>
        <v>316711116</v>
      </c>
      <c r="G2202" s="16">
        <v>1.0</v>
      </c>
      <c r="H2202" s="17">
        <v>45196.0</v>
      </c>
      <c r="I2202" s="18" t="s">
        <v>2167</v>
      </c>
    </row>
    <row r="2203">
      <c r="A2203" s="5" t="str">
        <f t="array" ref="A2203">INDEX(event_table!$A$2:$A$69, RANDBETWEEN(1, COUNTA(event_table!$A$2:$A$69)))</f>
        <v>115</v>
      </c>
      <c r="B2203" s="6">
        <f t="array" ref="B2203">IFERROR(INDEX(event_table!$E$1:$E3686,MATCH(A2203,event_table!$A$1:$A3686,0)),"")
</f>
        <v>1</v>
      </c>
      <c r="C2203" s="7">
        <f t="shared" si="1"/>
        <v>114</v>
      </c>
      <c r="D2203" s="6" t="str">
        <f t="array" ref="D2203">IFERROR(INDEX(user_table!$C$2:$C3686,MATCH(C2203,user_table!$B$2:$B3686,0)),"")
</f>
        <v>Ani Sari</v>
      </c>
      <c r="E2203" s="6" t="str">
        <f t="array" ref="E2203">IFERROR(INDEX(user_table!$E$2:$E3686,MATCH(C2203,user_table!$B$2:$B3686,0)),"")
</f>
        <v>4, 3</v>
      </c>
      <c r="F2203" s="6" t="str">
        <f t="shared" si="2"/>
        <v>11511114</v>
      </c>
      <c r="G2203" s="16">
        <v>1.0</v>
      </c>
      <c r="H2203" s="17">
        <v>45266.0</v>
      </c>
      <c r="I2203" s="18" t="s">
        <v>2168</v>
      </c>
    </row>
    <row r="2204">
      <c r="A2204" s="5" t="str">
        <f t="array" ref="A2204">INDEX(event_table!$A$2:$A$69, RANDBETWEEN(1, COUNTA(event_table!$A$2:$A$69)))</f>
        <v>1422</v>
      </c>
      <c r="B2204" s="6">
        <f t="array" ref="B2204">IFERROR(INDEX(event_table!$E$1:$E3686,MATCH(A2204,event_table!$A$1:$A3686,0)),"")
</f>
        <v>4</v>
      </c>
      <c r="C2204" s="7">
        <f t="shared" si="1"/>
        <v>77</v>
      </c>
      <c r="D2204" s="6" t="str">
        <f t="array" ref="D2204">IFERROR(INDEX(user_table!$C$2:$C3686,MATCH(C2204,user_table!$B$2:$B3686,0)),"")
</f>
        <v>Desi Wijaya</v>
      </c>
      <c r="E2204" s="6" t="str">
        <f t="array" ref="E2204">IFERROR(INDEX(user_table!$E$2:$E3686,MATCH(C2204,user_table!$B$2:$B3686,0)),"")
</f>
        <v>3, 1</v>
      </c>
      <c r="F2204" s="6" t="str">
        <f t="shared" si="2"/>
        <v>14221477</v>
      </c>
      <c r="G2204" s="16">
        <v>1.0</v>
      </c>
      <c r="H2204" s="17">
        <v>45215.0</v>
      </c>
      <c r="I2204" s="18" t="s">
        <v>2169</v>
      </c>
    </row>
    <row r="2205">
      <c r="A2205" s="5" t="str">
        <f t="array" ref="A2205">INDEX(event_table!$A$2:$A$69, RANDBETWEEN(1, COUNTA(event_table!$A$2:$A$69)))</f>
        <v>1423</v>
      </c>
      <c r="B2205" s="6">
        <f t="array" ref="B2205">IFERROR(INDEX(event_table!$E$1:$E3686,MATCH(A2205,event_table!$A$1:$A3686,0)),"")
</f>
        <v>4</v>
      </c>
      <c r="C2205" s="7">
        <f t="shared" si="1"/>
        <v>180</v>
      </c>
      <c r="D2205" s="6" t="str">
        <f t="array" ref="D2205">IFERROR(INDEX(user_table!$C$2:$C3686,MATCH(C2205,user_table!$B$2:$B3686,0)),"")
</f>
        <v>Andi Susanto</v>
      </c>
      <c r="E2205" s="6" t="str">
        <f t="array" ref="E2205">IFERROR(INDEX(user_table!$E$2:$E3686,MATCH(C2205,user_table!$B$2:$B3686,0)),"")
</f>
        <v>6, 5</v>
      </c>
      <c r="F2205" s="6" t="str">
        <f t="shared" si="2"/>
        <v>142314180</v>
      </c>
      <c r="G2205" s="16">
        <v>1.0</v>
      </c>
      <c r="H2205" s="17">
        <v>45205.0</v>
      </c>
      <c r="I2205" s="18" t="s">
        <v>2170</v>
      </c>
    </row>
    <row r="2206">
      <c r="A2206" s="5" t="str">
        <f t="array" ref="A2206">INDEX(event_table!$A$2:$A$69, RANDBETWEEN(1, COUNTA(event_table!$A$2:$A$69)))</f>
        <v>1650</v>
      </c>
      <c r="B2206" s="6">
        <f t="array" ref="B2206">IFERROR(INDEX(event_table!$E$1:$E3686,MATCH(A2206,event_table!$A$1:$A3686,0)),"")
</f>
        <v>6</v>
      </c>
      <c r="C2206" s="7">
        <f t="shared" si="1"/>
        <v>184</v>
      </c>
      <c r="D2206" s="6" t="str">
        <f t="array" ref="D2206">IFERROR(INDEX(user_table!$C$2:$C3686,MATCH(C2206,user_table!$B$2:$B3686,0)),"")
</f>
        <v>Dewi Hadiwijaya</v>
      </c>
      <c r="E2206" s="6" t="str">
        <f t="array" ref="E2206">IFERROR(INDEX(user_table!$E$2:$E3686,MATCH(C2206,user_table!$B$2:$B3686,0)),"")
</f>
        <v>2, 1</v>
      </c>
      <c r="F2206" s="6" t="str">
        <f t="shared" si="2"/>
        <v>165016184</v>
      </c>
      <c r="G2206" s="16">
        <v>1.0</v>
      </c>
      <c r="H2206" s="17">
        <v>45150.0</v>
      </c>
      <c r="I2206" s="18" t="s">
        <v>2171</v>
      </c>
    </row>
    <row r="2207">
      <c r="A2207" s="5" t="str">
        <f t="array" ref="A2207">INDEX(event_table!$A$2:$A$69, RANDBETWEEN(1, COUNTA(event_table!$A$2:$A$69)))</f>
        <v>1637</v>
      </c>
      <c r="B2207" s="6">
        <f t="array" ref="B2207">IFERROR(INDEX(event_table!$E$1:$E3686,MATCH(A2207,event_table!$A$1:$A3686,0)),"")
</f>
        <v>6</v>
      </c>
      <c r="C2207" s="7">
        <f t="shared" si="1"/>
        <v>1</v>
      </c>
      <c r="D2207" s="6" t="str">
        <f t="array" ref="D2207">IFERROR(INDEX(user_table!$C$2:$C3686,MATCH(C2207,user_table!$B$2:$B3686,0)),"")
</f>
        <v>Maya Putri</v>
      </c>
      <c r="E2207" s="6" t="str">
        <f t="array" ref="E2207">IFERROR(INDEX(user_table!$E$2:$E3686,MATCH(C2207,user_table!$B$2:$B3686,0)),"")
</f>
        <v>5, 6</v>
      </c>
      <c r="F2207" s="6" t="str">
        <f t="shared" si="2"/>
        <v>1637161</v>
      </c>
      <c r="G2207" s="16">
        <v>1.0</v>
      </c>
      <c r="H2207" s="17">
        <v>45146.0</v>
      </c>
      <c r="I2207" s="18" t="s">
        <v>2172</v>
      </c>
    </row>
    <row r="2208">
      <c r="A2208" s="5" t="str">
        <f t="array" ref="A2208">INDEX(event_table!$A$2:$A$69, RANDBETWEEN(1, COUNTA(event_table!$A$2:$A$69)))</f>
        <v>3657</v>
      </c>
      <c r="B2208" s="6">
        <f t="array" ref="B2208">IFERROR(INDEX(event_table!$E$1:$E3686,MATCH(A2208,event_table!$A$1:$A3686,0)),"")
</f>
        <v>6</v>
      </c>
      <c r="C2208" s="7">
        <f t="shared" si="1"/>
        <v>71</v>
      </c>
      <c r="D2208" s="6" t="str">
        <f t="array" ref="D2208">IFERROR(INDEX(user_table!$C$2:$C3686,MATCH(C2208,user_table!$B$2:$B3686,0)),"")
</f>
        <v>Hadi Putri</v>
      </c>
      <c r="E2208" s="6" t="str">
        <f t="array" ref="E2208">IFERROR(INDEX(user_table!$E$2:$E3686,MATCH(C2208,user_table!$B$2:$B3686,0)),"")
</f>
        <v>3, 3</v>
      </c>
      <c r="F2208" s="6" t="str">
        <f t="shared" si="2"/>
        <v>36571671</v>
      </c>
      <c r="G2208" s="16">
        <v>1.0</v>
      </c>
      <c r="H2208" s="17">
        <v>45087.0</v>
      </c>
      <c r="I2208" s="18" t="s">
        <v>2173</v>
      </c>
    </row>
    <row r="2209">
      <c r="A2209" s="5" t="str">
        <f t="array" ref="A2209">INDEX(event_table!$A$2:$A$69, RANDBETWEEN(1, COUNTA(event_table!$A$2:$A$69)))</f>
        <v>1111</v>
      </c>
      <c r="B2209" s="6">
        <f t="array" ref="B2209">IFERROR(INDEX(event_table!$E$1:$E3686,MATCH(A2209,event_table!$A$1:$A3686,0)),"")
</f>
        <v>1</v>
      </c>
      <c r="C2209" s="7">
        <f t="shared" si="1"/>
        <v>130</v>
      </c>
      <c r="D2209" s="6" t="str">
        <f t="array" ref="D2209">IFERROR(INDEX(user_table!$C$2:$C3686,MATCH(C2209,user_table!$B$2:$B3686,0)),"")
</f>
        <v>Andi Putri</v>
      </c>
      <c r="E2209" s="6" t="str">
        <f t="array" ref="E2209">IFERROR(INDEX(user_table!$E$2:$E3686,MATCH(C2209,user_table!$B$2:$B3686,0)),"")
</f>
        <v>2, 3</v>
      </c>
      <c r="F2209" s="6" t="str">
        <f t="shared" si="2"/>
        <v>111111130</v>
      </c>
      <c r="G2209" s="16">
        <v>1.0</v>
      </c>
      <c r="H2209" s="17">
        <v>45053.0</v>
      </c>
      <c r="I2209" s="18" t="s">
        <v>2174</v>
      </c>
    </row>
    <row r="2210">
      <c r="A2210" s="5" t="str">
        <f t="array" ref="A2210">INDEX(event_table!$A$2:$A$69, RANDBETWEEN(1, COUNTA(event_table!$A$2:$A$69)))</f>
        <v>1643</v>
      </c>
      <c r="B2210" s="6">
        <f t="array" ref="B2210">IFERROR(INDEX(event_table!$E$1:$E3686,MATCH(A2210,event_table!$A$1:$A3686,0)),"")
</f>
        <v>6</v>
      </c>
      <c r="C2210" s="7">
        <f t="shared" si="1"/>
        <v>177</v>
      </c>
      <c r="D2210" s="6" t="str">
        <f t="array" ref="D2210">IFERROR(INDEX(user_table!$C$2:$C3686,MATCH(C2210,user_table!$B$2:$B3686,0)),"")
</f>
        <v>Andi Susanto</v>
      </c>
      <c r="E2210" s="6" t="str">
        <f t="array" ref="E2210">IFERROR(INDEX(user_table!$E$2:$E3686,MATCH(C2210,user_table!$B$2:$B3686,0)),"")
</f>
        <v>2, 6</v>
      </c>
      <c r="F2210" s="6" t="str">
        <f t="shared" si="2"/>
        <v>164316177</v>
      </c>
      <c r="G2210" s="16">
        <v>1.0</v>
      </c>
      <c r="H2210" s="17">
        <v>45044.0</v>
      </c>
      <c r="I2210" s="18" t="s">
        <v>2175</v>
      </c>
    </row>
    <row r="2211">
      <c r="A2211" s="5" t="str">
        <f t="array" ref="A2211">INDEX(event_table!$A$2:$A$69, RANDBETWEEN(1, COUNTA(event_table!$A$2:$A$69)))</f>
        <v>1212</v>
      </c>
      <c r="B2211" s="6">
        <f t="array" ref="B2211">IFERROR(INDEX(event_table!$E$1:$E3686,MATCH(A2211,event_table!$A$1:$A3686,0)),"")
</f>
        <v>2</v>
      </c>
      <c r="C2211" s="7">
        <f t="shared" si="1"/>
        <v>93</v>
      </c>
      <c r="D2211" s="6" t="str">
        <f t="array" ref="D2211">IFERROR(INDEX(user_table!$C$2:$C3686,MATCH(C2211,user_table!$B$2:$B3686,0)),"")
</f>
        <v>Hadi Putri</v>
      </c>
      <c r="E2211" s="6" t="str">
        <f t="array" ref="E2211">IFERROR(INDEX(user_table!$E$2:$E3686,MATCH(C2211,user_table!$B$2:$B3686,0)),"")
</f>
        <v>5, 6</v>
      </c>
      <c r="F2211" s="6" t="str">
        <f t="shared" si="2"/>
        <v>12121293</v>
      </c>
      <c r="G2211" s="16">
        <v>1.0</v>
      </c>
      <c r="H2211" s="17">
        <v>45028.0</v>
      </c>
      <c r="I2211" s="18" t="s">
        <v>2176</v>
      </c>
    </row>
    <row r="2212">
      <c r="A2212" s="5" t="str">
        <f t="array" ref="A2212">INDEX(event_table!$A$2:$A$69, RANDBETWEEN(1, COUNTA(event_table!$A$2:$A$69)))</f>
        <v>1417</v>
      </c>
      <c r="B2212" s="6">
        <f t="array" ref="B2212">IFERROR(INDEX(event_table!$E$1:$E3686,MATCH(A2212,event_table!$A$1:$A3686,0)),"")
</f>
        <v>4</v>
      </c>
      <c r="C2212" s="7">
        <f t="shared" si="1"/>
        <v>175</v>
      </c>
      <c r="D2212" s="6" t="str">
        <f t="array" ref="D2212">IFERROR(INDEX(user_table!$C$2:$C3686,MATCH(C2212,user_table!$B$2:$B3686,0)),"")
</f>
        <v>Siti Septiani</v>
      </c>
      <c r="E2212" s="6" t="str">
        <f t="array" ref="E2212">IFERROR(INDEX(user_table!$E$2:$E3686,MATCH(C2212,user_table!$B$2:$B3686,0)),"")
</f>
        <v>2, 5</v>
      </c>
      <c r="F2212" s="6" t="str">
        <f t="shared" si="2"/>
        <v>141714175</v>
      </c>
      <c r="G2212" s="16">
        <v>1.0</v>
      </c>
      <c r="H2212" s="17">
        <v>45021.0</v>
      </c>
      <c r="I2212" s="18" t="s">
        <v>2177</v>
      </c>
    </row>
    <row r="2213">
      <c r="A2213" s="5" t="str">
        <f t="array" ref="A2213">INDEX(event_table!$A$2:$A$69, RANDBETWEEN(1, COUNTA(event_table!$A$2:$A$69)))</f>
        <v>3455</v>
      </c>
      <c r="B2213" s="6">
        <f t="array" ref="B2213">IFERROR(INDEX(event_table!$E$1:$E3686,MATCH(A2213,event_table!$A$1:$A3686,0)),"")
</f>
        <v>4</v>
      </c>
      <c r="C2213" s="7">
        <f t="shared" si="1"/>
        <v>58</v>
      </c>
      <c r="D2213" s="6" t="str">
        <f t="array" ref="D2213">IFERROR(INDEX(user_table!$C$2:$C3686,MATCH(C2213,user_table!$B$2:$B3686,0)),"")
</f>
        <v>Joko Septiani</v>
      </c>
      <c r="E2213" s="6" t="str">
        <f t="array" ref="E2213">IFERROR(INDEX(user_table!$E$2:$E3686,MATCH(C2213,user_table!$B$2:$B3686,0)),"")
</f>
        <v>2, 5</v>
      </c>
      <c r="F2213" s="6" t="str">
        <f t="shared" si="2"/>
        <v>34555458</v>
      </c>
      <c r="G2213" s="16">
        <v>5.0</v>
      </c>
      <c r="H2213" s="17">
        <v>44751.0</v>
      </c>
      <c r="I2213" s="18" t="s">
        <v>2178</v>
      </c>
    </row>
    <row r="2214">
      <c r="A2214" s="5" t="str">
        <f t="array" ref="A2214">INDEX(event_table!$A$2:$A$69, RANDBETWEEN(1, COUNTA(event_table!$A$2:$A$69)))</f>
        <v>1651</v>
      </c>
      <c r="B2214" s="6">
        <f t="array" ref="B2214">IFERROR(INDEX(event_table!$E$1:$E3686,MATCH(A2214,event_table!$A$1:$A3686,0)),"")
</f>
        <v>6</v>
      </c>
      <c r="C2214" s="7">
        <f t="shared" si="1"/>
        <v>188</v>
      </c>
      <c r="D2214" s="6" t="str">
        <f t="array" ref="D2214">IFERROR(INDEX(user_table!$C$2:$C3686,MATCH(C2214,user_table!$B$2:$B3686,0)),"")
</f>
        <v>Siti Setiawan</v>
      </c>
      <c r="E2214" s="6" t="str">
        <f t="array" ref="E2214">IFERROR(INDEX(user_table!$E$2:$E3686,MATCH(C2214,user_table!$B$2:$B3686,0)),"")
</f>
        <v>6, 6</v>
      </c>
      <c r="F2214" s="6" t="str">
        <f t="shared" si="2"/>
        <v>165156188</v>
      </c>
      <c r="G2214" s="16">
        <v>5.0</v>
      </c>
      <c r="H2214" s="17">
        <v>44750.0</v>
      </c>
      <c r="I2214" s="18" t="s">
        <v>2179</v>
      </c>
    </row>
    <row r="2215">
      <c r="A2215" s="5" t="str">
        <f t="array" ref="A2215">INDEX(event_table!$A$2:$A$69, RANDBETWEEN(1, COUNTA(event_table!$A$2:$A$69)))</f>
        <v>1417</v>
      </c>
      <c r="B2215" s="6">
        <f t="array" ref="B2215">IFERROR(INDEX(event_table!$E$1:$E3686,MATCH(A2215,event_table!$A$1:$A3686,0)),"")
</f>
        <v>4</v>
      </c>
      <c r="C2215" s="7">
        <f t="shared" si="1"/>
        <v>20</v>
      </c>
      <c r="D2215" s="6" t="str">
        <f t="array" ref="D2215">IFERROR(INDEX(user_table!$C$2:$C3686,MATCH(C2215,user_table!$B$2:$B3686,0)),"")
</f>
        <v>Arif Septiani</v>
      </c>
      <c r="E2215" s="6" t="str">
        <f t="array" ref="E2215">IFERROR(INDEX(user_table!$E$2:$E3686,MATCH(C2215,user_table!$B$2:$B3686,0)),"")
</f>
        <v>6, 3</v>
      </c>
      <c r="F2215" s="6" t="str">
        <f t="shared" si="2"/>
        <v>14175420</v>
      </c>
      <c r="G2215" s="16">
        <v>5.0</v>
      </c>
      <c r="H2215" s="17">
        <v>44745.0</v>
      </c>
      <c r="I2215" s="18" t="s">
        <v>2180</v>
      </c>
    </row>
    <row r="2216">
      <c r="A2216" s="5" t="str">
        <f t="array" ref="A2216">INDEX(event_table!$A$2:$A$69, RANDBETWEEN(1, COUNTA(event_table!$A$2:$A$69)))</f>
        <v>1114</v>
      </c>
      <c r="B2216" s="6">
        <f t="array" ref="B2216">IFERROR(INDEX(event_table!$E$1:$E3686,MATCH(A2216,event_table!$A$1:$A3686,0)),"")
</f>
        <v>1</v>
      </c>
      <c r="C2216" s="7">
        <f t="shared" si="1"/>
        <v>167</v>
      </c>
      <c r="D2216" s="6" t="str">
        <f t="array" ref="D2216">IFERROR(INDEX(user_table!$C$2:$C3686,MATCH(C2216,user_table!$B$2:$B3686,0)),"")
</f>
        <v>Fandi Hermawan</v>
      </c>
      <c r="E2216" s="6" t="str">
        <f t="array" ref="E2216">IFERROR(INDEX(user_table!$E$2:$E3686,MATCH(C2216,user_table!$B$2:$B3686,0)),"")
</f>
        <v>3, 1</v>
      </c>
      <c r="F2216" s="6" t="str">
        <f t="shared" si="2"/>
        <v>111451167</v>
      </c>
      <c r="G2216" s="16">
        <v>5.0</v>
      </c>
      <c r="H2216" s="17">
        <v>44724.0</v>
      </c>
      <c r="I2216" s="18" t="s">
        <v>2181</v>
      </c>
    </row>
    <row r="2217">
      <c r="A2217" s="5" t="str">
        <f t="array" ref="A2217">INDEX(event_table!$A$2:$A$69, RANDBETWEEN(1, COUNTA(event_table!$A$2:$A$69)))</f>
        <v>1652</v>
      </c>
      <c r="B2217" s="6">
        <f t="array" ref="B2217">IFERROR(INDEX(event_table!$E$1:$E3686,MATCH(A2217,event_table!$A$1:$A3686,0)),"")
</f>
        <v>6</v>
      </c>
      <c r="C2217" s="7">
        <f t="shared" si="1"/>
        <v>102</v>
      </c>
      <c r="D2217" s="6" t="str">
        <f t="array" ref="D2217">IFERROR(INDEX(user_table!$C$2:$C3686,MATCH(C2217,user_table!$B$2:$B3686,0)),"")
</f>
        <v>Lina Nurhayati</v>
      </c>
      <c r="E2217" s="6" t="str">
        <f t="array" ref="E2217">IFERROR(INDEX(user_table!$E$2:$E3686,MATCH(C2217,user_table!$B$2:$B3686,0)),"")
</f>
        <v>1, 2</v>
      </c>
      <c r="F2217" s="6" t="str">
        <f t="shared" si="2"/>
        <v>165256102</v>
      </c>
      <c r="G2217" s="16">
        <v>5.0</v>
      </c>
      <c r="H2217" s="17">
        <v>44718.0</v>
      </c>
      <c r="I2217" s="18" t="s">
        <v>2182</v>
      </c>
    </row>
    <row r="2218">
      <c r="A2218" s="5" t="str">
        <f t="array" ref="A2218">INDEX(event_table!$A$2:$A$69, RANDBETWEEN(1, COUNTA(event_table!$A$2:$A$69)))</f>
        <v>117</v>
      </c>
      <c r="B2218" s="6">
        <f t="array" ref="B2218">IFERROR(INDEX(event_table!$E$1:$E3686,MATCH(A2218,event_table!$A$1:$A3686,0)),"")
</f>
        <v>1</v>
      </c>
      <c r="C2218" s="7">
        <f t="shared" si="1"/>
        <v>6</v>
      </c>
      <c r="D2218" s="6" t="str">
        <f t="array" ref="D2218">IFERROR(INDEX(user_table!$C$2:$C3686,MATCH(C2218,user_table!$B$2:$B3686,0)),"")
</f>
        <v>Arif Putri</v>
      </c>
      <c r="E2218" s="6" t="str">
        <f t="array" ref="E2218">IFERROR(INDEX(user_table!$E$2:$E3686,MATCH(C2218,user_table!$B$2:$B3686,0)),"")
</f>
        <v>5, 2</v>
      </c>
      <c r="F2218" s="6" t="str">
        <f t="shared" si="2"/>
        <v>117516</v>
      </c>
      <c r="G2218" s="16">
        <v>5.0</v>
      </c>
      <c r="H2218" s="17">
        <v>44714.0</v>
      </c>
      <c r="I2218" s="18" t="s">
        <v>2183</v>
      </c>
    </row>
    <row r="2219">
      <c r="A2219" s="5" t="str">
        <f t="array" ref="A2219">INDEX(event_table!$A$2:$A$69, RANDBETWEEN(1, COUNTA(event_table!$A$2:$A$69)))</f>
        <v>3169</v>
      </c>
      <c r="B2219" s="6">
        <f t="array" ref="B2219">IFERROR(INDEX(event_table!$E$1:$E3686,MATCH(A2219,event_table!$A$1:$A3686,0)),"")
</f>
        <v>1</v>
      </c>
      <c r="C2219" s="7">
        <f t="shared" si="1"/>
        <v>93</v>
      </c>
      <c r="D2219" s="6" t="str">
        <f t="array" ref="D2219">IFERROR(INDEX(user_table!$C$2:$C3686,MATCH(C2219,user_table!$B$2:$B3686,0)),"")
</f>
        <v>Hadi Putri</v>
      </c>
      <c r="E2219" s="6" t="str">
        <f t="array" ref="E2219">IFERROR(INDEX(user_table!$E$2:$E3686,MATCH(C2219,user_table!$B$2:$B3686,0)),"")
</f>
        <v>5, 6</v>
      </c>
      <c r="F2219" s="6" t="str">
        <f t="shared" si="2"/>
        <v>31695193</v>
      </c>
      <c r="G2219" s="16">
        <v>5.0</v>
      </c>
      <c r="H2219" s="17">
        <v>44695.0</v>
      </c>
      <c r="I2219" s="18" t="s">
        <v>2184</v>
      </c>
    </row>
    <row r="2220">
      <c r="A2220" s="5" t="str">
        <f t="array" ref="A2220">INDEX(event_table!$A$2:$A$69, RANDBETWEEN(1, COUNTA(event_table!$A$2:$A$69)))</f>
        <v>1424</v>
      </c>
      <c r="B2220" s="6">
        <f t="array" ref="B2220">IFERROR(INDEX(event_table!$E$1:$E3686,MATCH(A2220,event_table!$A$1:$A3686,0)),"")
</f>
        <v>4</v>
      </c>
      <c r="C2220" s="7">
        <f t="shared" si="1"/>
        <v>123</v>
      </c>
      <c r="D2220" s="6" t="str">
        <f t="array" ref="D2220">IFERROR(INDEX(user_table!$C$2:$C3686,MATCH(C2220,user_table!$B$2:$B3686,0)),"")
</f>
        <v>Lina Hartono</v>
      </c>
      <c r="E2220" s="6" t="str">
        <f t="array" ref="E2220">IFERROR(INDEX(user_table!$E$2:$E3686,MATCH(C2220,user_table!$B$2:$B3686,0)),"")
</f>
        <v>6, 5</v>
      </c>
      <c r="F2220" s="6" t="str">
        <f t="shared" si="2"/>
        <v>142454123</v>
      </c>
      <c r="G2220" s="16">
        <v>5.0</v>
      </c>
      <c r="H2220" s="17">
        <v>44694.0</v>
      </c>
      <c r="I2220" s="18" t="s">
        <v>2185</v>
      </c>
    </row>
    <row r="2221">
      <c r="A2221" s="5" t="str">
        <f t="array" ref="A2221">INDEX(event_table!$A$2:$A$69, RANDBETWEEN(1, COUNTA(event_table!$A$2:$A$69)))</f>
        <v>1528</v>
      </c>
      <c r="B2221" s="6">
        <f t="array" ref="B2221">IFERROR(INDEX(event_table!$E$1:$E3686,MATCH(A2221,event_table!$A$1:$A3686,0)),"")
</f>
        <v>5</v>
      </c>
      <c r="C2221" s="7">
        <f t="shared" si="1"/>
        <v>166</v>
      </c>
      <c r="D2221" s="6" t="str">
        <f t="array" ref="D2221">IFERROR(INDEX(user_table!$C$2:$C3686,MATCH(C2221,user_table!$B$2:$B3686,0)),"")
</f>
        <v>Fajar Nurhayati</v>
      </c>
      <c r="E2221" s="6" t="str">
        <f t="array" ref="E2221">IFERROR(INDEX(user_table!$E$2:$E3686,MATCH(C2221,user_table!$B$2:$B3686,0)),"")
</f>
        <v>3, 5</v>
      </c>
      <c r="F2221" s="6" t="str">
        <f t="shared" si="2"/>
        <v>152855166</v>
      </c>
      <c r="G2221" s="16">
        <v>5.0</v>
      </c>
      <c r="H2221" s="17">
        <v>44694.0</v>
      </c>
      <c r="I2221" s="18" t="s">
        <v>2186</v>
      </c>
    </row>
    <row r="2222">
      <c r="A2222" s="5" t="str">
        <f t="array" ref="A2222">INDEX(event_table!$A$2:$A$69, RANDBETWEEN(1, COUNTA(event_table!$A$2:$A$69)))</f>
        <v>1652</v>
      </c>
      <c r="B2222" s="6">
        <f t="array" ref="B2222">IFERROR(INDEX(event_table!$E$1:$E3686,MATCH(A2222,event_table!$A$1:$A3686,0)),"")
</f>
        <v>6</v>
      </c>
      <c r="C2222" s="7">
        <f t="shared" si="1"/>
        <v>37</v>
      </c>
      <c r="D2222" s="6" t="str">
        <f t="array" ref="D2222">IFERROR(INDEX(user_table!$C$2:$C3686,MATCH(C2222,user_table!$B$2:$B3686,0)),"")
</f>
        <v>Lina Susanto</v>
      </c>
      <c r="E2222" s="6" t="str">
        <f t="array" ref="E2222">IFERROR(INDEX(user_table!$E$2:$E3686,MATCH(C2222,user_table!$B$2:$B3686,0)),"")
</f>
        <v>2, 2</v>
      </c>
      <c r="F2222" s="6" t="str">
        <f t="shared" si="2"/>
        <v>16525637</v>
      </c>
      <c r="G2222" s="16">
        <v>5.0</v>
      </c>
      <c r="H2222" s="17">
        <v>45070.0</v>
      </c>
      <c r="I2222" s="18" t="s">
        <v>889</v>
      </c>
    </row>
    <row r="2223">
      <c r="A2223" s="5" t="str">
        <f t="array" ref="A2223">INDEX(event_table!$A$2:$A$69, RANDBETWEEN(1, COUNTA(event_table!$A$2:$A$69)))</f>
        <v>3657</v>
      </c>
      <c r="B2223" s="6">
        <f t="array" ref="B2223">IFERROR(INDEX(event_table!$E$1:$E3686,MATCH(A2223,event_table!$A$1:$A3686,0)),"")
</f>
        <v>6</v>
      </c>
      <c r="C2223" s="7">
        <f t="shared" si="1"/>
        <v>145</v>
      </c>
      <c r="D2223" s="6" t="str">
        <f t="array" ref="D2223">IFERROR(INDEX(user_table!$C$2:$C3686,MATCH(C2223,user_table!$B$2:$B3686,0)),"")
</f>
        <v>Arif Nugroho</v>
      </c>
      <c r="E2223" s="6" t="str">
        <f t="array" ref="E2223">IFERROR(INDEX(user_table!$E$2:$E3686,MATCH(C2223,user_table!$B$2:$B3686,0)),"")
</f>
        <v>1, 4</v>
      </c>
      <c r="F2223" s="6" t="str">
        <f t="shared" si="2"/>
        <v>365756145</v>
      </c>
      <c r="G2223" s="16">
        <v>5.0</v>
      </c>
      <c r="H2223" s="17">
        <v>45051.0</v>
      </c>
      <c r="I2223" s="18" t="s">
        <v>2187</v>
      </c>
    </row>
    <row r="2224">
      <c r="A2224" s="5" t="str">
        <f t="array" ref="A2224">INDEX(event_table!$A$2:$A$69, RANDBETWEEN(1, COUNTA(event_table!$A$2:$A$69)))</f>
        <v>1417</v>
      </c>
      <c r="B2224" s="6">
        <f t="array" ref="B2224">IFERROR(INDEX(event_table!$E$1:$E3686,MATCH(A2224,event_table!$A$1:$A3686,0)),"")
</f>
        <v>4</v>
      </c>
      <c r="C2224" s="7">
        <f t="shared" si="1"/>
        <v>116</v>
      </c>
      <c r="D2224" s="6" t="str">
        <f t="array" ref="D2224">IFERROR(INDEX(user_table!$C$2:$C3686,MATCH(C2224,user_table!$B$2:$B3686,0)),"")
</f>
        <v>Fandi Hartono</v>
      </c>
      <c r="E2224" s="6" t="str">
        <f t="array" ref="E2224">IFERROR(INDEX(user_table!$E$2:$E3686,MATCH(C2224,user_table!$B$2:$B3686,0)),"")
</f>
        <v>2, 1</v>
      </c>
      <c r="F2224" s="6" t="str">
        <f t="shared" si="2"/>
        <v>141754116</v>
      </c>
      <c r="G2224" s="16">
        <v>5.0</v>
      </c>
      <c r="H2224" s="17">
        <v>44931.0</v>
      </c>
      <c r="I2224" s="18" t="s">
        <v>2188</v>
      </c>
    </row>
    <row r="2225">
      <c r="A2225" s="5" t="str">
        <f t="array" ref="A2225">INDEX(event_table!$A$2:$A$69, RANDBETWEEN(1, COUNTA(event_table!$A$2:$A$69)))</f>
        <v>1421</v>
      </c>
      <c r="B2225" s="6">
        <f t="array" ref="B2225">IFERROR(INDEX(event_table!$E$1:$E3686,MATCH(A2225,event_table!$A$1:$A3686,0)),"")
</f>
        <v>4</v>
      </c>
      <c r="C2225" s="7">
        <f t="shared" si="1"/>
        <v>193</v>
      </c>
      <c r="D2225" s="6" t="str">
        <f t="array" ref="D2225">IFERROR(INDEX(user_table!$C$2:$C3686,MATCH(C2225,user_table!$B$2:$B3686,0)),"")
</f>
        <v>Dina Wijaya</v>
      </c>
      <c r="E2225" s="6" t="str">
        <f t="array" ref="E2225">IFERROR(INDEX(user_table!$E$2:$E3686,MATCH(C2225,user_table!$B$2:$B3686,0)),"")
</f>
        <v>4, 5</v>
      </c>
      <c r="F2225" s="6" t="str">
        <f t="shared" si="2"/>
        <v>142154193</v>
      </c>
      <c r="G2225" s="16">
        <v>5.0</v>
      </c>
      <c r="H2225" s="17">
        <v>44896.0</v>
      </c>
      <c r="I2225" s="18" t="s">
        <v>2189</v>
      </c>
    </row>
    <row r="2226">
      <c r="A2226" s="5" t="str">
        <f t="array" ref="A2226">INDEX(event_table!$A$2:$A$69, RANDBETWEEN(1, COUNTA(event_table!$A$2:$A$69)))</f>
        <v>1427</v>
      </c>
      <c r="B2226" s="6">
        <f t="array" ref="B2226">IFERROR(INDEX(event_table!$E$1:$E3686,MATCH(A2226,event_table!$A$1:$A3686,0)),"")
</f>
        <v>4</v>
      </c>
      <c r="C2226" s="7">
        <f t="shared" si="1"/>
        <v>64</v>
      </c>
      <c r="D2226" s="6" t="str">
        <f t="array" ref="D2226">IFERROR(INDEX(user_table!$C$2:$C3686,MATCH(C2226,user_table!$B$2:$B3686,0)),"")
</f>
        <v>Fajar Utami</v>
      </c>
      <c r="E2226" s="6" t="str">
        <f t="array" ref="E2226">IFERROR(INDEX(user_table!$E$2:$E3686,MATCH(C2226,user_table!$B$2:$B3686,0)),"")
</f>
        <v>5, 2</v>
      </c>
      <c r="F2226" s="6" t="str">
        <f t="shared" si="2"/>
        <v>14275464</v>
      </c>
      <c r="G2226" s="16">
        <v>5.0</v>
      </c>
      <c r="H2226" s="17">
        <v>44716.0</v>
      </c>
      <c r="I2226" s="18" t="s">
        <v>2190</v>
      </c>
    </row>
    <row r="2227">
      <c r="A2227" s="5" t="str">
        <f t="array" ref="A2227">INDEX(event_table!$A$2:$A$69, RANDBETWEEN(1, COUNTA(event_table!$A$2:$A$69)))</f>
        <v>1639</v>
      </c>
      <c r="B2227" s="6">
        <f t="array" ref="B2227">IFERROR(INDEX(event_table!$E$1:$E3686,MATCH(A2227,event_table!$A$1:$A3686,0)),"")
</f>
        <v>6</v>
      </c>
      <c r="C2227" s="7">
        <f t="shared" si="1"/>
        <v>63</v>
      </c>
      <c r="D2227" s="6" t="str">
        <f t="array" ref="D2227">IFERROR(INDEX(user_table!$C$2:$C3686,MATCH(C2227,user_table!$B$2:$B3686,0)),"")
</f>
        <v>Desi Putri</v>
      </c>
      <c r="E2227" s="6" t="str">
        <f t="array" ref="E2227">IFERROR(INDEX(user_table!$E$2:$E3686,MATCH(C2227,user_table!$B$2:$B3686,0)),"")
</f>
        <v>2, 5</v>
      </c>
      <c r="F2227" s="6" t="str">
        <f t="shared" si="2"/>
        <v>16395663</v>
      </c>
      <c r="G2227" s="16">
        <v>5.0</v>
      </c>
      <c r="H2227" s="17">
        <v>44695.0</v>
      </c>
      <c r="I2227" s="18" t="s">
        <v>2191</v>
      </c>
    </row>
    <row r="2228">
      <c r="A2228" s="5" t="str">
        <f t="array" ref="A2228">INDEX(event_table!$A$2:$A$69, RANDBETWEEN(1, COUNTA(event_table!$A$2:$A$69)))</f>
        <v>1334</v>
      </c>
      <c r="B2228" s="6">
        <f t="array" ref="B2228">IFERROR(INDEX(event_table!$E$1:$E3686,MATCH(A2228,event_table!$A$1:$A3686,0)),"")
</f>
        <v>3</v>
      </c>
      <c r="C2228" s="7">
        <f t="shared" si="1"/>
        <v>184</v>
      </c>
      <c r="D2228" s="6" t="str">
        <f t="array" ref="D2228">IFERROR(INDEX(user_table!$C$2:$C3686,MATCH(C2228,user_table!$B$2:$B3686,0)),"")
</f>
        <v>Dewi Hadiwijaya</v>
      </c>
      <c r="E2228" s="6" t="str">
        <f t="array" ref="E2228">IFERROR(INDEX(user_table!$E$2:$E3686,MATCH(C2228,user_table!$B$2:$B3686,0)),"")
</f>
        <v>2, 1</v>
      </c>
      <c r="F2228" s="6" t="str">
        <f t="shared" si="2"/>
        <v>133443184</v>
      </c>
      <c r="G2228" s="16">
        <v>4.0</v>
      </c>
      <c r="H2228" s="17">
        <v>45249.0</v>
      </c>
      <c r="I2228" s="18" t="s">
        <v>2192</v>
      </c>
      <c r="J2228" s="20"/>
    </row>
    <row r="2229">
      <c r="A2229" s="5" t="str">
        <f t="array" ref="A2229">INDEX(event_table!$A$2:$A$69, RANDBETWEEN(1, COUNTA(event_table!$A$2:$A$69)))</f>
        <v>113</v>
      </c>
      <c r="B2229" s="6">
        <f t="array" ref="B2229">IFERROR(INDEX(event_table!$E$1:$E3686,MATCH(A2229,event_table!$A$1:$A3686,0)),"")
</f>
        <v>1</v>
      </c>
      <c r="C2229" s="7">
        <f t="shared" si="1"/>
        <v>181</v>
      </c>
      <c r="D2229" s="6" t="str">
        <f t="array" ref="D2229">IFERROR(INDEX(user_table!$C$2:$C3686,MATCH(C2229,user_table!$B$2:$B3686,0)),"")
</f>
        <v>Andi Hadiwijaya</v>
      </c>
      <c r="E2229" s="6" t="str">
        <f t="array" ref="E2229">IFERROR(INDEX(user_table!$E$2:$E3686,MATCH(C2229,user_table!$B$2:$B3686,0)),"")
</f>
        <v>3, 2</v>
      </c>
      <c r="F2229" s="6" t="str">
        <f t="shared" si="2"/>
        <v>11341181</v>
      </c>
      <c r="G2229" s="16">
        <v>4.0</v>
      </c>
      <c r="H2229" s="17">
        <v>44687.0</v>
      </c>
      <c r="I2229" s="18" t="s">
        <v>2193</v>
      </c>
    </row>
    <row r="2230">
      <c r="A2230" s="5" t="str">
        <f t="array" ref="A2230">INDEX(event_table!$A$2:$A$69, RANDBETWEEN(1, COUNTA(event_table!$A$2:$A$69)))</f>
        <v>1553</v>
      </c>
      <c r="B2230" s="6">
        <f t="array" ref="B2230">IFERROR(INDEX(event_table!$E$1:$E3686,MATCH(A2230,event_table!$A$1:$A3686,0)),"")
</f>
        <v>5</v>
      </c>
      <c r="C2230" s="7">
        <f t="shared" si="1"/>
        <v>58</v>
      </c>
      <c r="D2230" s="6" t="str">
        <f t="array" ref="D2230">IFERROR(INDEX(user_table!$C$2:$C3686,MATCH(C2230,user_table!$B$2:$B3686,0)),"")
</f>
        <v>Joko Septiani</v>
      </c>
      <c r="E2230" s="6" t="str">
        <f t="array" ref="E2230">IFERROR(INDEX(user_table!$E$2:$E3686,MATCH(C2230,user_table!$B$2:$B3686,0)),"")
</f>
        <v>2, 5</v>
      </c>
      <c r="F2230" s="6" t="str">
        <f t="shared" si="2"/>
        <v>15534558</v>
      </c>
      <c r="G2230" s="16">
        <v>4.0</v>
      </c>
      <c r="H2230" s="17">
        <v>45046.0</v>
      </c>
      <c r="I2230" s="18" t="s">
        <v>2194</v>
      </c>
    </row>
    <row r="2231">
      <c r="A2231" s="5" t="str">
        <f t="array" ref="A2231">INDEX(event_table!$A$2:$A$69, RANDBETWEEN(1, COUNTA(event_table!$A$2:$A$69)))</f>
        <v>1417</v>
      </c>
      <c r="B2231" s="6">
        <f t="array" ref="B2231">IFERROR(INDEX(event_table!$E$1:$E3686,MATCH(A2231,event_table!$A$1:$A3686,0)),"")
</f>
        <v>4</v>
      </c>
      <c r="C2231" s="7">
        <f t="shared" si="1"/>
        <v>112</v>
      </c>
      <c r="D2231" s="6" t="str">
        <f t="array" ref="D2231">IFERROR(INDEX(user_table!$C$2:$C3686,MATCH(C2231,user_table!$B$2:$B3686,0)),"")
</f>
        <v>Ani Hadiwijaya</v>
      </c>
      <c r="E2231" s="6" t="str">
        <f t="array" ref="E2231">IFERROR(INDEX(user_table!$E$2:$E3686,MATCH(C2231,user_table!$B$2:$B3686,0)),"")
</f>
        <v>3, 5</v>
      </c>
      <c r="F2231" s="6" t="str">
        <f t="shared" si="2"/>
        <v>141744112</v>
      </c>
      <c r="G2231" s="16">
        <v>4.0</v>
      </c>
      <c r="H2231" s="17">
        <v>44978.0</v>
      </c>
      <c r="I2231" s="18" t="s">
        <v>2195</v>
      </c>
    </row>
    <row r="2232">
      <c r="A2232" s="5" t="str">
        <f t="array" ref="A2232">INDEX(event_table!$A$2:$A$69, RANDBETWEEN(1, COUNTA(event_table!$A$2:$A$69)))</f>
        <v>1519</v>
      </c>
      <c r="B2232" s="6">
        <f t="array" ref="B2232">IFERROR(INDEX(event_table!$E$1:$E3686,MATCH(A2232,event_table!$A$1:$A3686,0)),"")
</f>
        <v>5</v>
      </c>
      <c r="C2232" s="7">
        <f t="shared" si="1"/>
        <v>131</v>
      </c>
      <c r="D2232" s="6" t="str">
        <f t="array" ref="D2232">IFERROR(INDEX(user_table!$C$2:$C3686,MATCH(C2232,user_table!$B$2:$B3686,0)),"")
</f>
        <v>Dian Purnama</v>
      </c>
      <c r="E2232" s="6" t="str">
        <f t="array" ref="E2232">IFERROR(INDEX(user_table!$E$2:$E3686,MATCH(C2232,user_table!$B$2:$B3686,0)),"")
</f>
        <v>3, 5</v>
      </c>
      <c r="F2232" s="6" t="str">
        <f t="shared" si="2"/>
        <v>151945131</v>
      </c>
      <c r="G2232" s="16">
        <v>4.0</v>
      </c>
      <c r="H2232" s="17">
        <v>44742.0</v>
      </c>
      <c r="I2232" s="18" t="s">
        <v>2196</v>
      </c>
    </row>
    <row r="2233">
      <c r="A2233" s="5" t="str">
        <f t="array" ref="A2233">INDEX(event_table!$A$2:$A$69, RANDBETWEEN(1, COUNTA(event_table!$A$2:$A$69)))</f>
        <v>1651</v>
      </c>
      <c r="B2233" s="6">
        <f t="array" ref="B2233">IFERROR(INDEX(event_table!$E$1:$E3686,MATCH(A2233,event_table!$A$1:$A3686,0)),"")
</f>
        <v>6</v>
      </c>
      <c r="C2233" s="7">
        <f t="shared" si="1"/>
        <v>97</v>
      </c>
      <c r="D2233" s="6" t="str">
        <f t="array" ref="D2233">IFERROR(INDEX(user_table!$C$2:$C3686,MATCH(C2233,user_table!$B$2:$B3686,0)),"")
</f>
        <v>Dewi Hidayat</v>
      </c>
      <c r="E2233" s="6" t="str">
        <f t="array" ref="E2233">IFERROR(INDEX(user_table!$E$2:$E3686,MATCH(C2233,user_table!$B$2:$B3686,0)),"")
</f>
        <v>2, 2</v>
      </c>
      <c r="F2233" s="6" t="str">
        <f t="shared" si="2"/>
        <v>16514697</v>
      </c>
      <c r="G2233" s="16">
        <v>4.0</v>
      </c>
      <c r="H2233" s="17">
        <v>44703.0</v>
      </c>
      <c r="I2233" s="18" t="s">
        <v>2197</v>
      </c>
    </row>
    <row r="2234">
      <c r="A2234" s="5" t="str">
        <f t="array" ref="A2234">INDEX(event_table!$A$2:$A$69, RANDBETWEEN(1, COUNTA(event_table!$A$2:$A$69)))</f>
        <v>3658</v>
      </c>
      <c r="B2234" s="6">
        <f t="array" ref="B2234">IFERROR(INDEX(event_table!$E$1:$E3686,MATCH(A2234,event_table!$A$1:$A3686,0)),"")
</f>
        <v>6</v>
      </c>
      <c r="C2234" s="7">
        <f t="shared" si="1"/>
        <v>147</v>
      </c>
      <c r="D2234" s="6" t="str">
        <f t="array" ref="D2234">IFERROR(INDEX(user_table!$C$2:$C3686,MATCH(C2234,user_table!$B$2:$B3686,0)),"")
</f>
        <v>Fajar Saputra</v>
      </c>
      <c r="E2234" s="6" t="str">
        <f t="array" ref="E2234">IFERROR(INDEX(user_table!$E$2:$E3686,MATCH(C2234,user_table!$B$2:$B3686,0)),"")
</f>
        <v>6, 2</v>
      </c>
      <c r="F2234" s="6" t="str">
        <f t="shared" si="2"/>
        <v>365846147</v>
      </c>
      <c r="G2234" s="16">
        <v>4.0</v>
      </c>
      <c r="H2234" s="17">
        <v>44747.0</v>
      </c>
      <c r="I2234" s="18" t="s">
        <v>2198</v>
      </c>
    </row>
    <row r="2235">
      <c r="A2235" s="5" t="str">
        <f t="array" ref="A2235">INDEX(event_table!$A$2:$A$69, RANDBETWEEN(1, COUNTA(event_table!$A$2:$A$69)))</f>
        <v>1652</v>
      </c>
      <c r="B2235" s="6">
        <f t="array" ref="B2235">IFERROR(INDEX(event_table!$E$1:$E3686,MATCH(A2235,event_table!$A$1:$A3686,0)),"")
</f>
        <v>6</v>
      </c>
      <c r="C2235" s="7">
        <f t="shared" si="1"/>
        <v>20</v>
      </c>
      <c r="D2235" s="6" t="str">
        <f t="array" ref="D2235">IFERROR(INDEX(user_table!$C$2:$C3686,MATCH(C2235,user_table!$B$2:$B3686,0)),"")
</f>
        <v>Arif Septiani</v>
      </c>
      <c r="E2235" s="6" t="str">
        <f t="array" ref="E2235">IFERROR(INDEX(user_table!$E$2:$E3686,MATCH(C2235,user_table!$B$2:$B3686,0)),"")
</f>
        <v>6, 3</v>
      </c>
      <c r="F2235" s="6" t="str">
        <f t="shared" si="2"/>
        <v>16523620</v>
      </c>
      <c r="G2235" s="16">
        <v>3.0</v>
      </c>
      <c r="H2235" s="17">
        <v>45080.0</v>
      </c>
      <c r="I2235" s="18" t="s">
        <v>2199</v>
      </c>
    </row>
    <row r="2236">
      <c r="A2236" s="5" t="str">
        <f t="array" ref="A2236">INDEX(event_table!$A$2:$A$69, RANDBETWEEN(1, COUNTA(event_table!$A$2:$A$69)))</f>
        <v>117</v>
      </c>
      <c r="B2236" s="6">
        <f t="array" ref="B2236">IFERROR(INDEX(event_table!$E$1:$E3686,MATCH(A2236,event_table!$A$1:$A3686,0)),"")
</f>
        <v>1</v>
      </c>
      <c r="C2236" s="7">
        <f t="shared" si="1"/>
        <v>13</v>
      </c>
      <c r="D2236" s="6" t="str">
        <f t="array" ref="D2236">IFERROR(INDEX(user_table!$C$2:$C3686,MATCH(C2236,user_table!$B$2:$B3686,0)),"")
</f>
        <v>Hadi Kurniawan</v>
      </c>
      <c r="E2236" s="6" t="str">
        <f t="array" ref="E2236">IFERROR(INDEX(user_table!$E$2:$E3686,MATCH(C2236,user_table!$B$2:$B3686,0)),"")
</f>
        <v>4, 3</v>
      </c>
      <c r="F2236" s="6" t="str">
        <f t="shared" si="2"/>
        <v>1173113</v>
      </c>
      <c r="G2236" s="16">
        <v>3.0</v>
      </c>
      <c r="H2236" s="17">
        <v>45226.0</v>
      </c>
      <c r="I2236" s="18" t="s">
        <v>2200</v>
      </c>
    </row>
    <row r="2237">
      <c r="A2237" s="5" t="str">
        <f t="array" ref="A2237">INDEX(event_table!$A$2:$A$69, RANDBETWEEN(1, COUNTA(event_table!$A$2:$A$69)))</f>
        <v>3164</v>
      </c>
      <c r="B2237" s="6">
        <f t="array" ref="B2237">IFERROR(INDEX(event_table!$E$1:$E3686,MATCH(A2237,event_table!$A$1:$A3686,0)),"")
</f>
        <v>1</v>
      </c>
      <c r="C2237" s="7">
        <f t="shared" si="1"/>
        <v>95</v>
      </c>
      <c r="D2237" s="6" t="str">
        <f t="array" ref="D2237">IFERROR(INDEX(user_table!$C$2:$C3686,MATCH(C2237,user_table!$B$2:$B3686,0)),"")
</f>
        <v>Ani Pratama</v>
      </c>
      <c r="E2237" s="6" t="str">
        <f t="array" ref="E2237">IFERROR(INDEX(user_table!$E$2:$E3686,MATCH(C2237,user_table!$B$2:$B3686,0)),"")
</f>
        <v>3, 5</v>
      </c>
      <c r="F2237" s="6" t="str">
        <f t="shared" si="2"/>
        <v>31643195</v>
      </c>
      <c r="G2237" s="16">
        <v>3.0</v>
      </c>
      <c r="H2237" s="17">
        <v>45152.0</v>
      </c>
      <c r="I2237" s="18" t="s">
        <v>2201</v>
      </c>
    </row>
    <row r="2238">
      <c r="A2238" s="5" t="str">
        <f t="array" ref="A2238">INDEX(event_table!$A$2:$A$69, RANDBETWEEN(1, COUNTA(event_table!$A$2:$A$69)))</f>
        <v>1644</v>
      </c>
      <c r="B2238" s="6">
        <f t="array" ref="B2238">IFERROR(INDEX(event_table!$E$1:$E3686,MATCH(A2238,event_table!$A$1:$A3686,0)),"")
</f>
        <v>6</v>
      </c>
      <c r="C2238" s="7">
        <f t="shared" si="1"/>
        <v>9</v>
      </c>
      <c r="D2238" s="6" t="str">
        <f t="array" ref="D2238">IFERROR(INDEX(user_table!$C$2:$C3686,MATCH(C2238,user_table!$B$2:$B3686,0)),"")
</f>
        <v>Dina Pratama</v>
      </c>
      <c r="E2238" s="6" t="str">
        <f t="array" ref="E2238">IFERROR(INDEX(user_table!$E$2:$E3686,MATCH(C2238,user_table!$B$2:$B3686,0)),"")
</f>
        <v>2, 3</v>
      </c>
      <c r="F2238" s="6" t="str">
        <f t="shared" si="2"/>
        <v>1644269</v>
      </c>
      <c r="G2238" s="16">
        <v>2.0</v>
      </c>
      <c r="H2238" s="17">
        <v>45245.0</v>
      </c>
      <c r="I2238" s="18" t="s">
        <v>2202</v>
      </c>
    </row>
    <row r="2239">
      <c r="A2239" s="5" t="str">
        <f t="array" ref="A2239">INDEX(event_table!$A$2:$A$69, RANDBETWEEN(1, COUNTA(event_table!$A$2:$A$69)))</f>
        <v>3659</v>
      </c>
      <c r="B2239" s="6">
        <f t="array" ref="B2239">IFERROR(INDEX(event_table!$E$1:$E3686,MATCH(A2239,event_table!$A$1:$A3686,0)),"")
</f>
        <v>6</v>
      </c>
      <c r="C2239" s="7">
        <f t="shared" si="1"/>
        <v>74</v>
      </c>
      <c r="D2239" s="6" t="str">
        <f t="array" ref="D2239">IFERROR(INDEX(user_table!$C$2:$C3686,MATCH(C2239,user_table!$B$2:$B3686,0)),"")
</f>
        <v>Arif Purnama</v>
      </c>
      <c r="E2239" s="6" t="str">
        <f t="array" ref="E2239">IFERROR(INDEX(user_table!$E$2:$E3686,MATCH(C2239,user_table!$B$2:$B3686,0)),"")
</f>
        <v>3, 2</v>
      </c>
      <c r="F2239" s="6" t="str">
        <f t="shared" si="2"/>
        <v>36592674</v>
      </c>
      <c r="G2239" s="16">
        <v>2.0</v>
      </c>
      <c r="H2239" s="17">
        <v>45223.0</v>
      </c>
      <c r="I2239" s="18" t="s">
        <v>2203</v>
      </c>
    </row>
    <row r="2240">
      <c r="A2240" s="5" t="str">
        <f t="array" ref="A2240">INDEX(event_table!$A$2:$A$69, RANDBETWEEN(1, COUNTA(event_table!$A$2:$A$69)))</f>
        <v>1333</v>
      </c>
      <c r="B2240" s="6">
        <f t="array" ref="B2240">IFERROR(INDEX(event_table!$E$1:$E3686,MATCH(A2240,event_table!$A$1:$A3686,0)),"")
</f>
        <v>3</v>
      </c>
      <c r="C2240" s="7">
        <f t="shared" si="1"/>
        <v>101</v>
      </c>
      <c r="D2240" s="6" t="str">
        <f t="array" ref="D2240">IFERROR(INDEX(user_table!$C$2:$C3686,MATCH(C2240,user_table!$B$2:$B3686,0)),"")
</f>
        <v>Maya Hadiwijaya</v>
      </c>
      <c r="E2240" s="6" t="str">
        <f t="array" ref="E2240">IFERROR(INDEX(user_table!$E$2:$E3686,MATCH(C2240,user_table!$B$2:$B3686,0)),"")
</f>
        <v>5, 4</v>
      </c>
      <c r="F2240" s="6" t="str">
        <f t="shared" si="2"/>
        <v>133323101</v>
      </c>
      <c r="G2240" s="16">
        <v>2.0</v>
      </c>
      <c r="H2240" s="17">
        <v>45107.0</v>
      </c>
      <c r="I2240" s="18" t="s">
        <v>2204</v>
      </c>
    </row>
    <row r="2241">
      <c r="A2241" s="5" t="str">
        <f t="array" ref="A2241">INDEX(event_table!$A$2:$A$69, RANDBETWEEN(1, COUNTA(event_table!$A$2:$A$69)))</f>
        <v>1334</v>
      </c>
      <c r="B2241" s="6">
        <f t="array" ref="B2241">IFERROR(INDEX(event_table!$E$1:$E3686,MATCH(A2241,event_table!$A$1:$A3686,0)),"")
</f>
        <v>3</v>
      </c>
      <c r="C2241" s="7">
        <f t="shared" si="1"/>
        <v>120</v>
      </c>
      <c r="D2241" s="6" t="str">
        <f t="array" ref="D2241">IFERROR(INDEX(user_table!$C$2:$C3686,MATCH(C2241,user_table!$B$2:$B3686,0)),"")
</f>
        <v>Dewi Septiani</v>
      </c>
      <c r="E2241" s="6" t="str">
        <f t="array" ref="E2241">IFERROR(INDEX(user_table!$E$2:$E3686,MATCH(C2241,user_table!$B$2:$B3686,0)),"")
</f>
        <v>5, 3</v>
      </c>
      <c r="F2241" s="6" t="str">
        <f t="shared" si="2"/>
        <v>133423120</v>
      </c>
      <c r="G2241" s="16">
        <v>2.0</v>
      </c>
      <c r="H2241" s="17">
        <v>44832.0</v>
      </c>
      <c r="I2241" s="18" t="s">
        <v>2205</v>
      </c>
    </row>
    <row r="2242">
      <c r="A2242" s="5" t="str">
        <f t="array" ref="A2242">INDEX(event_table!$A$2:$A$69, RANDBETWEEN(1, COUNTA(event_table!$A$2:$A$69)))</f>
        <v>1417</v>
      </c>
      <c r="B2242" s="6">
        <f t="array" ref="B2242">IFERROR(INDEX(event_table!$E$1:$E3686,MATCH(A2242,event_table!$A$1:$A3686,0)),"")
</f>
        <v>4</v>
      </c>
      <c r="C2242" s="7">
        <f t="shared" si="1"/>
        <v>72</v>
      </c>
      <c r="D2242" s="6" t="str">
        <f t="array" ref="D2242">IFERROR(INDEX(user_table!$C$2:$C3686,MATCH(C2242,user_table!$B$2:$B3686,0)),"")
</f>
        <v>Wahyu Kurniawan</v>
      </c>
      <c r="E2242" s="6" t="str">
        <f t="array" ref="E2242">IFERROR(INDEX(user_table!$E$2:$E3686,MATCH(C2242,user_table!$B$2:$B3686,0)),"")
</f>
        <v>5, 3</v>
      </c>
      <c r="F2242" s="6" t="str">
        <f t="shared" si="2"/>
        <v>14172472</v>
      </c>
      <c r="G2242" s="16">
        <v>2.0</v>
      </c>
      <c r="H2242" s="17">
        <v>45247.0</v>
      </c>
      <c r="I2242" s="18" t="s">
        <v>2206</v>
      </c>
    </row>
    <row r="2243">
      <c r="A2243" s="5" t="str">
        <f t="array" ref="A2243">INDEX(event_table!$A$2:$A$69, RANDBETWEEN(1, COUNTA(event_table!$A$2:$A$69)))</f>
        <v>1529</v>
      </c>
      <c r="B2243" s="6">
        <f t="array" ref="B2243">IFERROR(INDEX(event_table!$E$1:$E3686,MATCH(A2243,event_table!$A$1:$A3686,0)),"")
</f>
        <v>5</v>
      </c>
      <c r="C2243" s="7">
        <f t="shared" si="1"/>
        <v>30</v>
      </c>
      <c r="D2243" s="6" t="str">
        <f t="array" ref="D2243">IFERROR(INDEX(user_table!$C$2:$C3686,MATCH(C2243,user_table!$B$2:$B3686,0)),"")
</f>
        <v>Fajar Kurniawan</v>
      </c>
      <c r="E2243" s="6" t="str">
        <f t="array" ref="E2243">IFERROR(INDEX(user_table!$E$2:$E3686,MATCH(C2243,user_table!$B$2:$B3686,0)),"")
</f>
        <v>5, 3</v>
      </c>
      <c r="F2243" s="6" t="str">
        <f t="shared" si="2"/>
        <v>15292530</v>
      </c>
      <c r="G2243" s="16">
        <v>2.0</v>
      </c>
      <c r="H2243" s="17">
        <v>45177.0</v>
      </c>
      <c r="I2243" s="18" t="s">
        <v>2207</v>
      </c>
    </row>
    <row r="2244">
      <c r="A2244" s="5" t="str">
        <f t="array" ref="A2244">INDEX(event_table!$A$2:$A$69, RANDBETWEEN(1, COUNTA(event_table!$A$2:$A$69)))</f>
        <v>118</v>
      </c>
      <c r="B2244" s="6">
        <f t="array" ref="B2244">IFERROR(INDEX(event_table!$E$1:$E3686,MATCH(A2244,event_table!$A$1:$A3686,0)),"")
</f>
        <v>1</v>
      </c>
      <c r="C2244" s="7">
        <f t="shared" si="1"/>
        <v>191</v>
      </c>
      <c r="D2244" s="6" t="str">
        <f t="array" ref="D2244">IFERROR(INDEX(user_table!$C$2:$C3686,MATCH(C2244,user_table!$B$2:$B3686,0)),"")
</f>
        <v>Rudi Hermawan</v>
      </c>
      <c r="E2244" s="6" t="str">
        <f t="array" ref="E2244">IFERROR(INDEX(user_table!$E$2:$E3686,MATCH(C2244,user_table!$B$2:$B3686,0)),"")
</f>
        <v>5, 6</v>
      </c>
      <c r="F2244" s="6" t="str">
        <f t="shared" si="2"/>
        <v>11821191</v>
      </c>
      <c r="G2244" s="16">
        <v>2.0</v>
      </c>
      <c r="H2244" s="17">
        <v>45145.0</v>
      </c>
      <c r="I2244" s="18" t="s">
        <v>2208</v>
      </c>
    </row>
    <row r="2245">
      <c r="A2245" s="5" t="str">
        <f t="array" ref="A2245">INDEX(event_table!$A$2:$A$69, RANDBETWEEN(1, COUNTA(event_table!$A$2:$A$69)))</f>
        <v>1526</v>
      </c>
      <c r="B2245" s="6">
        <f t="array" ref="B2245">IFERROR(INDEX(event_table!$E$1:$E3686,MATCH(A2245,event_table!$A$1:$A3686,0)),"")
</f>
        <v>5</v>
      </c>
      <c r="C2245" s="7">
        <f t="shared" si="1"/>
        <v>163</v>
      </c>
      <c r="D2245" s="6" t="str">
        <f t="array" ref="D2245">IFERROR(INDEX(user_table!$C$2:$C3686,MATCH(C2245,user_table!$B$2:$B3686,0)),"")
</f>
        <v>Budi Susanto</v>
      </c>
      <c r="E2245" s="6" t="str">
        <f t="array" ref="E2245">IFERROR(INDEX(user_table!$E$2:$E3686,MATCH(C2245,user_table!$B$2:$B3686,0)),"")
</f>
        <v>6, 3</v>
      </c>
      <c r="F2245" s="6" t="str">
        <f t="shared" si="2"/>
        <v>152625163</v>
      </c>
      <c r="G2245" s="16">
        <v>2.0</v>
      </c>
      <c r="H2245" s="17">
        <v>45124.0</v>
      </c>
      <c r="I2245" s="18" t="s">
        <v>2209</v>
      </c>
    </row>
    <row r="2246">
      <c r="A2246" s="5" t="str">
        <f t="array" ref="A2246">INDEX(event_table!$A$2:$A$69, RANDBETWEEN(1, COUNTA(event_table!$A$2:$A$69)))</f>
        <v>3167</v>
      </c>
      <c r="B2246" s="6">
        <f t="array" ref="B2246">IFERROR(INDEX(event_table!$E$1:$E3686,MATCH(A2246,event_table!$A$1:$A3686,0)),"")
</f>
        <v>1</v>
      </c>
      <c r="C2246" s="7">
        <f t="shared" si="1"/>
        <v>90</v>
      </c>
      <c r="D2246" s="6" t="str">
        <f t="array" ref="D2246">IFERROR(INDEX(user_table!$C$2:$C3686,MATCH(C2246,user_table!$B$2:$B3686,0)),"")
</f>
        <v>Dina Saputra</v>
      </c>
      <c r="E2246" s="6" t="str">
        <f t="array" ref="E2246">IFERROR(INDEX(user_table!$E$2:$E3686,MATCH(C2246,user_table!$B$2:$B3686,0)),"")
</f>
        <v>1, 2</v>
      </c>
      <c r="F2246" s="6" t="str">
        <f t="shared" si="2"/>
        <v>31672190</v>
      </c>
      <c r="G2246" s="16">
        <v>2.0</v>
      </c>
      <c r="H2246" s="17">
        <v>45073.0</v>
      </c>
      <c r="I2246" s="18" t="s">
        <v>2210</v>
      </c>
    </row>
    <row r="2247">
      <c r="A2247" s="5" t="str">
        <f t="array" ref="A2247">INDEX(event_table!$A$2:$A$69, RANDBETWEEN(1, COUNTA(event_table!$A$2:$A$69)))</f>
        <v>1416</v>
      </c>
      <c r="B2247" s="6">
        <f t="array" ref="B2247">IFERROR(INDEX(event_table!$E$1:$E3686,MATCH(A2247,event_table!$A$1:$A3686,0)),"")
</f>
        <v>4</v>
      </c>
      <c r="C2247" s="7">
        <f t="shared" si="1"/>
        <v>38</v>
      </c>
      <c r="D2247" s="6" t="str">
        <f t="array" ref="D2247">IFERROR(INDEX(user_table!$C$2:$C3686,MATCH(C2247,user_table!$B$2:$B3686,0)),"")
</f>
        <v>Maya Utami</v>
      </c>
      <c r="E2247" s="6" t="str">
        <f t="array" ref="E2247">IFERROR(INDEX(user_table!$E$2:$E3686,MATCH(C2247,user_table!$B$2:$B3686,0)),"")
</f>
        <v>2, 1</v>
      </c>
      <c r="F2247" s="6" t="str">
        <f t="shared" si="2"/>
        <v>14161438</v>
      </c>
      <c r="G2247" s="16">
        <v>1.0</v>
      </c>
      <c r="H2247" s="17">
        <v>45265.0</v>
      </c>
      <c r="I2247" s="18" t="s">
        <v>2211</v>
      </c>
    </row>
    <row r="2248">
      <c r="A2248" s="5" t="str">
        <f t="array" ref="A2248">INDEX(event_table!$A$2:$A$69, RANDBETWEEN(1, COUNTA(event_table!$A$2:$A$69)))</f>
        <v>1418</v>
      </c>
      <c r="B2248" s="6">
        <f t="array" ref="B2248">IFERROR(INDEX(event_table!$E$1:$E3686,MATCH(A2248,event_table!$A$1:$A3686,0)),"")
</f>
        <v>4</v>
      </c>
      <c r="C2248" s="7">
        <f t="shared" si="1"/>
        <v>122</v>
      </c>
      <c r="D2248" s="6" t="str">
        <f t="array" ref="D2248">IFERROR(INDEX(user_table!$C$2:$C3686,MATCH(C2248,user_table!$B$2:$B3686,0)),"")
</f>
        <v>Maya Setiawan</v>
      </c>
      <c r="E2248" s="6" t="str">
        <f t="array" ref="E2248">IFERROR(INDEX(user_table!$E$2:$E3686,MATCH(C2248,user_table!$B$2:$B3686,0)),"")
</f>
        <v>2, 3</v>
      </c>
      <c r="F2248" s="6" t="str">
        <f t="shared" si="2"/>
        <v>141814122</v>
      </c>
      <c r="G2248" s="16">
        <v>1.0</v>
      </c>
      <c r="H2248" s="17">
        <v>45211.0</v>
      </c>
      <c r="I2248" s="18" t="s">
        <v>2212</v>
      </c>
    </row>
    <row r="2249">
      <c r="A2249" s="5" t="str">
        <f t="array" ref="A2249">INDEX(event_table!$A$2:$A$69, RANDBETWEEN(1, COUNTA(event_table!$A$2:$A$69)))</f>
        <v>1421</v>
      </c>
      <c r="B2249" s="6">
        <f t="array" ref="B2249">IFERROR(INDEX(event_table!$E$1:$E3686,MATCH(A2249,event_table!$A$1:$A3686,0)),"")
</f>
        <v>4</v>
      </c>
      <c r="C2249" s="7">
        <f t="shared" si="1"/>
        <v>12</v>
      </c>
      <c r="D2249" s="6" t="str">
        <f t="array" ref="D2249">IFERROR(INDEX(user_table!$C$2:$C3686,MATCH(C2249,user_table!$B$2:$B3686,0)),"")
</f>
        <v>Joko Susanto</v>
      </c>
      <c r="E2249" s="6" t="str">
        <f t="array" ref="E2249">IFERROR(INDEX(user_table!$E$2:$E3686,MATCH(C2249,user_table!$B$2:$B3686,0)),"")
</f>
        <v>4, 2</v>
      </c>
      <c r="F2249" s="6" t="str">
        <f t="shared" si="2"/>
        <v>14211412</v>
      </c>
      <c r="G2249" s="16">
        <v>1.0</v>
      </c>
      <c r="H2249" s="17">
        <v>45129.0</v>
      </c>
      <c r="I2249" s="18" t="s">
        <v>2213</v>
      </c>
    </row>
    <row r="2250">
      <c r="A2250" s="5" t="str">
        <f t="array" ref="A2250">INDEX(event_table!$A$2:$A$69, RANDBETWEEN(1, COUNTA(event_table!$A$2:$A$69)))</f>
        <v>1215</v>
      </c>
      <c r="B2250" s="6">
        <f t="array" ref="B2250">IFERROR(INDEX(event_table!$E$1:$E3686,MATCH(A2250,event_table!$A$1:$A3686,0)),"")
</f>
        <v>2</v>
      </c>
      <c r="C2250" s="7">
        <f t="shared" si="1"/>
        <v>178</v>
      </c>
      <c r="D2250" s="6" t="str">
        <f t="array" ref="D2250">IFERROR(INDEX(user_table!$C$2:$C3686,MATCH(C2250,user_table!$B$2:$B3686,0)),"")
</f>
        <v>Dewi Hidayat</v>
      </c>
      <c r="E2250" s="6" t="str">
        <f t="array" ref="E2250">IFERROR(INDEX(user_table!$E$2:$E3686,MATCH(C2250,user_table!$B$2:$B3686,0)),"")
</f>
        <v>3, 2</v>
      </c>
      <c r="F2250" s="6" t="str">
        <f t="shared" si="2"/>
        <v>121512178</v>
      </c>
      <c r="G2250" s="16">
        <v>1.0</v>
      </c>
      <c r="H2250" s="17">
        <v>45205.0</v>
      </c>
      <c r="I2250" s="18" t="s">
        <v>2214</v>
      </c>
    </row>
    <row r="2251">
      <c r="A2251" s="5" t="str">
        <f t="array" ref="A2251">INDEX(event_table!$A$2:$A$69, RANDBETWEEN(1, COUNTA(event_table!$A$2:$A$69)))</f>
        <v>1644</v>
      </c>
      <c r="B2251" s="6">
        <f t="array" ref="B2251">IFERROR(INDEX(event_table!$E$1:$E3686,MATCH(A2251,event_table!$A$1:$A3686,0)),"")
</f>
        <v>6</v>
      </c>
      <c r="C2251" s="7">
        <f t="shared" si="1"/>
        <v>68</v>
      </c>
      <c r="D2251" s="6" t="str">
        <f t="array" ref="D2251">IFERROR(INDEX(user_table!$C$2:$C3686,MATCH(C2251,user_table!$B$2:$B3686,0)),"")
</f>
        <v>Wahyu Wijaya</v>
      </c>
      <c r="E2251" s="6" t="str">
        <f t="array" ref="E2251">IFERROR(INDEX(user_table!$E$2:$E3686,MATCH(C2251,user_table!$B$2:$B3686,0)),"")
</f>
        <v>4, 6</v>
      </c>
      <c r="F2251" s="6" t="str">
        <f t="shared" si="2"/>
        <v>16441668</v>
      </c>
      <c r="G2251" s="16">
        <v>1.0</v>
      </c>
      <c r="H2251" s="17">
        <v>45143.0</v>
      </c>
      <c r="I2251" s="18" t="s">
        <v>2215</v>
      </c>
    </row>
    <row r="2252">
      <c r="A2252" s="5" t="str">
        <f t="array" ref="A2252">INDEX(event_table!$A$2:$A$69, RANDBETWEEN(1, COUNTA(event_table!$A$2:$A$69)))</f>
        <v>1110</v>
      </c>
      <c r="B2252" s="6">
        <f t="array" ref="B2252">IFERROR(INDEX(event_table!$E$1:$E3686,MATCH(A2252,event_table!$A$1:$A3686,0)),"")
</f>
        <v>1</v>
      </c>
      <c r="C2252" s="7">
        <f t="shared" si="1"/>
        <v>17</v>
      </c>
      <c r="D2252" s="6" t="str">
        <f t="array" ref="D2252">IFERROR(INDEX(user_table!$C$2:$C3686,MATCH(C2252,user_table!$B$2:$B3686,0)),"")
</f>
        <v>Fajar Wijaya</v>
      </c>
      <c r="E2252" s="6" t="str">
        <f t="array" ref="E2252">IFERROR(INDEX(user_table!$E$2:$E3686,MATCH(C2252,user_table!$B$2:$B3686,0)),"")
</f>
        <v>1, 1</v>
      </c>
      <c r="F2252" s="6" t="str">
        <f t="shared" si="2"/>
        <v>11101117</v>
      </c>
      <c r="G2252" s="16">
        <v>1.0</v>
      </c>
      <c r="H2252" s="17">
        <v>45143.0</v>
      </c>
      <c r="I2252" s="18" t="s">
        <v>2216</v>
      </c>
    </row>
    <row r="2253">
      <c r="A2253" s="5" t="str">
        <f t="array" ref="A2253">INDEX(event_table!$A$2:$A$69, RANDBETWEEN(1, COUNTA(event_table!$A$2:$A$69)))</f>
        <v>1528</v>
      </c>
      <c r="B2253" s="6">
        <f t="array" ref="B2253">IFERROR(INDEX(event_table!$E$1:$E3686,MATCH(A2253,event_table!$A$1:$A3686,0)),"")
</f>
        <v>5</v>
      </c>
      <c r="C2253" s="7">
        <f t="shared" si="1"/>
        <v>22</v>
      </c>
      <c r="D2253" s="6" t="str">
        <f t="array" ref="D2253">IFERROR(INDEX(user_table!$C$2:$C3686,MATCH(C2253,user_table!$B$2:$B3686,0)),"")
</f>
        <v>Fajar Wijaya</v>
      </c>
      <c r="E2253" s="6" t="str">
        <f t="array" ref="E2253">IFERROR(INDEX(user_table!$E$2:$E3686,MATCH(C2253,user_table!$B$2:$B3686,0)),"")
</f>
        <v>2, 6</v>
      </c>
      <c r="F2253" s="6" t="str">
        <f t="shared" si="2"/>
        <v>15281522</v>
      </c>
      <c r="G2253" s="16">
        <v>1.0</v>
      </c>
      <c r="H2253" s="17">
        <v>45117.0</v>
      </c>
      <c r="I2253" s="18" t="s">
        <v>2217</v>
      </c>
    </row>
    <row r="2254">
      <c r="A2254" s="5" t="str">
        <f t="array" ref="A2254">INDEX(event_table!$A$2:$A$69, RANDBETWEEN(1, COUNTA(event_table!$A$2:$A$69)))</f>
        <v>3170</v>
      </c>
      <c r="B2254" s="6">
        <f t="array" ref="B2254">IFERROR(INDEX(event_table!$E$1:$E3686,MATCH(A2254,event_table!$A$1:$A3686,0)),"")
</f>
        <v>1</v>
      </c>
      <c r="C2254" s="7">
        <f t="shared" si="1"/>
        <v>176</v>
      </c>
      <c r="D2254" s="6" t="str">
        <f t="array" ref="D2254">IFERROR(INDEX(user_table!$C$2:$C3686,MATCH(C2254,user_table!$B$2:$B3686,0)),"")
</f>
        <v>Ani Hartono</v>
      </c>
      <c r="E2254" s="6" t="str">
        <f t="array" ref="E2254">IFERROR(INDEX(user_table!$E$2:$E3686,MATCH(C2254,user_table!$B$2:$B3686,0)),"")
</f>
        <v>2, 3</v>
      </c>
      <c r="F2254" s="6" t="str">
        <f t="shared" si="2"/>
        <v>317011176</v>
      </c>
      <c r="G2254" s="16">
        <v>1.0</v>
      </c>
      <c r="H2254" s="17">
        <v>45084.0</v>
      </c>
      <c r="I2254" s="18" t="s">
        <v>2218</v>
      </c>
    </row>
    <row r="2255">
      <c r="A2255" s="5" t="str">
        <f t="array" ref="A2255">INDEX(event_table!$A$2:$A$69, RANDBETWEEN(1, COUNTA(event_table!$A$2:$A$69)))</f>
        <v>1114</v>
      </c>
      <c r="B2255" s="6">
        <f t="array" ref="B2255">IFERROR(INDEX(event_table!$E$1:$E3686,MATCH(A2255,event_table!$A$1:$A3686,0)),"")
</f>
        <v>1</v>
      </c>
      <c r="C2255" s="7">
        <f t="shared" si="1"/>
        <v>10</v>
      </c>
      <c r="D2255" s="6" t="str">
        <f t="array" ref="D2255">IFERROR(INDEX(user_table!$C$2:$C3686,MATCH(C2255,user_table!$B$2:$B3686,0)),"")
</f>
        <v>Dina Susanto</v>
      </c>
      <c r="E2255" s="6" t="str">
        <f t="array" ref="E2255">IFERROR(INDEX(user_table!$E$2:$E3686,MATCH(C2255,user_table!$B$2:$B3686,0)),"")
</f>
        <v>4, 5</v>
      </c>
      <c r="F2255" s="6" t="str">
        <f t="shared" si="2"/>
        <v>11141110</v>
      </c>
      <c r="G2255" s="16">
        <v>1.0</v>
      </c>
      <c r="H2255" s="17">
        <v>45067.0</v>
      </c>
      <c r="I2255" s="18" t="s">
        <v>2219</v>
      </c>
    </row>
    <row r="2256">
      <c r="A2256" s="5" t="str">
        <f t="array" ref="A2256">INDEX(event_table!$A$2:$A$69, RANDBETWEEN(1, COUNTA(event_table!$A$2:$A$69)))</f>
        <v>1638</v>
      </c>
      <c r="B2256" s="6">
        <f t="array" ref="B2256">IFERROR(INDEX(event_table!$E$1:$E3686,MATCH(A2256,event_table!$A$1:$A3686,0)),"")
</f>
        <v>6</v>
      </c>
      <c r="C2256" s="7">
        <f t="shared" si="1"/>
        <v>186</v>
      </c>
      <c r="D2256" s="6" t="str">
        <f t="array" ref="D2256">IFERROR(INDEX(user_table!$C$2:$C3686,MATCH(C2256,user_table!$B$2:$B3686,0)),"")
</f>
        <v>Budi Wijaya</v>
      </c>
      <c r="E2256" s="6" t="str">
        <f t="array" ref="E2256">IFERROR(INDEX(user_table!$E$2:$E3686,MATCH(C2256,user_table!$B$2:$B3686,0)),"")
</f>
        <v>1, 4</v>
      </c>
      <c r="F2256" s="6" t="str">
        <f t="shared" si="2"/>
        <v>163816186</v>
      </c>
      <c r="G2256" s="16">
        <v>1.0</v>
      </c>
      <c r="H2256" s="17">
        <v>45031.0</v>
      </c>
      <c r="I2256" s="18" t="s">
        <v>2220</v>
      </c>
    </row>
    <row r="2257">
      <c r="A2257" s="5" t="str">
        <f t="array" ref="A2257">INDEX(event_table!$A$2:$A$69, RANDBETWEEN(1, COUNTA(event_table!$A$2:$A$69)))</f>
        <v>3169</v>
      </c>
      <c r="B2257" s="6">
        <f t="array" ref="B2257">IFERROR(INDEX(event_table!$E$1:$E3686,MATCH(A2257,event_table!$A$1:$A3686,0)),"")
</f>
        <v>1</v>
      </c>
      <c r="C2257" s="7">
        <f t="shared" si="1"/>
        <v>168</v>
      </c>
      <c r="D2257" s="6" t="str">
        <f t="array" ref="D2257">IFERROR(INDEX(user_table!$C$2:$C3686,MATCH(C2257,user_table!$B$2:$B3686,0)),"")
</f>
        <v>Lina Kurniawan</v>
      </c>
      <c r="E2257" s="6" t="str">
        <f t="array" ref="E2257">IFERROR(INDEX(user_table!$E$2:$E3686,MATCH(C2257,user_table!$B$2:$B3686,0)),"")
</f>
        <v>2, 2</v>
      </c>
      <c r="F2257" s="6" t="str">
        <f t="shared" si="2"/>
        <v>316911168</v>
      </c>
      <c r="G2257" s="16">
        <v>1.0</v>
      </c>
      <c r="H2257" s="17">
        <v>45025.0</v>
      </c>
      <c r="I2257" s="18" t="s">
        <v>2221</v>
      </c>
    </row>
    <row r="2258">
      <c r="A2258" s="5" t="str">
        <f t="array" ref="A2258">INDEX(event_table!$A$2:$A$69, RANDBETWEEN(1, COUNTA(event_table!$A$2:$A$69)))</f>
        <v>1526</v>
      </c>
      <c r="B2258" s="6">
        <f t="array" ref="B2258">IFERROR(INDEX(event_table!$E$1:$E3686,MATCH(A2258,event_table!$A$1:$A3686,0)),"")
</f>
        <v>5</v>
      </c>
      <c r="C2258" s="7">
        <f t="shared" si="1"/>
        <v>177</v>
      </c>
      <c r="D2258" s="6" t="str">
        <f t="array" ref="D2258">IFERROR(INDEX(user_table!$C$2:$C3686,MATCH(C2258,user_table!$B$2:$B3686,0)),"")
</f>
        <v>Andi Susanto</v>
      </c>
      <c r="E2258" s="6" t="str">
        <f t="array" ref="E2258">IFERROR(INDEX(user_table!$E$2:$E3686,MATCH(C2258,user_table!$B$2:$B3686,0)),"")
</f>
        <v>2, 6</v>
      </c>
      <c r="F2258" s="6" t="str">
        <f t="shared" si="2"/>
        <v>152615177</v>
      </c>
      <c r="G2258" s="16">
        <v>1.0</v>
      </c>
      <c r="H2258" s="17">
        <v>45024.0</v>
      </c>
      <c r="I2258" s="18" t="s">
        <v>2222</v>
      </c>
    </row>
    <row r="2259">
      <c r="A2259" s="5" t="str">
        <f t="array" ref="A2259">INDEX(event_table!$A$2:$A$69, RANDBETWEEN(1, COUNTA(event_table!$A$2:$A$69)))</f>
        <v>1529</v>
      </c>
      <c r="B2259" s="6">
        <f t="array" ref="B2259">IFERROR(INDEX(event_table!$E$1:$E3686,MATCH(A2259,event_table!$A$1:$A3686,0)),"")
</f>
        <v>5</v>
      </c>
      <c r="C2259" s="7">
        <f t="shared" si="1"/>
        <v>33</v>
      </c>
      <c r="D2259" s="6" t="str">
        <f t="array" ref="D2259">IFERROR(INDEX(user_table!$C$2:$C3686,MATCH(C2259,user_table!$B$2:$B3686,0)),"")
</f>
        <v>Dewi Wijaya</v>
      </c>
      <c r="E2259" s="6" t="str">
        <f t="array" ref="E2259">IFERROR(INDEX(user_table!$E$2:$E3686,MATCH(C2259,user_table!$B$2:$B3686,0)),"")
</f>
        <v>4, 2</v>
      </c>
      <c r="F2259" s="6" t="str">
        <f t="shared" si="2"/>
        <v>15295533</v>
      </c>
      <c r="G2259" s="16">
        <v>5.0</v>
      </c>
      <c r="H2259" s="17">
        <v>44750.0</v>
      </c>
      <c r="I2259" s="18" t="s">
        <v>2223</v>
      </c>
    </row>
    <row r="2260">
      <c r="A2260" s="5" t="str">
        <f t="array" ref="A2260">INDEX(event_table!$A$2:$A$69, RANDBETWEEN(1, COUNTA(event_table!$A$2:$A$69)))</f>
        <v>117</v>
      </c>
      <c r="B2260" s="6">
        <f t="array" ref="B2260">IFERROR(INDEX(event_table!$E$1:$E3686,MATCH(A2260,event_table!$A$1:$A3686,0)),"")
</f>
        <v>1</v>
      </c>
      <c r="C2260" s="7">
        <f t="shared" si="1"/>
        <v>89</v>
      </c>
      <c r="D2260" s="6" t="str">
        <f t="array" ref="D2260">IFERROR(INDEX(user_table!$C$2:$C3686,MATCH(C2260,user_table!$B$2:$B3686,0)),"")
</f>
        <v>Hadi Wijaya</v>
      </c>
      <c r="E2260" s="6" t="str">
        <f t="array" ref="E2260">IFERROR(INDEX(user_table!$E$2:$E3686,MATCH(C2260,user_table!$B$2:$B3686,0)),"")
</f>
        <v>6, 4</v>
      </c>
      <c r="F2260" s="6" t="str">
        <f t="shared" si="2"/>
        <v>1175189</v>
      </c>
      <c r="G2260" s="16">
        <v>5.0</v>
      </c>
      <c r="H2260" s="17">
        <v>44731.0</v>
      </c>
      <c r="I2260" s="18" t="s">
        <v>2224</v>
      </c>
    </row>
    <row r="2261">
      <c r="A2261" s="5" t="str">
        <f t="array" ref="A2261">INDEX(event_table!$A$2:$A$69, RANDBETWEEN(1, COUNTA(event_table!$A$2:$A$69)))</f>
        <v>114</v>
      </c>
      <c r="B2261" s="6">
        <f t="array" ref="B2261">IFERROR(INDEX(event_table!$E$1:$E3686,MATCH(A2261,event_table!$A$1:$A3686,0)),"")
</f>
        <v>1</v>
      </c>
      <c r="C2261" s="7">
        <f t="shared" si="1"/>
        <v>176</v>
      </c>
      <c r="D2261" s="6" t="str">
        <f t="array" ref="D2261">IFERROR(INDEX(user_table!$C$2:$C3686,MATCH(C2261,user_table!$B$2:$B3686,0)),"")
</f>
        <v>Ani Hartono</v>
      </c>
      <c r="E2261" s="6" t="str">
        <f t="array" ref="E2261">IFERROR(INDEX(user_table!$E$2:$E3686,MATCH(C2261,user_table!$B$2:$B3686,0)),"")
</f>
        <v>2, 3</v>
      </c>
      <c r="F2261" s="6" t="str">
        <f t="shared" si="2"/>
        <v>11451176</v>
      </c>
      <c r="G2261" s="16">
        <v>5.0</v>
      </c>
      <c r="H2261" s="17">
        <v>44730.0</v>
      </c>
      <c r="I2261" s="18" t="s">
        <v>2225</v>
      </c>
    </row>
    <row r="2262">
      <c r="A2262" s="5" t="str">
        <f t="array" ref="A2262">INDEX(event_table!$A$2:$A$69, RANDBETWEEN(1, COUNTA(event_table!$A$2:$A$69)))</f>
        <v>1638</v>
      </c>
      <c r="B2262" s="6">
        <f t="array" ref="B2262">IFERROR(INDEX(event_table!$E$1:$E3686,MATCH(A2262,event_table!$A$1:$A3686,0)),"")
</f>
        <v>6</v>
      </c>
      <c r="C2262" s="7">
        <f t="shared" si="1"/>
        <v>13</v>
      </c>
      <c r="D2262" s="6" t="str">
        <f t="array" ref="D2262">IFERROR(INDEX(user_table!$C$2:$C3686,MATCH(C2262,user_table!$B$2:$B3686,0)),"")
</f>
        <v>Hadi Kurniawan</v>
      </c>
      <c r="E2262" s="6" t="str">
        <f t="array" ref="E2262">IFERROR(INDEX(user_table!$E$2:$E3686,MATCH(C2262,user_table!$B$2:$B3686,0)),"")
</f>
        <v>4, 3</v>
      </c>
      <c r="F2262" s="6" t="str">
        <f t="shared" si="2"/>
        <v>16385613</v>
      </c>
      <c r="G2262" s="16">
        <v>5.0</v>
      </c>
      <c r="H2262" s="17">
        <v>44721.0</v>
      </c>
      <c r="I2262" s="18" t="s">
        <v>2226</v>
      </c>
    </row>
    <row r="2263">
      <c r="A2263" s="5" t="str">
        <f t="array" ref="A2263">INDEX(event_table!$A$2:$A$69, RANDBETWEEN(1, COUNTA(event_table!$A$2:$A$69)))</f>
        <v>1640</v>
      </c>
      <c r="B2263" s="6">
        <f t="array" ref="B2263">IFERROR(INDEX(event_table!$E$1:$E3686,MATCH(A2263,event_table!$A$1:$A3686,0)),"")
</f>
        <v>6</v>
      </c>
      <c r="C2263" s="7">
        <f t="shared" si="1"/>
        <v>179</v>
      </c>
      <c r="D2263" s="6" t="str">
        <f t="array" ref="D2263">IFERROR(INDEX(user_table!$C$2:$C3686,MATCH(C2263,user_table!$B$2:$B3686,0)),"")
</f>
        <v>Andi Susanto</v>
      </c>
      <c r="E2263" s="6" t="str">
        <f t="array" ref="E2263">IFERROR(INDEX(user_table!$E$2:$E3686,MATCH(C2263,user_table!$B$2:$B3686,0)),"")
</f>
        <v>1, 6</v>
      </c>
      <c r="F2263" s="6" t="str">
        <f t="shared" si="2"/>
        <v>164056179</v>
      </c>
      <c r="G2263" s="16">
        <v>5.0</v>
      </c>
      <c r="H2263" s="17">
        <v>44716.0</v>
      </c>
      <c r="I2263" s="18" t="s">
        <v>2227</v>
      </c>
    </row>
    <row r="2264">
      <c r="A2264" s="5" t="str">
        <f t="array" ref="A2264">INDEX(event_table!$A$2:$A$69, RANDBETWEEN(1, COUNTA(event_table!$A$2:$A$69)))</f>
        <v>1422</v>
      </c>
      <c r="B2264" s="6">
        <f t="array" ref="B2264">IFERROR(INDEX(event_table!$E$1:$E3686,MATCH(A2264,event_table!$A$1:$A3686,0)),"")
</f>
        <v>4</v>
      </c>
      <c r="C2264" s="7">
        <f t="shared" si="1"/>
        <v>191</v>
      </c>
      <c r="D2264" s="6" t="str">
        <f t="array" ref="D2264">IFERROR(INDEX(user_table!$C$2:$C3686,MATCH(C2264,user_table!$B$2:$B3686,0)),"")
</f>
        <v>Rudi Hermawan</v>
      </c>
      <c r="E2264" s="6" t="str">
        <f t="array" ref="E2264">IFERROR(INDEX(user_table!$E$2:$E3686,MATCH(C2264,user_table!$B$2:$B3686,0)),"")
</f>
        <v>5, 6</v>
      </c>
      <c r="F2264" s="6" t="str">
        <f t="shared" si="2"/>
        <v>142254191</v>
      </c>
      <c r="G2264" s="16">
        <v>5.0</v>
      </c>
      <c r="H2264" s="17">
        <v>44715.0</v>
      </c>
      <c r="I2264" s="18" t="s">
        <v>2228</v>
      </c>
    </row>
    <row r="2265">
      <c r="A2265" s="5" t="str">
        <f t="array" ref="A2265">INDEX(event_table!$A$2:$A$69, RANDBETWEEN(1, COUNTA(event_table!$A$2:$A$69)))</f>
        <v>1647</v>
      </c>
      <c r="B2265" s="6">
        <f t="array" ref="B2265">IFERROR(INDEX(event_table!$E$1:$E3686,MATCH(A2265,event_table!$A$1:$A3686,0)),"")
</f>
        <v>6</v>
      </c>
      <c r="C2265" s="7">
        <f t="shared" si="1"/>
        <v>21</v>
      </c>
      <c r="D2265" s="6" t="str">
        <f t="array" ref="D2265">IFERROR(INDEX(user_table!$C$2:$C3686,MATCH(C2265,user_table!$B$2:$B3686,0)),"")
</f>
        <v>Budi Santoso</v>
      </c>
      <c r="E2265" s="6" t="str">
        <f t="array" ref="E2265">IFERROR(INDEX(user_table!$E$2:$E3686,MATCH(C2265,user_table!$B$2:$B3686,0)),"")
</f>
        <v>6, 1</v>
      </c>
      <c r="F2265" s="6" t="str">
        <f t="shared" si="2"/>
        <v>16475621</v>
      </c>
      <c r="G2265" s="16">
        <v>5.0</v>
      </c>
      <c r="H2265" s="17">
        <v>44709.0</v>
      </c>
      <c r="I2265" s="18" t="s">
        <v>2229</v>
      </c>
    </row>
    <row r="2266">
      <c r="A2266" s="5" t="str">
        <f t="array" ref="A2266">INDEX(event_table!$A$2:$A$69, RANDBETWEEN(1, COUNTA(event_table!$A$2:$A$69)))</f>
        <v>1646</v>
      </c>
      <c r="B2266" s="6">
        <f t="array" ref="B2266">IFERROR(INDEX(event_table!$E$1:$E3686,MATCH(A2266,event_table!$A$1:$A3686,0)),"")
</f>
        <v>6</v>
      </c>
      <c r="C2266" s="7">
        <f t="shared" si="1"/>
        <v>94</v>
      </c>
      <c r="D2266" s="6" t="str">
        <f t="array" ref="D2266">IFERROR(INDEX(user_table!$C$2:$C3686,MATCH(C2266,user_table!$B$2:$B3686,0)),"")
</f>
        <v>Ani Susanto</v>
      </c>
      <c r="E2266" s="6" t="str">
        <f t="array" ref="E2266">IFERROR(INDEX(user_table!$E$2:$E3686,MATCH(C2266,user_table!$B$2:$B3686,0)),"")
</f>
        <v>2, 4</v>
      </c>
      <c r="F2266" s="6" t="str">
        <f t="shared" si="2"/>
        <v>16465694</v>
      </c>
      <c r="G2266" s="16">
        <v>5.0</v>
      </c>
      <c r="H2266" s="17">
        <v>44704.0</v>
      </c>
      <c r="I2266" s="18" t="s">
        <v>2230</v>
      </c>
    </row>
    <row r="2267">
      <c r="A2267" s="5" t="str">
        <f t="array" ref="A2267">INDEX(event_table!$A$2:$A$69, RANDBETWEEN(1, COUNTA(event_table!$A$2:$A$69)))</f>
        <v>1424</v>
      </c>
      <c r="B2267" s="6">
        <f t="array" ref="B2267">IFERROR(INDEX(event_table!$E$1:$E3686,MATCH(A2267,event_table!$A$1:$A3686,0)),"")
</f>
        <v>4</v>
      </c>
      <c r="C2267" s="7">
        <f t="shared" si="1"/>
        <v>91</v>
      </c>
      <c r="D2267" s="6" t="str">
        <f t="array" ref="D2267">IFERROR(INDEX(user_table!$C$2:$C3686,MATCH(C2267,user_table!$B$2:$B3686,0)),"")
</f>
        <v>Bambang Wijaya</v>
      </c>
      <c r="E2267" s="6" t="str">
        <f t="array" ref="E2267">IFERROR(INDEX(user_table!$E$2:$E3686,MATCH(C2267,user_table!$B$2:$B3686,0)),"")
</f>
        <v>1, 2</v>
      </c>
      <c r="F2267" s="6" t="str">
        <f t="shared" si="2"/>
        <v>14245491</v>
      </c>
      <c r="G2267" s="16">
        <v>5.0</v>
      </c>
      <c r="H2267" s="17">
        <v>44696.0</v>
      </c>
      <c r="I2267" s="18" t="s">
        <v>2231</v>
      </c>
    </row>
    <row r="2268">
      <c r="A2268" s="5" t="str">
        <f t="array" ref="A2268">INDEX(event_table!$A$2:$A$69, RANDBETWEEN(1, COUNTA(event_table!$A$2:$A$69)))</f>
        <v>1313</v>
      </c>
      <c r="B2268" s="6">
        <f t="array" ref="B2268">IFERROR(INDEX(event_table!$E$1:$E3686,MATCH(A2268,event_table!$A$1:$A3686,0)),"")
</f>
        <v>3</v>
      </c>
      <c r="C2268" s="7">
        <f t="shared" si="1"/>
        <v>36</v>
      </c>
      <c r="D2268" s="6" t="str">
        <f t="array" ref="D2268">IFERROR(INDEX(user_table!$C$2:$C3686,MATCH(C2268,user_table!$B$2:$B3686,0)),"")
</f>
        <v>Arif Susanto</v>
      </c>
      <c r="E2268" s="6" t="str">
        <f t="array" ref="E2268">IFERROR(INDEX(user_table!$E$2:$E3686,MATCH(C2268,user_table!$B$2:$B3686,0)),"")
</f>
        <v>3, 5</v>
      </c>
      <c r="F2268" s="6" t="str">
        <f t="shared" si="2"/>
        <v>13135336</v>
      </c>
      <c r="G2268" s="16">
        <v>5.0</v>
      </c>
      <c r="H2268" s="17">
        <v>44696.0</v>
      </c>
      <c r="I2268" s="18" t="s">
        <v>2232</v>
      </c>
    </row>
    <row r="2269">
      <c r="A2269" s="5" t="str">
        <f t="array" ref="A2269">INDEX(event_table!$A$2:$A$69, RANDBETWEEN(1, COUNTA(event_table!$A$2:$A$69)))</f>
        <v>1111</v>
      </c>
      <c r="B2269" s="6">
        <f t="array" ref="B2269">IFERROR(INDEX(event_table!$E$1:$E3686,MATCH(A2269,event_table!$A$1:$A3686,0)),"")
</f>
        <v>1</v>
      </c>
      <c r="C2269" s="7">
        <f t="shared" si="1"/>
        <v>117</v>
      </c>
      <c r="D2269" s="6" t="str">
        <f t="array" ref="D2269">IFERROR(INDEX(user_table!$C$2:$C3686,MATCH(C2269,user_table!$B$2:$B3686,0)),"")
</f>
        <v>Wahyu Sari</v>
      </c>
      <c r="E2269" s="6" t="str">
        <f t="array" ref="E2269">IFERROR(INDEX(user_table!$E$2:$E3686,MATCH(C2269,user_table!$B$2:$B3686,0)),"")
</f>
        <v>4, 2</v>
      </c>
      <c r="F2269" s="6" t="str">
        <f t="shared" si="2"/>
        <v>111151117</v>
      </c>
      <c r="G2269" s="16">
        <v>5.0</v>
      </c>
      <c r="H2269" s="17">
        <v>44696.0</v>
      </c>
      <c r="I2269" s="18" t="s">
        <v>2233</v>
      </c>
    </row>
    <row r="2270">
      <c r="A2270" s="5" t="str">
        <f t="array" ref="A2270">INDEX(event_table!$A$2:$A$69, RANDBETWEEN(1, COUNTA(event_table!$A$2:$A$69)))</f>
        <v>113</v>
      </c>
      <c r="B2270" s="6">
        <f t="array" ref="B2270">IFERROR(INDEX(event_table!$E$1:$E3686,MATCH(A2270,event_table!$A$1:$A3686,0)),"")
</f>
        <v>1</v>
      </c>
      <c r="C2270" s="7">
        <f t="shared" si="1"/>
        <v>161</v>
      </c>
      <c r="D2270" s="6" t="str">
        <f t="array" ref="D2270">IFERROR(INDEX(user_table!$C$2:$C3686,MATCH(C2270,user_table!$B$2:$B3686,0)),"")
</f>
        <v>Lina Nugroho</v>
      </c>
      <c r="E2270" s="6" t="str">
        <f t="array" ref="E2270">IFERROR(INDEX(user_table!$E$2:$E3686,MATCH(C2270,user_table!$B$2:$B3686,0)),"")
</f>
        <v>6, 5</v>
      </c>
      <c r="F2270" s="6" t="str">
        <f t="shared" si="2"/>
        <v>11351161</v>
      </c>
      <c r="G2270" s="16">
        <v>5.0</v>
      </c>
      <c r="H2270" s="17">
        <v>44693.0</v>
      </c>
      <c r="I2270" s="18" t="s">
        <v>2234</v>
      </c>
    </row>
    <row r="2271">
      <c r="A2271" s="5" t="str">
        <f t="array" ref="A2271">INDEX(event_table!$A$2:$A$69, RANDBETWEEN(1, COUNTA(event_table!$A$2:$A$69)))</f>
        <v>1651</v>
      </c>
      <c r="B2271" s="6">
        <f t="array" ref="B2271">IFERROR(INDEX(event_table!$E$1:$E3686,MATCH(A2271,event_table!$A$1:$A3686,0)),"")
</f>
        <v>6</v>
      </c>
      <c r="C2271" s="7">
        <f t="shared" si="1"/>
        <v>100</v>
      </c>
      <c r="D2271" s="6" t="str">
        <f t="array" ref="D2271">IFERROR(INDEX(user_table!$C$2:$C3686,MATCH(C2271,user_table!$B$2:$B3686,0)),"")
</f>
        <v>Lina Rahayu</v>
      </c>
      <c r="E2271" s="6" t="str">
        <f t="array" ref="E2271">IFERROR(INDEX(user_table!$E$2:$E3686,MATCH(C2271,user_table!$B$2:$B3686,0)),"")
</f>
        <v>6, 2</v>
      </c>
      <c r="F2271" s="6" t="str">
        <f t="shared" si="2"/>
        <v>165156100</v>
      </c>
      <c r="G2271" s="16">
        <v>5.0</v>
      </c>
      <c r="H2271" s="17">
        <v>44688.0</v>
      </c>
      <c r="I2271" s="18" t="s">
        <v>2235</v>
      </c>
    </row>
    <row r="2272">
      <c r="A2272" s="5" t="str">
        <f t="array" ref="A2272">INDEX(event_table!$A$2:$A$69, RANDBETWEEN(1, COUNTA(event_table!$A$2:$A$69)))</f>
        <v>1528</v>
      </c>
      <c r="B2272" s="6">
        <f t="array" ref="B2272">IFERROR(INDEX(event_table!$E$1:$E3686,MATCH(A2272,event_table!$A$1:$A3686,0)),"")
</f>
        <v>5</v>
      </c>
      <c r="C2272" s="7">
        <f t="shared" si="1"/>
        <v>64</v>
      </c>
      <c r="D2272" s="6" t="str">
        <f t="array" ref="D2272">IFERROR(INDEX(user_table!$C$2:$C3686,MATCH(C2272,user_table!$B$2:$B3686,0)),"")
</f>
        <v>Fajar Utami</v>
      </c>
      <c r="E2272" s="6" t="str">
        <f t="array" ref="E2272">IFERROR(INDEX(user_table!$E$2:$E3686,MATCH(C2272,user_table!$B$2:$B3686,0)),"")
</f>
        <v>5, 2</v>
      </c>
      <c r="F2272" s="6" t="str">
        <f t="shared" si="2"/>
        <v>15285564</v>
      </c>
      <c r="G2272" s="16">
        <v>5.0</v>
      </c>
      <c r="H2272" s="17">
        <v>44936.0</v>
      </c>
      <c r="I2272" s="18" t="s">
        <v>2236</v>
      </c>
    </row>
    <row r="2273">
      <c r="A2273" s="5" t="str">
        <f t="array" ref="A2273">INDEX(event_table!$A$2:$A$69, RANDBETWEEN(1, COUNTA(event_table!$A$2:$A$69)))</f>
        <v>1638</v>
      </c>
      <c r="B2273" s="6">
        <f t="array" ref="B2273">IFERROR(INDEX(event_table!$E$1:$E3686,MATCH(A2273,event_table!$A$1:$A3686,0)),"")
</f>
        <v>6</v>
      </c>
      <c r="C2273" s="7">
        <f t="shared" si="1"/>
        <v>113</v>
      </c>
      <c r="D2273" s="6" t="str">
        <f t="array" ref="D2273">IFERROR(INDEX(user_table!$C$2:$C3686,MATCH(C2273,user_table!$B$2:$B3686,0)),"")
</f>
        <v>Budi Wijaya</v>
      </c>
      <c r="E2273" s="6" t="str">
        <f t="array" ref="E2273">IFERROR(INDEX(user_table!$E$2:$E3686,MATCH(C2273,user_table!$B$2:$B3686,0)),"")
</f>
        <v>1, 5</v>
      </c>
      <c r="F2273" s="6" t="str">
        <f t="shared" si="2"/>
        <v>163856113</v>
      </c>
      <c r="G2273" s="16">
        <v>5.0</v>
      </c>
      <c r="H2273" s="17">
        <v>44878.0</v>
      </c>
      <c r="I2273" s="18" t="s">
        <v>2237</v>
      </c>
    </row>
    <row r="2274">
      <c r="A2274" s="5" t="str">
        <f t="array" ref="A2274">INDEX(event_table!$A$2:$A$69, RANDBETWEEN(1, COUNTA(event_table!$A$2:$A$69)))</f>
        <v>118</v>
      </c>
      <c r="B2274" s="6">
        <f t="array" ref="B2274">IFERROR(INDEX(event_table!$E$1:$E3686,MATCH(A2274,event_table!$A$1:$A3686,0)),"")
</f>
        <v>1</v>
      </c>
      <c r="C2274" s="7">
        <f t="shared" si="1"/>
        <v>123</v>
      </c>
      <c r="D2274" s="6" t="str">
        <f t="array" ref="D2274">IFERROR(INDEX(user_table!$C$2:$C3686,MATCH(C2274,user_table!$B$2:$B3686,0)),"")
</f>
        <v>Lina Hartono</v>
      </c>
      <c r="E2274" s="6" t="str">
        <f t="array" ref="E2274">IFERROR(INDEX(user_table!$E$2:$E3686,MATCH(C2274,user_table!$B$2:$B3686,0)),"")
</f>
        <v>6, 5</v>
      </c>
      <c r="F2274" s="6" t="str">
        <f t="shared" si="2"/>
        <v>11851123</v>
      </c>
      <c r="G2274" s="16">
        <v>5.0</v>
      </c>
      <c r="H2274" s="17">
        <v>44872.0</v>
      </c>
      <c r="I2274" s="18" t="s">
        <v>2238</v>
      </c>
    </row>
    <row r="2275">
      <c r="A2275" s="5" t="str">
        <f t="array" ref="A2275">INDEX(event_table!$A$2:$A$69, RANDBETWEEN(1, COUNTA(event_table!$A$2:$A$69)))</f>
        <v>1646</v>
      </c>
      <c r="B2275" s="6">
        <f t="array" ref="B2275">IFERROR(INDEX(event_table!$E$1:$E3686,MATCH(A2275,event_table!$A$1:$A3686,0)),"")
</f>
        <v>6</v>
      </c>
      <c r="C2275" s="7">
        <f t="shared" si="1"/>
        <v>101</v>
      </c>
      <c r="D2275" s="6" t="str">
        <f t="array" ref="D2275">IFERROR(INDEX(user_table!$C$2:$C3686,MATCH(C2275,user_table!$B$2:$B3686,0)),"")
</f>
        <v>Maya Hadiwijaya</v>
      </c>
      <c r="E2275" s="6" t="str">
        <f t="array" ref="E2275">IFERROR(INDEX(user_table!$E$2:$E3686,MATCH(C2275,user_table!$B$2:$B3686,0)),"")
</f>
        <v>5, 4</v>
      </c>
      <c r="F2275" s="6" t="str">
        <f t="shared" si="2"/>
        <v>164656101</v>
      </c>
      <c r="G2275" s="16">
        <v>5.0</v>
      </c>
      <c r="H2275" s="17">
        <v>44731.0</v>
      </c>
      <c r="I2275" s="18" t="s">
        <v>2239</v>
      </c>
    </row>
    <row r="2276">
      <c r="A2276" s="5" t="str">
        <f t="array" ref="A2276">INDEX(event_table!$A$2:$A$69, RANDBETWEEN(1, COUNTA(event_table!$A$2:$A$69)))</f>
        <v>113</v>
      </c>
      <c r="B2276" s="6">
        <f t="array" ref="B2276">IFERROR(INDEX(event_table!$E$1:$E3686,MATCH(A2276,event_table!$A$1:$A3686,0)),"")
</f>
        <v>1</v>
      </c>
      <c r="C2276" s="7">
        <f t="shared" si="1"/>
        <v>52</v>
      </c>
      <c r="D2276" s="6" t="str">
        <f t="array" ref="D2276">IFERROR(INDEX(user_table!$C$2:$C3686,MATCH(C2276,user_table!$B$2:$B3686,0)),"")
</f>
        <v>Ani Nurhayati</v>
      </c>
      <c r="E2276" s="6" t="str">
        <f t="array" ref="E2276">IFERROR(INDEX(user_table!$E$2:$E3686,MATCH(C2276,user_table!$B$2:$B3686,0)),"")
</f>
        <v>2, 2</v>
      </c>
      <c r="F2276" s="6" t="str">
        <f t="shared" si="2"/>
        <v>1135152</v>
      </c>
      <c r="G2276" s="16">
        <v>5.0</v>
      </c>
      <c r="H2276" s="17">
        <v>44691.0</v>
      </c>
      <c r="I2276" s="18" t="s">
        <v>2240</v>
      </c>
    </row>
    <row r="2277">
      <c r="A2277" s="5" t="str">
        <f t="array" ref="A2277">INDEX(event_table!$A$2:$A$69, RANDBETWEEN(1, COUNTA(event_table!$A$2:$A$69)))</f>
        <v>1645</v>
      </c>
      <c r="B2277" s="6">
        <f t="array" ref="B2277">IFERROR(INDEX(event_table!$E$1:$E3686,MATCH(A2277,event_table!$A$1:$A3686,0)),"")
</f>
        <v>6</v>
      </c>
      <c r="C2277" s="7">
        <f t="shared" si="1"/>
        <v>181</v>
      </c>
      <c r="D2277" s="6" t="str">
        <f t="array" ref="D2277">IFERROR(INDEX(user_table!$C$2:$C3686,MATCH(C2277,user_table!$B$2:$B3686,0)),"")
</f>
        <v>Andi Hadiwijaya</v>
      </c>
      <c r="E2277" s="6" t="str">
        <f t="array" ref="E2277">IFERROR(INDEX(user_table!$E$2:$E3686,MATCH(C2277,user_table!$B$2:$B3686,0)),"")
</f>
        <v>3, 2</v>
      </c>
      <c r="F2277" s="6" t="str">
        <f t="shared" si="2"/>
        <v>164546181</v>
      </c>
      <c r="G2277" s="16">
        <v>4.0</v>
      </c>
      <c r="H2277" s="17">
        <v>45120.0</v>
      </c>
      <c r="I2277" s="18" t="s">
        <v>2241</v>
      </c>
    </row>
    <row r="2278">
      <c r="A2278" s="5" t="str">
        <f t="array" ref="A2278">INDEX(event_table!$A$2:$A$69, RANDBETWEEN(1, COUNTA(event_table!$A$2:$A$69)))</f>
        <v>1215</v>
      </c>
      <c r="B2278" s="6">
        <f t="array" ref="B2278">IFERROR(INDEX(event_table!$E$1:$E3686,MATCH(A2278,event_table!$A$1:$A3686,0)),"")
</f>
        <v>2</v>
      </c>
      <c r="C2278" s="7">
        <f t="shared" si="1"/>
        <v>129</v>
      </c>
      <c r="D2278" s="6" t="str">
        <f t="array" ref="D2278">IFERROR(INDEX(user_table!$C$2:$C3686,MATCH(C2278,user_table!$B$2:$B3686,0)),"")
</f>
        <v>Maya Kusuma</v>
      </c>
      <c r="E2278" s="6" t="str">
        <f t="array" ref="E2278">IFERROR(INDEX(user_table!$E$2:$E3686,MATCH(C2278,user_table!$B$2:$B3686,0)),"")
</f>
        <v>4, 6</v>
      </c>
      <c r="F2278" s="6" t="str">
        <f t="shared" si="2"/>
        <v>121542129</v>
      </c>
      <c r="G2278" s="16">
        <v>4.0</v>
      </c>
      <c r="H2278" s="17">
        <v>45065.0</v>
      </c>
      <c r="I2278" s="18" t="s">
        <v>2242</v>
      </c>
    </row>
    <row r="2279">
      <c r="A2279" s="5" t="str">
        <f t="array" ref="A2279">INDEX(event_table!$A$2:$A$69, RANDBETWEEN(1, COUNTA(event_table!$A$2:$A$69)))</f>
        <v>1642</v>
      </c>
      <c r="B2279" s="6">
        <f t="array" ref="B2279">IFERROR(INDEX(event_table!$E$1:$E3686,MATCH(A2279,event_table!$A$1:$A3686,0)),"")
</f>
        <v>6</v>
      </c>
      <c r="C2279" s="7">
        <f t="shared" si="1"/>
        <v>96</v>
      </c>
      <c r="D2279" s="6" t="str">
        <f t="array" ref="D2279">IFERROR(INDEX(user_table!$C$2:$C3686,MATCH(C2279,user_table!$B$2:$B3686,0)),"")
</f>
        <v>Budi Sari</v>
      </c>
      <c r="E2279" s="6" t="str">
        <f t="array" ref="E2279">IFERROR(INDEX(user_table!$E$2:$E3686,MATCH(C2279,user_table!$B$2:$B3686,0)),"")
</f>
        <v>3, 2</v>
      </c>
      <c r="F2279" s="6" t="str">
        <f t="shared" si="2"/>
        <v>16424696</v>
      </c>
      <c r="G2279" s="16">
        <v>4.0</v>
      </c>
      <c r="H2279" s="17">
        <v>44852.0</v>
      </c>
      <c r="I2279" s="18" t="s">
        <v>2014</v>
      </c>
    </row>
    <row r="2280">
      <c r="A2280" s="5" t="str">
        <f t="array" ref="A2280">INDEX(event_table!$A$2:$A$69, RANDBETWEEN(1, COUNTA(event_table!$A$2:$A$69)))</f>
        <v>1334</v>
      </c>
      <c r="B2280" s="6">
        <f t="array" ref="B2280">IFERROR(INDEX(event_table!$E$1:$E3686,MATCH(A2280,event_table!$A$1:$A3686,0)),"")
</f>
        <v>3</v>
      </c>
      <c r="C2280" s="7">
        <f t="shared" si="1"/>
        <v>55</v>
      </c>
      <c r="D2280" s="6" t="str">
        <f t="array" ref="D2280">IFERROR(INDEX(user_table!$C$2:$C3686,MATCH(C2280,user_table!$B$2:$B3686,0)),"")
</f>
        <v>Joko Sari</v>
      </c>
      <c r="E2280" s="6" t="str">
        <f t="array" ref="E2280">IFERROR(INDEX(user_table!$E$2:$E3686,MATCH(C2280,user_table!$B$2:$B3686,0)),"")
</f>
        <v>6, 6</v>
      </c>
      <c r="F2280" s="6" t="str">
        <f t="shared" si="2"/>
        <v>13343355</v>
      </c>
      <c r="G2280" s="16">
        <v>3.0</v>
      </c>
      <c r="H2280" s="17">
        <v>45165.0</v>
      </c>
      <c r="I2280" s="18" t="s">
        <v>2243</v>
      </c>
    </row>
    <row r="2281">
      <c r="A2281" s="5" t="str">
        <f t="array" ref="A2281">INDEX(event_table!$A$2:$A$69, RANDBETWEEN(1, COUNTA(event_table!$A$2:$A$69)))</f>
        <v>119</v>
      </c>
      <c r="B2281" s="6">
        <f t="array" ref="B2281">IFERROR(INDEX(event_table!$E$1:$E3686,MATCH(A2281,event_table!$A$1:$A3686,0)),"")
</f>
        <v>1</v>
      </c>
      <c r="C2281" s="7">
        <f t="shared" si="1"/>
        <v>172</v>
      </c>
      <c r="D2281" s="6" t="str">
        <f t="array" ref="D2281">IFERROR(INDEX(user_table!$C$2:$C3686,MATCH(C2281,user_table!$B$2:$B3686,0)),"")
</f>
        <v>Dian Kurniawan</v>
      </c>
      <c r="E2281" s="6" t="str">
        <f t="array" ref="E2281">IFERROR(INDEX(user_table!$E$2:$E3686,MATCH(C2281,user_table!$B$2:$B3686,0)),"")
</f>
        <v>1, 2</v>
      </c>
      <c r="F2281" s="6" t="str">
        <f t="shared" si="2"/>
        <v>11931172</v>
      </c>
      <c r="G2281" s="16">
        <v>3.0</v>
      </c>
      <c r="H2281" s="17">
        <v>45113.0</v>
      </c>
      <c r="I2281" s="18" t="s">
        <v>2244</v>
      </c>
    </row>
    <row r="2282">
      <c r="A2282" s="5" t="str">
        <f t="array" ref="A2282">INDEX(event_table!$A$2:$A$69, RANDBETWEEN(1, COUNTA(event_table!$A$2:$A$69)))</f>
        <v>1332</v>
      </c>
      <c r="B2282" s="6">
        <f t="array" ref="B2282">IFERROR(INDEX(event_table!$E$1:$E3686,MATCH(A2282,event_table!$A$1:$A3686,0)),"")
</f>
        <v>3</v>
      </c>
      <c r="C2282" s="7">
        <f t="shared" si="1"/>
        <v>58</v>
      </c>
      <c r="D2282" s="6" t="str">
        <f t="array" ref="D2282">IFERROR(INDEX(user_table!$C$2:$C3686,MATCH(C2282,user_table!$B$2:$B3686,0)),"")
</f>
        <v>Joko Septiani</v>
      </c>
      <c r="E2282" s="6" t="str">
        <f t="array" ref="E2282">IFERROR(INDEX(user_table!$E$2:$E3686,MATCH(C2282,user_table!$B$2:$B3686,0)),"")
</f>
        <v>2, 5</v>
      </c>
      <c r="F2282" s="6" t="str">
        <f t="shared" si="2"/>
        <v>13322358</v>
      </c>
      <c r="G2282" s="16">
        <v>2.0</v>
      </c>
      <c r="H2282" s="17">
        <v>44711.0</v>
      </c>
      <c r="I2282" s="18" t="s">
        <v>2245</v>
      </c>
    </row>
    <row r="2283">
      <c r="A2283" s="5" t="str">
        <f t="array" ref="A2283">INDEX(event_table!$A$2:$A$69, RANDBETWEEN(1, COUNTA(event_table!$A$2:$A$69)))</f>
        <v>1638</v>
      </c>
      <c r="B2283" s="6">
        <f t="array" ref="B2283">IFERROR(INDEX(event_table!$E$1:$E3686,MATCH(A2283,event_table!$A$1:$A3686,0)),"")
</f>
        <v>6</v>
      </c>
      <c r="C2283" s="7">
        <f t="shared" si="1"/>
        <v>14</v>
      </c>
      <c r="D2283" s="6" t="str">
        <f t="array" ref="D2283">IFERROR(INDEX(user_table!$C$2:$C3686,MATCH(C2283,user_table!$B$2:$B3686,0)),"")
</f>
        <v>Ani Purnama</v>
      </c>
      <c r="E2283" s="6" t="str">
        <f t="array" ref="E2283">IFERROR(INDEX(user_table!$E$2:$E3686,MATCH(C2283,user_table!$B$2:$B3686,0)),"")
</f>
        <v>6, 2</v>
      </c>
      <c r="F2283" s="6" t="str">
        <f t="shared" si="2"/>
        <v>16382614</v>
      </c>
      <c r="G2283" s="16">
        <v>2.0</v>
      </c>
      <c r="H2283" s="17">
        <v>45041.0</v>
      </c>
      <c r="I2283" s="18" t="s">
        <v>2246</v>
      </c>
    </row>
    <row r="2284">
      <c r="A2284" s="5" t="str">
        <f t="array" ref="A2284">INDEX(event_table!$A$2:$A$69, RANDBETWEEN(1, COUNTA(event_table!$A$2:$A$69)))</f>
        <v>118</v>
      </c>
      <c r="B2284" s="6">
        <f t="array" ref="B2284">IFERROR(INDEX(event_table!$E$1:$E3686,MATCH(A2284,event_table!$A$1:$A3686,0)),"")
</f>
        <v>1</v>
      </c>
      <c r="C2284" s="7">
        <f t="shared" si="1"/>
        <v>74</v>
      </c>
      <c r="D2284" s="6" t="str">
        <f t="array" ref="D2284">IFERROR(INDEX(user_table!$C$2:$C3686,MATCH(C2284,user_table!$B$2:$B3686,0)),"")
</f>
        <v>Arif Purnama</v>
      </c>
      <c r="E2284" s="6" t="str">
        <f t="array" ref="E2284">IFERROR(INDEX(user_table!$E$2:$E3686,MATCH(C2284,user_table!$B$2:$B3686,0)),"")
</f>
        <v>3, 2</v>
      </c>
      <c r="F2284" s="6" t="str">
        <f t="shared" si="2"/>
        <v>1182174</v>
      </c>
      <c r="G2284" s="16">
        <v>2.0</v>
      </c>
      <c r="H2284" s="17">
        <v>45076.0</v>
      </c>
      <c r="I2284" s="18" t="s">
        <v>2247</v>
      </c>
    </row>
    <row r="2285">
      <c r="A2285" s="5" t="str">
        <f t="array" ref="A2285">INDEX(event_table!$A$2:$A$69, RANDBETWEEN(1, COUNTA(event_table!$A$2:$A$69)))</f>
        <v>1651</v>
      </c>
      <c r="B2285" s="6">
        <f t="array" ref="B2285">IFERROR(INDEX(event_table!$E$1:$E3686,MATCH(A2285,event_table!$A$1:$A3686,0)),"")
</f>
        <v>6</v>
      </c>
      <c r="C2285" s="7">
        <f t="shared" si="1"/>
        <v>94</v>
      </c>
      <c r="D2285" s="6" t="str">
        <f t="array" ref="D2285">IFERROR(INDEX(user_table!$C$2:$C3686,MATCH(C2285,user_table!$B$2:$B3686,0)),"")
</f>
        <v>Ani Susanto</v>
      </c>
      <c r="E2285" s="6" t="str">
        <f t="array" ref="E2285">IFERROR(INDEX(user_table!$E$2:$E3686,MATCH(C2285,user_table!$B$2:$B3686,0)),"")
</f>
        <v>2, 4</v>
      </c>
      <c r="F2285" s="6" t="str">
        <f t="shared" si="2"/>
        <v>16512694</v>
      </c>
      <c r="G2285" s="16">
        <v>2.0</v>
      </c>
      <c r="H2285" s="17">
        <v>45013.0</v>
      </c>
      <c r="I2285" s="18" t="s">
        <v>2248</v>
      </c>
    </row>
    <row r="2286">
      <c r="A2286" s="5" t="str">
        <f t="array" ref="A2286">INDEX(event_table!$A$2:$A$69, RANDBETWEEN(1, COUNTA(event_table!$A$2:$A$69)))</f>
        <v>1424</v>
      </c>
      <c r="B2286" s="6">
        <f t="array" ref="B2286">IFERROR(INDEX(event_table!$E$1:$E3686,MATCH(A2286,event_table!$A$1:$A3686,0)),"")
</f>
        <v>4</v>
      </c>
      <c r="C2286" s="7">
        <f t="shared" si="1"/>
        <v>182</v>
      </c>
      <c r="D2286" s="6" t="str">
        <f t="array" ref="D2286">IFERROR(INDEX(user_table!$C$2:$C3686,MATCH(C2286,user_table!$B$2:$B3686,0)),"")
</f>
        <v>Siti Utami</v>
      </c>
      <c r="E2286" s="6" t="str">
        <f t="array" ref="E2286">IFERROR(INDEX(user_table!$E$2:$E3686,MATCH(C2286,user_table!$B$2:$B3686,0)),"")
</f>
        <v>5, 4</v>
      </c>
      <c r="F2286" s="6" t="str">
        <f t="shared" si="2"/>
        <v>142424182</v>
      </c>
      <c r="G2286" s="16">
        <v>2.0</v>
      </c>
      <c r="H2286" s="17">
        <v>44786.0</v>
      </c>
      <c r="I2286" s="18" t="s">
        <v>2249</v>
      </c>
    </row>
    <row r="2287">
      <c r="A2287" s="5" t="str">
        <f t="array" ref="A2287">INDEX(event_table!$A$2:$A$69, RANDBETWEEN(1, COUNTA(event_table!$A$2:$A$69)))</f>
        <v>118</v>
      </c>
      <c r="B2287" s="6">
        <f t="array" ref="B2287">IFERROR(INDEX(event_table!$E$1:$E3686,MATCH(A2287,event_table!$A$1:$A3686,0)),"")
</f>
        <v>1</v>
      </c>
      <c r="C2287" s="7">
        <f t="shared" si="1"/>
        <v>158</v>
      </c>
      <c r="D2287" s="6" t="str">
        <f t="array" ref="D2287">IFERROR(INDEX(user_table!$C$2:$C3686,MATCH(C2287,user_table!$B$2:$B3686,0)),"")
</f>
        <v>Maya Wijaya</v>
      </c>
      <c r="E2287" s="6" t="str">
        <f t="array" ref="E2287">IFERROR(INDEX(user_table!$E$2:$E3686,MATCH(C2287,user_table!$B$2:$B3686,0)),"")
</f>
        <v>3, 4</v>
      </c>
      <c r="F2287" s="6" t="str">
        <f t="shared" si="2"/>
        <v>11821158</v>
      </c>
      <c r="G2287" s="16">
        <v>2.0</v>
      </c>
      <c r="H2287" s="17">
        <v>44661.0</v>
      </c>
      <c r="I2287" s="18" t="s">
        <v>2250</v>
      </c>
    </row>
    <row r="2288">
      <c r="A2288" s="5" t="str">
        <f t="array" ref="A2288">INDEX(event_table!$A$2:$A$69, RANDBETWEEN(1, COUNTA(event_table!$A$2:$A$69)))</f>
        <v>1638</v>
      </c>
      <c r="B2288" s="6">
        <f t="array" ref="B2288">IFERROR(INDEX(event_table!$E$1:$E3686,MATCH(A2288,event_table!$A$1:$A3686,0)),"")
</f>
        <v>6</v>
      </c>
      <c r="C2288" s="7">
        <f t="shared" si="1"/>
        <v>101</v>
      </c>
      <c r="D2288" s="6" t="str">
        <f t="array" ref="D2288">IFERROR(INDEX(user_table!$C$2:$C3686,MATCH(C2288,user_table!$B$2:$B3686,0)),"")
</f>
        <v>Maya Hadiwijaya</v>
      </c>
      <c r="E2288" s="6" t="str">
        <f t="array" ref="E2288">IFERROR(INDEX(user_table!$E$2:$E3686,MATCH(C2288,user_table!$B$2:$B3686,0)),"")
</f>
        <v>5, 4</v>
      </c>
      <c r="F2288" s="6" t="str">
        <f t="shared" si="2"/>
        <v>163826101</v>
      </c>
      <c r="G2288" s="16">
        <v>2.0</v>
      </c>
      <c r="H2288" s="17">
        <v>44443.0</v>
      </c>
      <c r="I2288" s="18" t="s">
        <v>2251</v>
      </c>
    </row>
    <row r="2289">
      <c r="A2289" s="5" t="str">
        <f t="array" ref="A2289">INDEX(event_table!$A$2:$A$69, RANDBETWEEN(1, COUNTA(event_table!$A$2:$A$69)))</f>
        <v>1649</v>
      </c>
      <c r="B2289" s="6">
        <f t="array" ref="B2289">IFERROR(INDEX(event_table!$E$1:$E3686,MATCH(A2289,event_table!$A$1:$A3686,0)),"")
</f>
        <v>6</v>
      </c>
      <c r="C2289" s="7">
        <f t="shared" si="1"/>
        <v>184</v>
      </c>
      <c r="D2289" s="6" t="str">
        <f t="array" ref="D2289">IFERROR(INDEX(user_table!$C$2:$C3686,MATCH(C2289,user_table!$B$2:$B3686,0)),"")
</f>
        <v>Dewi Hadiwijaya</v>
      </c>
      <c r="E2289" s="6" t="str">
        <f t="array" ref="E2289">IFERROR(INDEX(user_table!$E$2:$E3686,MATCH(C2289,user_table!$B$2:$B3686,0)),"")
</f>
        <v>2, 1</v>
      </c>
      <c r="F2289" s="6" t="str">
        <f t="shared" si="2"/>
        <v>164926184</v>
      </c>
      <c r="G2289" s="16">
        <v>2.0</v>
      </c>
      <c r="H2289" s="17">
        <v>44320.0</v>
      </c>
      <c r="I2289" s="18" t="s">
        <v>2252</v>
      </c>
    </row>
    <row r="2290">
      <c r="A2290" s="5" t="str">
        <f t="array" ref="A2290">INDEX(event_table!$A$2:$A$69, RANDBETWEEN(1, COUNTA(event_table!$A$2:$A$69)))</f>
        <v>3657</v>
      </c>
      <c r="B2290" s="6">
        <f t="array" ref="B2290">IFERROR(INDEX(event_table!$E$1:$E3686,MATCH(A2290,event_table!$A$1:$A3686,0)),"")
</f>
        <v>6</v>
      </c>
      <c r="C2290" s="7">
        <f t="shared" si="1"/>
        <v>16</v>
      </c>
      <c r="D2290" s="6" t="str">
        <f t="array" ref="D2290">IFERROR(INDEX(user_table!$C$2:$C3686,MATCH(C2290,user_table!$B$2:$B3686,0)),"")
</f>
        <v>Siti Utami</v>
      </c>
      <c r="E2290" s="6" t="str">
        <f t="array" ref="E2290">IFERROR(INDEX(user_table!$E$2:$E3686,MATCH(C2290,user_table!$B$2:$B3686,0)),"")
</f>
        <v>1, 2</v>
      </c>
      <c r="F2290" s="6" t="str">
        <f t="shared" si="2"/>
        <v>36572616</v>
      </c>
      <c r="G2290" s="16">
        <v>2.0</v>
      </c>
      <c r="H2290" s="17">
        <v>45234.0</v>
      </c>
      <c r="I2290" s="18" t="s">
        <v>2253</v>
      </c>
    </row>
    <row r="2291">
      <c r="A2291" s="5" t="str">
        <f t="array" ref="A2291">INDEX(event_table!$A$2:$A$69, RANDBETWEEN(1, COUNTA(event_table!$A$2:$A$69)))</f>
        <v>1636</v>
      </c>
      <c r="B2291" s="6">
        <f t="array" ref="B2291">IFERROR(INDEX(event_table!$E$1:$E3686,MATCH(A2291,event_table!$A$1:$A3686,0)),"")
</f>
        <v>6</v>
      </c>
      <c r="C2291" s="7">
        <f t="shared" si="1"/>
        <v>97</v>
      </c>
      <c r="D2291" s="6" t="str">
        <f t="array" ref="D2291">IFERROR(INDEX(user_table!$C$2:$C3686,MATCH(C2291,user_table!$B$2:$B3686,0)),"")
</f>
        <v>Dewi Hidayat</v>
      </c>
      <c r="E2291" s="6" t="str">
        <f t="array" ref="E2291">IFERROR(INDEX(user_table!$E$2:$E3686,MATCH(C2291,user_table!$B$2:$B3686,0)),"")
</f>
        <v>2, 2</v>
      </c>
      <c r="F2291" s="6" t="str">
        <f t="shared" si="2"/>
        <v>16362697</v>
      </c>
      <c r="G2291" s="16">
        <v>2.0</v>
      </c>
      <c r="H2291" s="17">
        <v>45210.0</v>
      </c>
      <c r="I2291" s="18" t="s">
        <v>2254</v>
      </c>
    </row>
    <row r="2292">
      <c r="A2292" s="5" t="str">
        <f t="array" ref="A2292">INDEX(event_table!$A$2:$A$69, RANDBETWEEN(1, COUNTA(event_table!$A$2:$A$69)))</f>
        <v>3658</v>
      </c>
      <c r="B2292" s="6">
        <f t="array" ref="B2292">IFERROR(INDEX(event_table!$E$1:$E3686,MATCH(A2292,event_table!$A$1:$A3686,0)),"")
</f>
        <v>6</v>
      </c>
      <c r="C2292" s="7">
        <f t="shared" si="1"/>
        <v>162</v>
      </c>
      <c r="D2292" s="6" t="str">
        <f t="array" ref="D2292">IFERROR(INDEX(user_table!$C$2:$C3686,MATCH(C2292,user_table!$B$2:$B3686,0)),"")
</f>
        <v>Dewi Nugroho</v>
      </c>
      <c r="E2292" s="6" t="str">
        <f t="array" ref="E2292">IFERROR(INDEX(user_table!$E$2:$E3686,MATCH(C2292,user_table!$B$2:$B3686,0)),"")
</f>
        <v>2, 5</v>
      </c>
      <c r="F2292" s="6" t="str">
        <f t="shared" si="2"/>
        <v>365826162</v>
      </c>
      <c r="G2292" s="16">
        <v>2.0</v>
      </c>
      <c r="H2292" s="17">
        <v>45206.0</v>
      </c>
      <c r="I2292" s="18" t="s">
        <v>2255</v>
      </c>
    </row>
    <row r="2293">
      <c r="A2293" s="5" t="str">
        <f t="array" ref="A2293">INDEX(event_table!$A$2:$A$69, RANDBETWEEN(1, COUNTA(event_table!$A$2:$A$69)))</f>
        <v>1530</v>
      </c>
      <c r="B2293" s="6">
        <f t="array" ref="B2293">IFERROR(INDEX(event_table!$E$1:$E3686,MATCH(A2293,event_table!$A$1:$A3686,0)),"")
</f>
        <v>5</v>
      </c>
      <c r="C2293" s="7">
        <f t="shared" si="1"/>
        <v>26</v>
      </c>
      <c r="D2293" s="6" t="str">
        <f t="array" ref="D2293">IFERROR(INDEX(user_table!$C$2:$C3686,MATCH(C2293,user_table!$B$2:$B3686,0)),"")
</f>
        <v>Citra Sari</v>
      </c>
      <c r="E2293" s="6" t="str">
        <f t="array" ref="E2293">IFERROR(INDEX(user_table!$E$2:$E3686,MATCH(C2293,user_table!$B$2:$B3686,0)),"")
</f>
        <v>5, 1</v>
      </c>
      <c r="F2293" s="6" t="str">
        <f t="shared" si="2"/>
        <v>15302526</v>
      </c>
      <c r="G2293" s="16">
        <v>2.0</v>
      </c>
      <c r="H2293" s="17">
        <v>45163.0</v>
      </c>
      <c r="I2293" s="18" t="s">
        <v>2256</v>
      </c>
    </row>
    <row r="2294">
      <c r="A2294" s="5" t="str">
        <f t="array" ref="A2294">INDEX(event_table!$A$2:$A$69, RANDBETWEEN(1, COUNTA(event_table!$A$2:$A$69)))</f>
        <v>1553</v>
      </c>
      <c r="B2294" s="6">
        <f t="array" ref="B2294">IFERROR(INDEX(event_table!$E$1:$E3686,MATCH(A2294,event_table!$A$1:$A3686,0)),"")
</f>
        <v>5</v>
      </c>
      <c r="C2294" s="7">
        <f t="shared" si="1"/>
        <v>165</v>
      </c>
      <c r="D2294" s="6" t="str">
        <f t="array" ref="D2294">IFERROR(INDEX(user_table!$C$2:$C3686,MATCH(C2294,user_table!$B$2:$B3686,0)),"")
</f>
        <v>Agus Pratama</v>
      </c>
      <c r="E2294" s="6" t="str">
        <f t="array" ref="E2294">IFERROR(INDEX(user_table!$E$2:$E3686,MATCH(C2294,user_table!$B$2:$B3686,0)),"")
</f>
        <v>6, 2</v>
      </c>
      <c r="F2294" s="6" t="str">
        <f t="shared" si="2"/>
        <v>155325165</v>
      </c>
      <c r="G2294" s="16">
        <v>2.0</v>
      </c>
      <c r="H2294" s="17">
        <v>45138.0</v>
      </c>
      <c r="I2294" s="18" t="s">
        <v>2257</v>
      </c>
    </row>
    <row r="2295">
      <c r="A2295" s="5" t="str">
        <f t="array" ref="A2295">INDEX(event_table!$A$2:$A$69, RANDBETWEEN(1, COUNTA(event_table!$A$2:$A$69)))</f>
        <v>1215</v>
      </c>
      <c r="B2295" s="6">
        <f t="array" ref="B2295">IFERROR(INDEX(event_table!$E$1:$E3686,MATCH(A2295,event_table!$A$1:$A3686,0)),"")
</f>
        <v>2</v>
      </c>
      <c r="C2295" s="7">
        <f t="shared" si="1"/>
        <v>43</v>
      </c>
      <c r="D2295" s="6" t="str">
        <f t="array" ref="D2295">IFERROR(INDEX(user_table!$C$2:$C3686,MATCH(C2295,user_table!$B$2:$B3686,0)),"")
</f>
        <v>Lina Putri</v>
      </c>
      <c r="E2295" s="6" t="str">
        <f t="array" ref="E2295">IFERROR(INDEX(user_table!$E$2:$E3686,MATCH(C2295,user_table!$B$2:$B3686,0)),"")
</f>
        <v>1, 6</v>
      </c>
      <c r="F2295" s="6" t="str">
        <f t="shared" si="2"/>
        <v>12151243</v>
      </c>
      <c r="G2295" s="16">
        <v>1.0</v>
      </c>
      <c r="H2295" s="17">
        <v>45267.0</v>
      </c>
      <c r="I2295" s="18" t="s">
        <v>2258</v>
      </c>
    </row>
    <row r="2296">
      <c r="A2296" s="5" t="str">
        <f t="array" ref="A2296">INDEX(event_table!$A$2:$A$69, RANDBETWEEN(1, COUNTA(event_table!$A$2:$A$69)))</f>
        <v>1529</v>
      </c>
      <c r="B2296" s="6">
        <f t="array" ref="B2296">IFERROR(INDEX(event_table!$E$1:$E3686,MATCH(A2296,event_table!$A$1:$A3686,0)),"")
</f>
        <v>5</v>
      </c>
      <c r="C2296" s="7">
        <f t="shared" si="1"/>
        <v>3</v>
      </c>
      <c r="D2296" s="6" t="str">
        <f t="array" ref="D2296">IFERROR(INDEX(user_table!$C$2:$C3686,MATCH(C2296,user_table!$B$2:$B3686,0)),"")
</f>
        <v>Fandi Wijaya</v>
      </c>
      <c r="E2296" s="6" t="str">
        <f t="array" ref="E2296">IFERROR(INDEX(user_table!$E$2:$E3686,MATCH(C2296,user_table!$B$2:$B3686,0)),"")
</f>
        <v>6, 1</v>
      </c>
      <c r="F2296" s="6" t="str">
        <f t="shared" si="2"/>
        <v>1529153</v>
      </c>
      <c r="G2296" s="16">
        <v>1.0</v>
      </c>
      <c r="H2296" s="17">
        <v>45257.0</v>
      </c>
      <c r="I2296" s="18" t="s">
        <v>2259</v>
      </c>
    </row>
    <row r="2297">
      <c r="A2297" s="5" t="str">
        <f t="array" ref="A2297">INDEX(event_table!$A$2:$A$69, RANDBETWEEN(1, COUNTA(event_table!$A$2:$A$69)))</f>
        <v>1553</v>
      </c>
      <c r="B2297" s="6">
        <f t="array" ref="B2297">IFERROR(INDEX(event_table!$E$1:$E3686,MATCH(A2297,event_table!$A$1:$A3686,0)),"")
</f>
        <v>5</v>
      </c>
      <c r="C2297" s="7">
        <f t="shared" si="1"/>
        <v>90</v>
      </c>
      <c r="D2297" s="6" t="str">
        <f t="array" ref="D2297">IFERROR(INDEX(user_table!$C$2:$C3686,MATCH(C2297,user_table!$B$2:$B3686,0)),"")
</f>
        <v>Dina Saputra</v>
      </c>
      <c r="E2297" s="6" t="str">
        <f t="array" ref="E2297">IFERROR(INDEX(user_table!$E$2:$E3686,MATCH(C2297,user_table!$B$2:$B3686,0)),"")
</f>
        <v>1, 2</v>
      </c>
      <c r="F2297" s="6" t="str">
        <f t="shared" si="2"/>
        <v>15531590</v>
      </c>
      <c r="G2297" s="16">
        <v>1.0</v>
      </c>
      <c r="H2297" s="17">
        <v>45189.0</v>
      </c>
      <c r="I2297" s="18" t="s">
        <v>2260</v>
      </c>
    </row>
    <row r="2298">
      <c r="A2298" s="5" t="str">
        <f t="array" ref="A2298">INDEX(event_table!$A$2:$A$69, RANDBETWEEN(1, COUNTA(event_table!$A$2:$A$69)))</f>
        <v>1313</v>
      </c>
      <c r="B2298" s="6">
        <f t="array" ref="B2298">IFERROR(INDEX(event_table!$E$1:$E3686,MATCH(A2298,event_table!$A$1:$A3686,0)),"")
</f>
        <v>3</v>
      </c>
      <c r="C2298" s="7">
        <f t="shared" si="1"/>
        <v>8</v>
      </c>
      <c r="D2298" s="6" t="str">
        <f t="array" ref="D2298">IFERROR(INDEX(user_table!$C$2:$C3686,MATCH(C2298,user_table!$B$2:$B3686,0)),"")
</f>
        <v>Bambang Kurniawan</v>
      </c>
      <c r="E2298" s="6" t="str">
        <f t="array" ref="E2298">IFERROR(INDEX(user_table!$E$2:$E3686,MATCH(C2298,user_table!$B$2:$B3686,0)),"")
</f>
        <v>2, 1</v>
      </c>
      <c r="F2298" s="6" t="str">
        <f t="shared" si="2"/>
        <v>1313138</v>
      </c>
      <c r="G2298" s="16">
        <v>1.0</v>
      </c>
      <c r="H2298" s="17">
        <v>45189.0</v>
      </c>
      <c r="I2298" s="18" t="s">
        <v>2261</v>
      </c>
    </row>
    <row r="2299">
      <c r="A2299" s="5" t="str">
        <f t="array" ref="A2299">INDEX(event_table!$A$2:$A$69, RANDBETWEEN(1, COUNTA(event_table!$A$2:$A$69)))</f>
        <v>1423</v>
      </c>
      <c r="B2299" s="6">
        <f t="array" ref="B2299">IFERROR(INDEX(event_table!$E$1:$E3686,MATCH(A2299,event_table!$A$1:$A3686,0)),"")
</f>
        <v>4</v>
      </c>
      <c r="C2299" s="7">
        <f t="shared" si="1"/>
        <v>158</v>
      </c>
      <c r="D2299" s="6" t="str">
        <f t="array" ref="D2299">IFERROR(INDEX(user_table!$C$2:$C3686,MATCH(C2299,user_table!$B$2:$B3686,0)),"")
</f>
        <v>Maya Wijaya</v>
      </c>
      <c r="E2299" s="6" t="str">
        <f t="array" ref="E2299">IFERROR(INDEX(user_table!$E$2:$E3686,MATCH(C2299,user_table!$B$2:$B3686,0)),"")
</f>
        <v>3, 4</v>
      </c>
      <c r="F2299" s="6" t="str">
        <f t="shared" si="2"/>
        <v>142314158</v>
      </c>
      <c r="G2299" s="16">
        <v>1.0</v>
      </c>
      <c r="H2299" s="17">
        <v>45234.0</v>
      </c>
      <c r="I2299" s="18" t="s">
        <v>2262</v>
      </c>
    </row>
    <row r="2300">
      <c r="A2300" s="5" t="str">
        <f t="array" ref="A2300">INDEX(event_table!$A$2:$A$69, RANDBETWEEN(1, COUNTA(event_table!$A$2:$A$69)))</f>
        <v>1416</v>
      </c>
      <c r="B2300" s="6">
        <f t="array" ref="B2300">IFERROR(INDEX(event_table!$E$1:$E3686,MATCH(A2300,event_table!$A$1:$A3686,0)),"")
</f>
        <v>4</v>
      </c>
      <c r="C2300" s="7">
        <f t="shared" si="1"/>
        <v>35</v>
      </c>
      <c r="D2300" s="6" t="str">
        <f t="array" ref="D2300">IFERROR(INDEX(user_table!$C$2:$C3686,MATCH(C2300,user_table!$B$2:$B3686,0)),"")
</f>
        <v>Maya Nugroho</v>
      </c>
      <c r="E2300" s="6" t="str">
        <f t="array" ref="E2300">IFERROR(INDEX(user_table!$E$2:$E3686,MATCH(C2300,user_table!$B$2:$B3686,0)),"")
</f>
        <v>6, 2</v>
      </c>
      <c r="F2300" s="6" t="str">
        <f t="shared" si="2"/>
        <v>14161435</v>
      </c>
      <c r="G2300" s="16">
        <v>1.0</v>
      </c>
      <c r="H2300" s="17">
        <v>45245.0</v>
      </c>
      <c r="I2300" s="18" t="s">
        <v>2263</v>
      </c>
    </row>
    <row r="2301">
      <c r="A2301" s="5" t="str">
        <f t="array" ref="A2301">INDEX(event_table!$A$2:$A$69, RANDBETWEEN(1, COUNTA(event_table!$A$2:$A$69)))</f>
        <v>1421</v>
      </c>
      <c r="B2301" s="6">
        <f t="array" ref="B2301">IFERROR(INDEX(event_table!$E$1:$E3686,MATCH(A2301,event_table!$A$1:$A3686,0)),"")
</f>
        <v>4</v>
      </c>
      <c r="C2301" s="7">
        <f t="shared" si="1"/>
        <v>194</v>
      </c>
      <c r="D2301" s="6" t="str">
        <f t="array" ref="D2301">IFERROR(INDEX(user_table!$C$2:$C3686,MATCH(C2301,user_table!$B$2:$B3686,0)),"")
</f>
        <v>Andi Putri</v>
      </c>
      <c r="E2301" s="6" t="str">
        <f t="array" ref="E2301">IFERROR(INDEX(user_table!$E$2:$E3686,MATCH(C2301,user_table!$B$2:$B3686,0)),"")
</f>
        <v>4, 4</v>
      </c>
      <c r="F2301" s="6" t="str">
        <f t="shared" si="2"/>
        <v>142114194</v>
      </c>
      <c r="G2301" s="16">
        <v>1.0</v>
      </c>
      <c r="H2301" s="17">
        <v>45227.0</v>
      </c>
      <c r="I2301" s="18" t="s">
        <v>2264</v>
      </c>
    </row>
    <row r="2302">
      <c r="A2302" s="5" t="str">
        <f t="array" ref="A2302">INDEX(event_table!$A$2:$A$69, RANDBETWEEN(1, COUNTA(event_table!$A$2:$A$69)))</f>
        <v>3163</v>
      </c>
      <c r="B2302" s="6">
        <f t="array" ref="B2302">IFERROR(INDEX(event_table!$E$1:$E3686,MATCH(A2302,event_table!$A$1:$A3686,0)),"")
</f>
        <v>1</v>
      </c>
      <c r="C2302" s="7">
        <f t="shared" si="1"/>
        <v>129</v>
      </c>
      <c r="D2302" s="6" t="str">
        <f t="array" ref="D2302">IFERROR(INDEX(user_table!$C$2:$C3686,MATCH(C2302,user_table!$B$2:$B3686,0)),"")
</f>
        <v>Maya Kusuma</v>
      </c>
      <c r="E2302" s="6" t="str">
        <f t="array" ref="E2302">IFERROR(INDEX(user_table!$E$2:$E3686,MATCH(C2302,user_table!$B$2:$B3686,0)),"")
</f>
        <v>4, 6</v>
      </c>
      <c r="F2302" s="6" t="str">
        <f t="shared" si="2"/>
        <v>316311129</v>
      </c>
      <c r="G2302" s="16">
        <v>1.0</v>
      </c>
      <c r="H2302" s="17">
        <v>45158.0</v>
      </c>
      <c r="I2302" s="18" t="s">
        <v>2265</v>
      </c>
    </row>
    <row r="2303">
      <c r="A2303" s="5" t="str">
        <f t="array" ref="A2303">INDEX(event_table!$A$2:$A$69, RANDBETWEEN(1, COUNTA(event_table!$A$2:$A$69)))</f>
        <v>1553</v>
      </c>
      <c r="B2303" s="6">
        <f t="array" ref="B2303">IFERROR(INDEX(event_table!$E$1:$E3686,MATCH(A2303,event_table!$A$1:$A3686,0)),"")
</f>
        <v>5</v>
      </c>
      <c r="C2303" s="7">
        <f t="shared" si="1"/>
        <v>165</v>
      </c>
      <c r="D2303" s="6" t="str">
        <f t="array" ref="D2303">IFERROR(INDEX(user_table!$C$2:$C3686,MATCH(C2303,user_table!$B$2:$B3686,0)),"")
</f>
        <v>Agus Pratama</v>
      </c>
      <c r="E2303" s="6" t="str">
        <f t="array" ref="E2303">IFERROR(INDEX(user_table!$E$2:$E3686,MATCH(C2303,user_table!$B$2:$B3686,0)),"")
</f>
        <v>6, 2</v>
      </c>
      <c r="F2303" s="6" t="str">
        <f t="shared" si="2"/>
        <v>155315165</v>
      </c>
      <c r="G2303" s="16">
        <v>1.0</v>
      </c>
      <c r="H2303" s="17">
        <v>45154.0</v>
      </c>
      <c r="I2303" s="18" t="s">
        <v>2266</v>
      </c>
    </row>
    <row r="2304">
      <c r="A2304" s="5" t="str">
        <f t="array" ref="A2304">INDEX(event_table!$A$2:$A$69, RANDBETWEEN(1, COUNTA(event_table!$A$2:$A$69)))</f>
        <v>122</v>
      </c>
      <c r="B2304" s="6">
        <f t="array" ref="B2304">IFERROR(INDEX(event_table!$E$1:$E3686,MATCH(A2304,event_table!$A$1:$A3686,0)),"")
</f>
        <v>2</v>
      </c>
      <c r="C2304" s="7">
        <f t="shared" si="1"/>
        <v>30</v>
      </c>
      <c r="D2304" s="6" t="str">
        <f t="array" ref="D2304">IFERROR(INDEX(user_table!$C$2:$C3686,MATCH(C2304,user_table!$B$2:$B3686,0)),"")
</f>
        <v>Fajar Kurniawan</v>
      </c>
      <c r="E2304" s="6" t="str">
        <f t="array" ref="E2304">IFERROR(INDEX(user_table!$E$2:$E3686,MATCH(C2304,user_table!$B$2:$B3686,0)),"")
</f>
        <v>5, 3</v>
      </c>
      <c r="F2304" s="6" t="str">
        <f t="shared" si="2"/>
        <v>1221230</v>
      </c>
      <c r="G2304" s="16">
        <v>1.0</v>
      </c>
      <c r="H2304" s="17">
        <v>45144.0</v>
      </c>
      <c r="I2304" s="18" t="s">
        <v>2267</v>
      </c>
    </row>
    <row r="2305">
      <c r="A2305" s="5" t="str">
        <f t="array" ref="A2305">INDEX(event_table!$A$2:$A$69, RANDBETWEEN(1, COUNTA(event_table!$A$2:$A$69)))</f>
        <v>1646</v>
      </c>
      <c r="B2305" s="6">
        <f t="array" ref="B2305">IFERROR(INDEX(event_table!$E$1:$E3686,MATCH(A2305,event_table!$A$1:$A3686,0)),"")
</f>
        <v>6</v>
      </c>
      <c r="C2305" s="7">
        <f t="shared" si="1"/>
        <v>177</v>
      </c>
      <c r="D2305" s="6" t="str">
        <f t="array" ref="D2305">IFERROR(INDEX(user_table!$C$2:$C3686,MATCH(C2305,user_table!$B$2:$B3686,0)),"")
</f>
        <v>Andi Susanto</v>
      </c>
      <c r="E2305" s="6" t="str">
        <f t="array" ref="E2305">IFERROR(INDEX(user_table!$E$2:$E3686,MATCH(C2305,user_table!$B$2:$B3686,0)),"")
</f>
        <v>2, 6</v>
      </c>
      <c r="F2305" s="6" t="str">
        <f t="shared" si="2"/>
        <v>164616177</v>
      </c>
      <c r="G2305" s="16">
        <v>1.0</v>
      </c>
      <c r="H2305" s="17">
        <v>45117.0</v>
      </c>
      <c r="I2305" s="18" t="s">
        <v>2268</v>
      </c>
    </row>
    <row r="2306">
      <c r="A2306" s="5" t="str">
        <f t="array" ref="A2306">INDEX(event_table!$A$2:$A$69, RANDBETWEEN(1, COUNTA(event_table!$A$2:$A$69)))</f>
        <v>1114</v>
      </c>
      <c r="B2306" s="6">
        <f t="array" ref="B2306">IFERROR(INDEX(event_table!$E$1:$E3686,MATCH(A2306,event_table!$A$1:$A3686,0)),"")
</f>
        <v>1</v>
      </c>
      <c r="C2306" s="7">
        <f t="shared" si="1"/>
        <v>181</v>
      </c>
      <c r="D2306" s="6" t="str">
        <f t="array" ref="D2306">IFERROR(INDEX(user_table!$C$2:$C3686,MATCH(C2306,user_table!$B$2:$B3686,0)),"")
</f>
        <v>Andi Hadiwijaya</v>
      </c>
      <c r="E2306" s="6" t="str">
        <f t="array" ref="E2306">IFERROR(INDEX(user_table!$E$2:$E3686,MATCH(C2306,user_table!$B$2:$B3686,0)),"")
</f>
        <v>3, 2</v>
      </c>
      <c r="F2306" s="6" t="str">
        <f t="shared" si="2"/>
        <v>111411181</v>
      </c>
      <c r="G2306" s="16">
        <v>1.0</v>
      </c>
      <c r="H2306" s="17">
        <v>45068.0</v>
      </c>
      <c r="I2306" s="18" t="s">
        <v>2269</v>
      </c>
    </row>
    <row r="2307">
      <c r="A2307" s="5" t="str">
        <f t="array" ref="A2307">INDEX(event_table!$A$2:$A$69, RANDBETWEEN(1, COUNTA(event_table!$A$2:$A$69)))</f>
        <v>3454</v>
      </c>
      <c r="B2307" s="6">
        <f t="array" ref="B2307">IFERROR(INDEX(event_table!$E$1:$E3686,MATCH(A2307,event_table!$A$1:$A3686,0)),"")
</f>
        <v>4</v>
      </c>
      <c r="C2307" s="7">
        <f t="shared" si="1"/>
        <v>150</v>
      </c>
      <c r="D2307" s="6" t="str">
        <f t="array" ref="D2307">IFERROR(INDEX(user_table!$C$2:$C3686,MATCH(C2307,user_table!$B$2:$B3686,0)),"")
</f>
        <v>Dina Susanto</v>
      </c>
      <c r="E2307" s="6" t="str">
        <f t="array" ref="E2307">IFERROR(INDEX(user_table!$E$2:$E3686,MATCH(C2307,user_table!$B$2:$B3686,0)),"")
</f>
        <v>2, 6</v>
      </c>
      <c r="F2307" s="6" t="str">
        <f t="shared" si="2"/>
        <v>345454150</v>
      </c>
      <c r="G2307" s="16">
        <v>5.0</v>
      </c>
      <c r="H2307" s="17">
        <v>44750.0</v>
      </c>
      <c r="I2307" s="18" t="s">
        <v>2270</v>
      </c>
    </row>
    <row r="2308">
      <c r="A2308" s="5" t="str">
        <f t="array" ref="A2308">INDEX(event_table!$A$2:$A$69, RANDBETWEEN(1, COUNTA(event_table!$A$2:$A$69)))</f>
        <v>1641</v>
      </c>
      <c r="B2308" s="6">
        <f t="array" ref="B2308">IFERROR(INDEX(event_table!$E$1:$E3686,MATCH(A2308,event_table!$A$1:$A3686,0)),"")
</f>
        <v>6</v>
      </c>
      <c r="C2308" s="7">
        <f t="shared" si="1"/>
        <v>198</v>
      </c>
      <c r="D2308" s="6" t="str">
        <f t="array" ref="D2308">IFERROR(INDEX(user_table!$C$2:$C3686,MATCH(C2308,user_table!$B$2:$B3686,0)),"")
</f>
        <v>Siti Nugroho</v>
      </c>
      <c r="E2308" s="6" t="str">
        <f t="array" ref="E2308">IFERROR(INDEX(user_table!$E$2:$E3686,MATCH(C2308,user_table!$B$2:$B3686,0)),"")
</f>
        <v>5, 2</v>
      </c>
      <c r="F2308" s="6" t="str">
        <f t="shared" si="2"/>
        <v>164156198</v>
      </c>
      <c r="G2308" s="16">
        <v>5.0</v>
      </c>
      <c r="H2308" s="17">
        <v>44746.0</v>
      </c>
      <c r="I2308" s="18" t="s">
        <v>2271</v>
      </c>
    </row>
    <row r="2309">
      <c r="A2309" s="5" t="str">
        <f t="array" ref="A2309">INDEX(event_table!$A$2:$A$69, RANDBETWEEN(1, COUNTA(event_table!$A$2:$A$69)))</f>
        <v>1639</v>
      </c>
      <c r="B2309" s="6">
        <f t="array" ref="B2309">IFERROR(INDEX(event_table!$E$1:$E3686,MATCH(A2309,event_table!$A$1:$A3686,0)),"")
</f>
        <v>6</v>
      </c>
      <c r="C2309" s="7">
        <f t="shared" si="1"/>
        <v>139</v>
      </c>
      <c r="D2309" s="6" t="str">
        <f t="array" ref="D2309">IFERROR(INDEX(user_table!$C$2:$C3686,MATCH(C2309,user_table!$B$2:$B3686,0)),"")
</f>
        <v>Sinta Kurniawan</v>
      </c>
      <c r="E2309" s="6" t="str">
        <f t="array" ref="E2309">IFERROR(INDEX(user_table!$E$2:$E3686,MATCH(C2309,user_table!$B$2:$B3686,0)),"")
</f>
        <v>4, 6</v>
      </c>
      <c r="F2309" s="6" t="str">
        <f t="shared" si="2"/>
        <v>163956139</v>
      </c>
      <c r="G2309" s="16">
        <v>5.0</v>
      </c>
      <c r="H2309" s="17">
        <v>44745.0</v>
      </c>
      <c r="I2309" s="18" t="s">
        <v>2272</v>
      </c>
    </row>
    <row r="2310">
      <c r="A2310" s="5" t="str">
        <f t="array" ref="A2310">INDEX(event_table!$A$2:$A$69, RANDBETWEEN(1, COUNTA(event_table!$A$2:$A$69)))</f>
        <v>1335</v>
      </c>
      <c r="B2310" s="6">
        <f t="array" ref="B2310">IFERROR(INDEX(event_table!$E$1:$E3686,MATCH(A2310,event_table!$A$1:$A3686,0)),"")
</f>
        <v>3</v>
      </c>
      <c r="C2310" s="7">
        <f t="shared" si="1"/>
        <v>2</v>
      </c>
      <c r="D2310" s="6" t="str">
        <f t="array" ref="D2310">IFERROR(INDEX(user_table!$C$2:$C3686,MATCH(C2310,user_table!$B$2:$B3686,0)),"")
</f>
        <v>Dian Putri</v>
      </c>
      <c r="E2310" s="6" t="str">
        <f t="array" ref="E2310">IFERROR(INDEX(user_table!$E$2:$E3686,MATCH(C2310,user_table!$B$2:$B3686,0)),"")
</f>
        <v>1, 6</v>
      </c>
      <c r="F2310" s="6" t="str">
        <f t="shared" si="2"/>
        <v>1335532</v>
      </c>
      <c r="G2310" s="16">
        <v>5.0</v>
      </c>
      <c r="H2310" s="17">
        <v>44741.0</v>
      </c>
      <c r="I2310" s="18" t="s">
        <v>2273</v>
      </c>
    </row>
    <row r="2311">
      <c r="A2311" s="5" t="str">
        <f t="array" ref="A2311">INDEX(event_table!$A$2:$A$69, RANDBETWEEN(1, COUNTA(event_table!$A$2:$A$69)))</f>
        <v>3167</v>
      </c>
      <c r="B2311" s="6">
        <f t="array" ref="B2311">IFERROR(INDEX(event_table!$E$1:$E3686,MATCH(A2311,event_table!$A$1:$A3686,0)),"")
</f>
        <v>1</v>
      </c>
      <c r="C2311" s="7">
        <f t="shared" si="1"/>
        <v>80</v>
      </c>
      <c r="D2311" s="6" t="str">
        <f t="array" ref="D2311">IFERROR(INDEX(user_table!$C$2:$C3686,MATCH(C2311,user_table!$B$2:$B3686,0)),"")
</f>
        <v>Sinta Susanto</v>
      </c>
      <c r="E2311" s="6" t="str">
        <f t="array" ref="E2311">IFERROR(INDEX(user_table!$E$2:$E3686,MATCH(C2311,user_table!$B$2:$B3686,0)),"")
</f>
        <v>5, 2</v>
      </c>
      <c r="F2311" s="6" t="str">
        <f t="shared" si="2"/>
        <v>31675180</v>
      </c>
      <c r="G2311" s="16">
        <v>5.0</v>
      </c>
      <c r="H2311" s="17">
        <v>44739.0</v>
      </c>
      <c r="I2311" s="18" t="s">
        <v>2274</v>
      </c>
    </row>
    <row r="2312">
      <c r="A2312" s="5" t="str">
        <f t="array" ref="A2312">INDEX(event_table!$A$2:$A$69, RANDBETWEEN(1, COUNTA(event_table!$A$2:$A$69)))</f>
        <v>1645</v>
      </c>
      <c r="B2312" s="6">
        <f t="array" ref="B2312">IFERROR(INDEX(event_table!$E$1:$E3686,MATCH(A2312,event_table!$A$1:$A3686,0)),"")
</f>
        <v>6</v>
      </c>
      <c r="C2312" s="7">
        <f t="shared" si="1"/>
        <v>192</v>
      </c>
      <c r="D2312" s="6" t="str">
        <f t="array" ref="D2312">IFERROR(INDEX(user_table!$C$2:$C3686,MATCH(C2312,user_table!$B$2:$B3686,0)),"")
</f>
        <v>Joko Hadiwijaya</v>
      </c>
      <c r="E2312" s="6" t="str">
        <f t="array" ref="E2312">IFERROR(INDEX(user_table!$E$2:$E3686,MATCH(C2312,user_table!$B$2:$B3686,0)),"")
</f>
        <v>1, 3</v>
      </c>
      <c r="F2312" s="6" t="str">
        <f t="shared" si="2"/>
        <v>164556192</v>
      </c>
      <c r="G2312" s="16">
        <v>5.0</v>
      </c>
      <c r="H2312" s="17">
        <v>44721.0</v>
      </c>
      <c r="I2312" s="18" t="s">
        <v>2275</v>
      </c>
    </row>
    <row r="2313">
      <c r="A2313" s="5" t="str">
        <f t="array" ref="A2313">INDEX(event_table!$A$2:$A$69, RANDBETWEEN(1, COUNTA(event_table!$A$2:$A$69)))</f>
        <v>1649</v>
      </c>
      <c r="B2313" s="6">
        <f t="array" ref="B2313">IFERROR(INDEX(event_table!$E$1:$E3686,MATCH(A2313,event_table!$A$1:$A3686,0)),"")
</f>
        <v>6</v>
      </c>
      <c r="C2313" s="7">
        <f t="shared" si="1"/>
        <v>119</v>
      </c>
      <c r="D2313" s="6" t="str">
        <f t="array" ref="D2313">IFERROR(INDEX(user_table!$C$2:$C3686,MATCH(C2313,user_table!$B$2:$B3686,0)),"")
</f>
        <v>Budi Rahayu</v>
      </c>
      <c r="E2313" s="6" t="str">
        <f t="array" ref="E2313">IFERROR(INDEX(user_table!$E$2:$E3686,MATCH(C2313,user_table!$B$2:$B3686,0)),"")
</f>
        <v>1, 2</v>
      </c>
      <c r="F2313" s="6" t="str">
        <f t="shared" si="2"/>
        <v>164956119</v>
      </c>
      <c r="G2313" s="16">
        <v>5.0</v>
      </c>
      <c r="H2313" s="17">
        <v>44718.0</v>
      </c>
      <c r="I2313" s="18" t="s">
        <v>2276</v>
      </c>
    </row>
    <row r="2314">
      <c r="A2314" s="5" t="str">
        <f t="array" ref="A2314">INDEX(event_table!$A$2:$A$69, RANDBETWEEN(1, COUNTA(event_table!$A$2:$A$69)))</f>
        <v>3164</v>
      </c>
      <c r="B2314" s="6">
        <f t="array" ref="B2314">IFERROR(INDEX(event_table!$E$1:$E3686,MATCH(A2314,event_table!$A$1:$A3686,0)),"")
</f>
        <v>1</v>
      </c>
      <c r="C2314" s="7">
        <f t="shared" si="1"/>
        <v>180</v>
      </c>
      <c r="D2314" s="6" t="str">
        <f t="array" ref="D2314">IFERROR(INDEX(user_table!$C$2:$C3686,MATCH(C2314,user_table!$B$2:$B3686,0)),"")
</f>
        <v>Andi Susanto</v>
      </c>
      <c r="E2314" s="6" t="str">
        <f t="array" ref="E2314">IFERROR(INDEX(user_table!$E$2:$E3686,MATCH(C2314,user_table!$B$2:$B3686,0)),"")
</f>
        <v>6, 5</v>
      </c>
      <c r="F2314" s="6" t="str">
        <f t="shared" si="2"/>
        <v>316451180</v>
      </c>
      <c r="G2314" s="16">
        <v>5.0</v>
      </c>
      <c r="H2314" s="17">
        <v>44718.0</v>
      </c>
      <c r="I2314" s="18" t="s">
        <v>2277</v>
      </c>
    </row>
    <row r="2315">
      <c r="A2315" s="5" t="str">
        <f t="array" ref="A2315">INDEX(event_table!$A$2:$A$69, RANDBETWEEN(1, COUNTA(event_table!$A$2:$A$69)))</f>
        <v>1114</v>
      </c>
      <c r="B2315" s="6">
        <f t="array" ref="B2315">IFERROR(INDEX(event_table!$E$1:$E3686,MATCH(A2315,event_table!$A$1:$A3686,0)),"")
</f>
        <v>1</v>
      </c>
      <c r="C2315" s="7">
        <f t="shared" si="1"/>
        <v>3</v>
      </c>
      <c r="D2315" s="6" t="str">
        <f t="array" ref="D2315">IFERROR(INDEX(user_table!$C$2:$C3686,MATCH(C2315,user_table!$B$2:$B3686,0)),"")
</f>
        <v>Fandi Wijaya</v>
      </c>
      <c r="E2315" s="6" t="str">
        <f t="array" ref="E2315">IFERROR(INDEX(user_table!$E$2:$E3686,MATCH(C2315,user_table!$B$2:$B3686,0)),"")
</f>
        <v>6, 1</v>
      </c>
      <c r="F2315" s="6" t="str">
        <f t="shared" si="2"/>
        <v>1114513</v>
      </c>
      <c r="G2315" s="16">
        <v>5.0</v>
      </c>
      <c r="H2315" s="17">
        <v>44715.0</v>
      </c>
      <c r="I2315" s="18" t="s">
        <v>2278</v>
      </c>
    </row>
    <row r="2316">
      <c r="A2316" s="5" t="str">
        <f t="array" ref="A2316">INDEX(event_table!$A$2:$A$69, RANDBETWEEN(1, COUNTA(event_table!$A$2:$A$69)))</f>
        <v>113</v>
      </c>
      <c r="B2316" s="6">
        <f t="array" ref="B2316">IFERROR(INDEX(event_table!$E$1:$E3686,MATCH(A2316,event_table!$A$1:$A3686,0)),"")
</f>
        <v>1</v>
      </c>
      <c r="C2316" s="7">
        <f t="shared" si="1"/>
        <v>136</v>
      </c>
      <c r="D2316" s="6" t="str">
        <f t="array" ref="D2316">IFERROR(INDEX(user_table!$C$2:$C3686,MATCH(C2316,user_table!$B$2:$B3686,0)),"")
</f>
        <v>Fandi Purnama</v>
      </c>
      <c r="E2316" s="6" t="str">
        <f t="array" ref="E2316">IFERROR(INDEX(user_table!$E$2:$E3686,MATCH(C2316,user_table!$B$2:$B3686,0)),"")
</f>
        <v>5, 6</v>
      </c>
      <c r="F2316" s="6" t="str">
        <f t="shared" si="2"/>
        <v>11351136</v>
      </c>
      <c r="G2316" s="16">
        <v>5.0</v>
      </c>
      <c r="H2316" s="17">
        <v>44708.0</v>
      </c>
      <c r="I2316" s="18" t="s">
        <v>2279</v>
      </c>
    </row>
    <row r="2317">
      <c r="A2317" s="5" t="str">
        <f t="array" ref="A2317">INDEX(event_table!$A$2:$A$69, RANDBETWEEN(1, COUNTA(event_table!$A$2:$A$69)))</f>
        <v>1649</v>
      </c>
      <c r="B2317" s="6">
        <f t="array" ref="B2317">IFERROR(INDEX(event_table!$E$1:$E3686,MATCH(A2317,event_table!$A$1:$A3686,0)),"")
</f>
        <v>6</v>
      </c>
      <c r="C2317" s="7">
        <f t="shared" si="1"/>
        <v>18</v>
      </c>
      <c r="D2317" s="6" t="str">
        <f t="array" ref="D2317">IFERROR(INDEX(user_table!$C$2:$C3686,MATCH(C2317,user_table!$B$2:$B3686,0)),"")
</f>
        <v>Rudi Santoso</v>
      </c>
      <c r="E2317" s="6" t="str">
        <f t="array" ref="E2317">IFERROR(INDEX(user_table!$E$2:$E3686,MATCH(C2317,user_table!$B$2:$B3686,0)),"")
</f>
        <v>4, 2</v>
      </c>
      <c r="F2317" s="6" t="str">
        <f t="shared" si="2"/>
        <v>16495618</v>
      </c>
      <c r="G2317" s="16">
        <v>5.0</v>
      </c>
      <c r="H2317" s="17">
        <v>44697.0</v>
      </c>
      <c r="I2317" s="18" t="s">
        <v>2280</v>
      </c>
    </row>
    <row r="2318">
      <c r="A2318" s="5" t="str">
        <f t="array" ref="A2318">INDEX(event_table!$A$2:$A$69, RANDBETWEEN(1, COUNTA(event_table!$A$2:$A$69)))</f>
        <v>1644</v>
      </c>
      <c r="B2318" s="6">
        <f t="array" ref="B2318">IFERROR(INDEX(event_table!$E$1:$E3686,MATCH(A2318,event_table!$A$1:$A3686,0)),"")
</f>
        <v>6</v>
      </c>
      <c r="C2318" s="7">
        <f t="shared" si="1"/>
        <v>179</v>
      </c>
      <c r="D2318" s="6" t="str">
        <f t="array" ref="D2318">IFERROR(INDEX(user_table!$C$2:$C3686,MATCH(C2318,user_table!$B$2:$B3686,0)),"")
</f>
        <v>Andi Susanto</v>
      </c>
      <c r="E2318" s="6" t="str">
        <f t="array" ref="E2318">IFERROR(INDEX(user_table!$E$2:$E3686,MATCH(C2318,user_table!$B$2:$B3686,0)),"")
</f>
        <v>1, 6</v>
      </c>
      <c r="F2318" s="6" t="str">
        <f t="shared" si="2"/>
        <v>164456179</v>
      </c>
      <c r="G2318" s="16">
        <v>5.0</v>
      </c>
      <c r="H2318" s="17">
        <v>45047.0</v>
      </c>
      <c r="I2318" s="18" t="s">
        <v>2281</v>
      </c>
    </row>
    <row r="2319">
      <c r="A2319" s="5" t="str">
        <f t="array" ref="A2319">INDEX(event_table!$A$2:$A$69, RANDBETWEEN(1, COUNTA(event_table!$A$2:$A$69)))</f>
        <v>113</v>
      </c>
      <c r="B2319" s="6">
        <f t="array" ref="B2319">IFERROR(INDEX(event_table!$E$1:$E3686,MATCH(A2319,event_table!$A$1:$A3686,0)),"")
</f>
        <v>1</v>
      </c>
      <c r="C2319" s="7">
        <f t="shared" si="1"/>
        <v>34</v>
      </c>
      <c r="D2319" s="6" t="str">
        <f t="array" ref="D2319">IFERROR(INDEX(user_table!$C$2:$C3686,MATCH(C2319,user_table!$B$2:$B3686,0)),"")
</f>
        <v>Bambang Putri</v>
      </c>
      <c r="E2319" s="6" t="str">
        <f t="array" ref="E2319">IFERROR(INDEX(user_table!$E$2:$E3686,MATCH(C2319,user_table!$B$2:$B3686,0)),"")
</f>
        <v>3, 5</v>
      </c>
      <c r="F2319" s="6" t="str">
        <f t="shared" si="2"/>
        <v>1135134</v>
      </c>
      <c r="G2319" s="16">
        <v>5.0</v>
      </c>
      <c r="H2319" s="17">
        <v>44952.0</v>
      </c>
      <c r="I2319" s="18" t="s">
        <v>2282</v>
      </c>
    </row>
    <row r="2320">
      <c r="A2320" s="5" t="str">
        <f t="array" ref="A2320">INDEX(event_table!$A$2:$A$69, RANDBETWEEN(1, COUNTA(event_table!$A$2:$A$69)))</f>
        <v>119</v>
      </c>
      <c r="B2320" s="6">
        <f t="array" ref="B2320">IFERROR(INDEX(event_table!$E$1:$E3686,MATCH(A2320,event_table!$A$1:$A3686,0)),"")
</f>
        <v>1</v>
      </c>
      <c r="C2320" s="7">
        <f t="shared" si="1"/>
        <v>83</v>
      </c>
      <c r="D2320" s="6" t="str">
        <f t="array" ref="D2320">IFERROR(INDEX(user_table!$C$2:$C3686,MATCH(C2320,user_table!$B$2:$B3686,0)),"")
</f>
        <v>Sinta Nurhayati</v>
      </c>
      <c r="E2320" s="6" t="str">
        <f t="array" ref="E2320">IFERROR(INDEX(user_table!$E$2:$E3686,MATCH(C2320,user_table!$B$2:$B3686,0)),"")
</f>
        <v>5, 5</v>
      </c>
      <c r="F2320" s="6" t="str">
        <f t="shared" si="2"/>
        <v>1195183</v>
      </c>
      <c r="G2320" s="16">
        <v>5.0</v>
      </c>
      <c r="H2320" s="17">
        <v>44902.0</v>
      </c>
      <c r="I2320" s="18" t="s">
        <v>2283</v>
      </c>
    </row>
    <row r="2321">
      <c r="A2321" s="5" t="str">
        <f t="array" ref="A2321">INDEX(event_table!$A$2:$A$69, RANDBETWEEN(1, COUNTA(event_table!$A$2:$A$69)))</f>
        <v>1421</v>
      </c>
      <c r="B2321" s="6">
        <f t="array" ref="B2321">IFERROR(INDEX(event_table!$E$1:$E3686,MATCH(A2321,event_table!$A$1:$A3686,0)),"")
</f>
        <v>4</v>
      </c>
      <c r="C2321" s="7">
        <f t="shared" si="1"/>
        <v>33</v>
      </c>
      <c r="D2321" s="6" t="str">
        <f t="array" ref="D2321">IFERROR(INDEX(user_table!$C$2:$C3686,MATCH(C2321,user_table!$B$2:$B3686,0)),"")
</f>
        <v>Dewi Wijaya</v>
      </c>
      <c r="E2321" s="6" t="str">
        <f t="array" ref="E2321">IFERROR(INDEX(user_table!$E$2:$E3686,MATCH(C2321,user_table!$B$2:$B3686,0)),"")
</f>
        <v>4, 2</v>
      </c>
      <c r="F2321" s="6" t="str">
        <f t="shared" si="2"/>
        <v>14215433</v>
      </c>
      <c r="G2321" s="16">
        <v>5.0</v>
      </c>
      <c r="H2321" s="17">
        <v>44897.0</v>
      </c>
      <c r="I2321" s="18" t="s">
        <v>941</v>
      </c>
    </row>
    <row r="2322">
      <c r="A2322" s="5" t="str">
        <f t="array" ref="A2322">INDEX(event_table!$A$2:$A$69, RANDBETWEEN(1, COUNTA(event_table!$A$2:$A$69)))</f>
        <v>1416</v>
      </c>
      <c r="B2322" s="6">
        <f t="array" ref="B2322">IFERROR(INDEX(event_table!$E$1:$E3686,MATCH(A2322,event_table!$A$1:$A3686,0)),"")
</f>
        <v>4</v>
      </c>
      <c r="C2322" s="7">
        <f t="shared" si="1"/>
        <v>166</v>
      </c>
      <c r="D2322" s="6" t="str">
        <f t="array" ref="D2322">IFERROR(INDEX(user_table!$C$2:$C3686,MATCH(C2322,user_table!$B$2:$B3686,0)),"")
</f>
        <v>Fajar Nurhayati</v>
      </c>
      <c r="E2322" s="6" t="str">
        <f t="array" ref="E2322">IFERROR(INDEX(user_table!$E$2:$E3686,MATCH(C2322,user_table!$B$2:$B3686,0)),"")
</f>
        <v>3, 5</v>
      </c>
      <c r="F2322" s="6" t="str">
        <f t="shared" si="2"/>
        <v>141654166</v>
      </c>
      <c r="G2322" s="16">
        <v>5.0</v>
      </c>
      <c r="H2322" s="17">
        <v>44880.0</v>
      </c>
      <c r="I2322" s="18" t="s">
        <v>1952</v>
      </c>
    </row>
    <row r="2323">
      <c r="A2323" s="5" t="str">
        <f t="array" ref="A2323">INDEX(event_table!$A$2:$A$69, RANDBETWEEN(1, COUNTA(event_table!$A$2:$A$69)))</f>
        <v>1642</v>
      </c>
      <c r="B2323" s="6">
        <f t="array" ref="B2323">IFERROR(INDEX(event_table!$E$1:$E3686,MATCH(A2323,event_table!$A$1:$A3686,0)),"")
</f>
        <v>6</v>
      </c>
      <c r="C2323" s="7">
        <f t="shared" si="1"/>
        <v>179</v>
      </c>
      <c r="D2323" s="6" t="str">
        <f t="array" ref="D2323">IFERROR(INDEX(user_table!$C$2:$C3686,MATCH(C2323,user_table!$B$2:$B3686,0)),"")
</f>
        <v>Andi Susanto</v>
      </c>
      <c r="E2323" s="6" t="str">
        <f t="array" ref="E2323">IFERROR(INDEX(user_table!$E$2:$E3686,MATCH(C2323,user_table!$B$2:$B3686,0)),"")
</f>
        <v>1, 6</v>
      </c>
      <c r="F2323" s="6" t="str">
        <f t="shared" si="2"/>
        <v>164256179</v>
      </c>
      <c r="G2323" s="16">
        <v>5.0</v>
      </c>
      <c r="H2323" s="17">
        <v>44822.0</v>
      </c>
      <c r="I2323" s="18" t="s">
        <v>2284</v>
      </c>
    </row>
    <row r="2324">
      <c r="A2324" s="5" t="str">
        <f t="array" ref="A2324">INDEX(event_table!$A$2:$A$69, RANDBETWEEN(1, COUNTA(event_table!$A$2:$A$69)))</f>
        <v>1332</v>
      </c>
      <c r="B2324" s="6">
        <f t="array" ref="B2324">IFERROR(INDEX(event_table!$E$1:$E3686,MATCH(A2324,event_table!$A$1:$A3686,0)),"")
</f>
        <v>3</v>
      </c>
      <c r="C2324" s="7">
        <f t="shared" si="1"/>
        <v>96</v>
      </c>
      <c r="D2324" s="6" t="str">
        <f t="array" ref="D2324">IFERROR(INDEX(user_table!$C$2:$C3686,MATCH(C2324,user_table!$B$2:$B3686,0)),"")
</f>
        <v>Budi Sari</v>
      </c>
      <c r="E2324" s="6" t="str">
        <f t="array" ref="E2324">IFERROR(INDEX(user_table!$E$2:$E3686,MATCH(C2324,user_table!$B$2:$B3686,0)),"")
</f>
        <v>3, 2</v>
      </c>
      <c r="F2324" s="6" t="str">
        <f t="shared" si="2"/>
        <v>13325396</v>
      </c>
      <c r="G2324" s="16">
        <v>5.0</v>
      </c>
      <c r="H2324" s="17">
        <v>44787.0</v>
      </c>
      <c r="I2324" s="18" t="s">
        <v>2285</v>
      </c>
    </row>
    <row r="2325">
      <c r="A2325" s="5" t="str">
        <f t="array" ref="A2325">INDEX(event_table!$A$2:$A$69, RANDBETWEEN(1, COUNTA(event_table!$A$2:$A$69)))</f>
        <v>1531</v>
      </c>
      <c r="B2325" s="6">
        <f t="array" ref="B2325">IFERROR(INDEX(event_table!$E$1:$E3686,MATCH(A2325,event_table!$A$1:$A3686,0)),"")
</f>
        <v>5</v>
      </c>
      <c r="C2325" s="7">
        <f t="shared" si="1"/>
        <v>126</v>
      </c>
      <c r="D2325" s="6" t="str">
        <f t="array" ref="D2325">IFERROR(INDEX(user_table!$C$2:$C3686,MATCH(C2325,user_table!$B$2:$B3686,0)),"")
</f>
        <v>Agus Santoso</v>
      </c>
      <c r="E2325" s="6" t="str">
        <f t="array" ref="E2325">IFERROR(INDEX(user_table!$E$2:$E3686,MATCH(C2325,user_table!$B$2:$B3686,0)),"")
</f>
        <v>3, 6</v>
      </c>
      <c r="F2325" s="6" t="str">
        <f t="shared" si="2"/>
        <v>153155126</v>
      </c>
      <c r="G2325" s="16">
        <v>5.0</v>
      </c>
      <c r="H2325" s="17">
        <v>44784.0</v>
      </c>
      <c r="I2325" s="18" t="s">
        <v>2286</v>
      </c>
    </row>
    <row r="2326">
      <c r="A2326" s="5" t="str">
        <f t="array" ref="A2326">INDEX(event_table!$A$2:$A$69, RANDBETWEEN(1, COUNTA(event_table!$A$2:$A$69)))</f>
        <v>1425</v>
      </c>
      <c r="B2326" s="6">
        <f t="array" ref="B2326">IFERROR(INDEX(event_table!$E$1:$E3686,MATCH(A2326,event_table!$A$1:$A3686,0)),"")
</f>
        <v>4</v>
      </c>
      <c r="C2326" s="7">
        <f t="shared" si="1"/>
        <v>194</v>
      </c>
      <c r="D2326" s="6" t="str">
        <f t="array" ref="D2326">IFERROR(INDEX(user_table!$C$2:$C3686,MATCH(C2326,user_table!$B$2:$B3686,0)),"")
</f>
        <v>Andi Putri</v>
      </c>
      <c r="E2326" s="6" t="str">
        <f t="array" ref="E2326">IFERROR(INDEX(user_table!$E$2:$E3686,MATCH(C2326,user_table!$B$2:$B3686,0)),"")
</f>
        <v>4, 4</v>
      </c>
      <c r="F2326" s="6" t="str">
        <f t="shared" si="2"/>
        <v>142554194</v>
      </c>
      <c r="G2326" s="16">
        <v>5.0</v>
      </c>
      <c r="H2326" s="17">
        <v>44703.0</v>
      </c>
      <c r="I2326" s="18" t="s">
        <v>2287</v>
      </c>
    </row>
    <row r="2327">
      <c r="A2327" s="5" t="str">
        <f t="array" ref="A2327">INDEX(event_table!$A$2:$A$69, RANDBETWEEN(1, COUNTA(event_table!$A$2:$A$69)))</f>
        <v>3659</v>
      </c>
      <c r="B2327" s="6">
        <f t="array" ref="B2327">IFERROR(INDEX(event_table!$E$1:$E3686,MATCH(A2327,event_table!$A$1:$A3686,0)),"")
</f>
        <v>6</v>
      </c>
      <c r="C2327" s="7">
        <f t="shared" si="1"/>
        <v>114</v>
      </c>
      <c r="D2327" s="6" t="str">
        <f t="array" ref="D2327">IFERROR(INDEX(user_table!$C$2:$C3686,MATCH(C2327,user_table!$B$2:$B3686,0)),"")
</f>
        <v>Ani Sari</v>
      </c>
      <c r="E2327" s="6" t="str">
        <f t="array" ref="E2327">IFERROR(INDEX(user_table!$E$2:$E3686,MATCH(C2327,user_table!$B$2:$B3686,0)),"")
</f>
        <v>4, 3</v>
      </c>
      <c r="F2327" s="6" t="str">
        <f t="shared" si="2"/>
        <v>365956114</v>
      </c>
      <c r="G2327" s="16">
        <v>5.0</v>
      </c>
      <c r="H2327" s="17">
        <v>44688.0</v>
      </c>
      <c r="I2327" s="18" t="s">
        <v>2288</v>
      </c>
    </row>
    <row r="2328">
      <c r="A2328" s="5" t="str">
        <f t="array" ref="A2328">INDEX(event_table!$A$2:$A$69, RANDBETWEEN(1, COUNTA(event_table!$A$2:$A$69)))</f>
        <v>3163</v>
      </c>
      <c r="B2328" s="6">
        <f t="array" ref="B2328">IFERROR(INDEX(event_table!$E$1:$E3686,MATCH(A2328,event_table!$A$1:$A3686,0)),"")
</f>
        <v>1</v>
      </c>
      <c r="C2328" s="7">
        <f t="shared" si="1"/>
        <v>47</v>
      </c>
      <c r="D2328" s="6" t="str">
        <f t="array" ref="D2328">IFERROR(INDEX(user_table!$C$2:$C3686,MATCH(C2328,user_table!$B$2:$B3686,0)),"")
</f>
        <v>Fandi Kurniawan</v>
      </c>
      <c r="E2328" s="6" t="str">
        <f t="array" ref="E2328">IFERROR(INDEX(user_table!$E$2:$E3686,MATCH(C2328,user_table!$B$2:$B3686,0)),"")
</f>
        <v>5, 6</v>
      </c>
      <c r="F2328" s="6" t="str">
        <f t="shared" si="2"/>
        <v>31634147</v>
      </c>
      <c r="G2328" s="16">
        <v>4.0</v>
      </c>
      <c r="H2328" s="17">
        <v>45182.0</v>
      </c>
      <c r="I2328" s="18" t="s">
        <v>2289</v>
      </c>
    </row>
    <row r="2329">
      <c r="A2329" s="5" t="str">
        <f t="array" ref="A2329">INDEX(event_table!$A$2:$A$69, RANDBETWEEN(1, COUNTA(event_table!$A$2:$A$69)))</f>
        <v>1417</v>
      </c>
      <c r="B2329" s="6">
        <f t="array" ref="B2329">IFERROR(INDEX(event_table!$E$1:$E3686,MATCH(A2329,event_table!$A$1:$A3686,0)),"")
</f>
        <v>4</v>
      </c>
      <c r="C2329" s="7">
        <f t="shared" si="1"/>
        <v>180</v>
      </c>
      <c r="D2329" s="6" t="str">
        <f t="array" ref="D2329">IFERROR(INDEX(user_table!$C$2:$C3686,MATCH(C2329,user_table!$B$2:$B3686,0)),"")
</f>
        <v>Andi Susanto</v>
      </c>
      <c r="E2329" s="6" t="str">
        <f t="array" ref="E2329">IFERROR(INDEX(user_table!$E$2:$E3686,MATCH(C2329,user_table!$B$2:$B3686,0)),"")
</f>
        <v>6, 5</v>
      </c>
      <c r="F2329" s="6" t="str">
        <f t="shared" si="2"/>
        <v>141744180</v>
      </c>
      <c r="G2329" s="16">
        <v>4.0</v>
      </c>
      <c r="H2329" s="17">
        <v>44824.0</v>
      </c>
      <c r="I2329" s="18" t="s">
        <v>2290</v>
      </c>
    </row>
    <row r="2330">
      <c r="A2330" s="5" t="str">
        <f t="array" ref="A2330">INDEX(event_table!$A$2:$A$69, RANDBETWEEN(1, COUNTA(event_table!$A$2:$A$69)))</f>
        <v>1416</v>
      </c>
      <c r="B2330" s="6">
        <f t="array" ref="B2330">IFERROR(INDEX(event_table!$E$1:$E3686,MATCH(A2330,event_table!$A$1:$A3686,0)),"")
</f>
        <v>4</v>
      </c>
      <c r="C2330" s="7">
        <f t="shared" si="1"/>
        <v>27</v>
      </c>
      <c r="D2330" s="6" t="str">
        <f t="array" ref="D2330">IFERROR(INDEX(user_table!$C$2:$C3686,MATCH(C2330,user_table!$B$2:$B3686,0)),"")
</f>
        <v>Fandi Purnama</v>
      </c>
      <c r="E2330" s="6" t="str">
        <f t="array" ref="E2330">IFERROR(INDEX(user_table!$E$2:$E3686,MATCH(C2330,user_table!$B$2:$B3686,0)),"")
</f>
        <v>4, 6</v>
      </c>
      <c r="F2330" s="6" t="str">
        <f t="shared" si="2"/>
        <v>14164427</v>
      </c>
      <c r="G2330" s="16">
        <v>4.0</v>
      </c>
      <c r="H2330" s="17">
        <v>44721.0</v>
      </c>
      <c r="I2330" s="18" t="s">
        <v>2291</v>
      </c>
    </row>
    <row r="2331">
      <c r="A2331" s="5" t="str">
        <f t="array" ref="A2331">INDEX(event_table!$A$2:$A$69, RANDBETWEEN(1, COUNTA(event_table!$A$2:$A$69)))</f>
        <v>3166</v>
      </c>
      <c r="B2331" s="6">
        <f t="array" ref="B2331">IFERROR(INDEX(event_table!$E$1:$E3686,MATCH(A2331,event_table!$A$1:$A3686,0)),"")
</f>
        <v>1</v>
      </c>
      <c r="C2331" s="7">
        <f t="shared" si="1"/>
        <v>94</v>
      </c>
      <c r="D2331" s="6" t="str">
        <f t="array" ref="D2331">IFERROR(INDEX(user_table!$C$2:$C3686,MATCH(C2331,user_table!$B$2:$B3686,0)),"")
</f>
        <v>Ani Susanto</v>
      </c>
      <c r="E2331" s="6" t="str">
        <f t="array" ref="E2331">IFERROR(INDEX(user_table!$E$2:$E3686,MATCH(C2331,user_table!$B$2:$B3686,0)),"")
</f>
        <v>2, 4</v>
      </c>
      <c r="F2331" s="6" t="str">
        <f t="shared" si="2"/>
        <v>31664194</v>
      </c>
      <c r="G2331" s="16">
        <v>4.0</v>
      </c>
      <c r="H2331" s="17">
        <v>44993.0</v>
      </c>
      <c r="I2331" s="18" t="s">
        <v>2292</v>
      </c>
    </row>
    <row r="2332">
      <c r="A2332" s="5" t="str">
        <f t="array" ref="A2332">INDEX(event_table!$A$2:$A$69, RANDBETWEEN(1, COUNTA(event_table!$A$2:$A$69)))</f>
        <v>1423</v>
      </c>
      <c r="B2332" s="6">
        <f t="array" ref="B2332">IFERROR(INDEX(event_table!$E$1:$E3686,MATCH(A2332,event_table!$A$1:$A3686,0)),"")
</f>
        <v>4</v>
      </c>
      <c r="C2332" s="7">
        <f t="shared" si="1"/>
        <v>40</v>
      </c>
      <c r="D2332" s="6" t="str">
        <f t="array" ref="D2332">IFERROR(INDEX(user_table!$C$2:$C3686,MATCH(C2332,user_table!$B$2:$B3686,0)),"")
</f>
        <v>Joko Sari</v>
      </c>
      <c r="E2332" s="6" t="str">
        <f t="array" ref="E2332">IFERROR(INDEX(user_table!$E$2:$E3686,MATCH(C2332,user_table!$B$2:$B3686,0)),"")
</f>
        <v>5, 6</v>
      </c>
      <c r="F2332" s="6" t="str">
        <f t="shared" si="2"/>
        <v>14234440</v>
      </c>
      <c r="G2332" s="16">
        <v>4.0</v>
      </c>
      <c r="H2332" s="17">
        <v>44951.0</v>
      </c>
      <c r="I2332" s="18" t="s">
        <v>2293</v>
      </c>
    </row>
    <row r="2333">
      <c r="A2333" s="5" t="str">
        <f t="array" ref="A2333">INDEX(event_table!$A$2:$A$69, RANDBETWEEN(1, COUNTA(event_table!$A$2:$A$69)))</f>
        <v>1427</v>
      </c>
      <c r="B2333" s="6">
        <f t="array" ref="B2333">IFERROR(INDEX(event_table!$E$1:$E3686,MATCH(A2333,event_table!$A$1:$A3686,0)),"")
</f>
        <v>4</v>
      </c>
      <c r="C2333" s="7">
        <f t="shared" si="1"/>
        <v>109</v>
      </c>
      <c r="D2333" s="6" t="str">
        <f t="array" ref="D2333">IFERROR(INDEX(user_table!$C$2:$C3686,MATCH(C2333,user_table!$B$2:$B3686,0)),"")
</f>
        <v>Ani Sari</v>
      </c>
      <c r="E2333" s="6" t="str">
        <f t="array" ref="E2333">IFERROR(INDEX(user_table!$E$2:$E3686,MATCH(C2333,user_table!$B$2:$B3686,0)),"")
</f>
        <v>4, 5</v>
      </c>
      <c r="F2333" s="6" t="str">
        <f t="shared" si="2"/>
        <v>142744109</v>
      </c>
      <c r="G2333" s="16">
        <v>4.0</v>
      </c>
      <c r="H2333" s="17">
        <v>44808.0</v>
      </c>
      <c r="I2333" s="18" t="s">
        <v>2294</v>
      </c>
    </row>
    <row r="2334">
      <c r="A2334" s="5" t="str">
        <f t="array" ref="A2334">INDEX(event_table!$A$2:$A$69, RANDBETWEEN(1, COUNTA(event_table!$A$2:$A$69)))</f>
        <v>1332</v>
      </c>
      <c r="B2334" s="6">
        <f t="array" ref="B2334">IFERROR(INDEX(event_table!$E$1:$E3686,MATCH(A2334,event_table!$A$1:$A3686,0)),"")
</f>
        <v>3</v>
      </c>
      <c r="C2334" s="7">
        <f t="shared" si="1"/>
        <v>35</v>
      </c>
      <c r="D2334" s="6" t="str">
        <f t="array" ref="D2334">IFERROR(INDEX(user_table!$C$2:$C3686,MATCH(C2334,user_table!$B$2:$B3686,0)),"")
</f>
        <v>Maya Nugroho</v>
      </c>
      <c r="E2334" s="6" t="str">
        <f t="array" ref="E2334">IFERROR(INDEX(user_table!$E$2:$E3686,MATCH(C2334,user_table!$B$2:$B3686,0)),"")
</f>
        <v>6, 2</v>
      </c>
      <c r="F2334" s="6" t="str">
        <f t="shared" si="2"/>
        <v>13324335</v>
      </c>
      <c r="G2334" s="16">
        <v>4.0</v>
      </c>
      <c r="H2334" s="17">
        <v>44777.0</v>
      </c>
      <c r="I2334" s="18" t="s">
        <v>2295</v>
      </c>
    </row>
    <row r="2335">
      <c r="A2335" s="5" t="str">
        <f t="array" ref="A2335">INDEX(event_table!$A$2:$A$69, RANDBETWEEN(1, COUNTA(event_table!$A$2:$A$69)))</f>
        <v>113</v>
      </c>
      <c r="B2335" s="6">
        <f t="array" ref="B2335">IFERROR(INDEX(event_table!$E$1:$E3686,MATCH(A2335,event_table!$A$1:$A3686,0)),"")
</f>
        <v>1</v>
      </c>
      <c r="C2335" s="7">
        <f t="shared" si="1"/>
        <v>138</v>
      </c>
      <c r="D2335" s="6" t="str">
        <f t="array" ref="D2335">IFERROR(INDEX(user_table!$C$2:$C3686,MATCH(C2335,user_table!$B$2:$B3686,0)),"")
</f>
        <v>Joko Hermawan</v>
      </c>
      <c r="E2335" s="6" t="str">
        <f t="array" ref="E2335">IFERROR(INDEX(user_table!$E$2:$E3686,MATCH(C2335,user_table!$B$2:$B3686,0)),"")
</f>
        <v>4, 1</v>
      </c>
      <c r="F2335" s="6" t="str">
        <f t="shared" si="2"/>
        <v>11341138</v>
      </c>
      <c r="G2335" s="16">
        <v>4.0</v>
      </c>
      <c r="H2335" s="17">
        <v>44717.0</v>
      </c>
      <c r="I2335" s="18" t="s">
        <v>2296</v>
      </c>
    </row>
    <row r="2336">
      <c r="A2336" s="5" t="str">
        <f t="array" ref="A2336">INDEX(event_table!$A$2:$A$69, RANDBETWEEN(1, COUNTA(event_table!$A$2:$A$69)))</f>
        <v>1424</v>
      </c>
      <c r="B2336" s="6">
        <f t="array" ref="B2336">IFERROR(INDEX(event_table!$E$1:$E3686,MATCH(A2336,event_table!$A$1:$A3686,0)),"")
</f>
        <v>4</v>
      </c>
      <c r="C2336" s="7">
        <f t="shared" si="1"/>
        <v>71</v>
      </c>
      <c r="D2336" s="6" t="str">
        <f t="array" ref="D2336">IFERROR(INDEX(user_table!$C$2:$C3686,MATCH(C2336,user_table!$B$2:$B3686,0)),"")
</f>
        <v>Hadi Putri</v>
      </c>
      <c r="E2336" s="6" t="str">
        <f t="array" ref="E2336">IFERROR(INDEX(user_table!$E$2:$E3686,MATCH(C2336,user_table!$B$2:$B3686,0)),"")
</f>
        <v>3, 3</v>
      </c>
      <c r="F2336" s="6" t="str">
        <f t="shared" si="2"/>
        <v>14244471</v>
      </c>
      <c r="G2336" s="16">
        <v>4.0</v>
      </c>
      <c r="H2336" s="17">
        <v>44824.0</v>
      </c>
      <c r="I2336" s="18" t="s">
        <v>2297</v>
      </c>
    </row>
    <row r="2337">
      <c r="A2337" s="5" t="str">
        <f t="array" ref="A2337">INDEX(event_table!$A$2:$A$69, RANDBETWEEN(1, COUNTA(event_table!$A$2:$A$69)))</f>
        <v>3170</v>
      </c>
      <c r="B2337" s="6">
        <f t="array" ref="B2337">IFERROR(INDEX(event_table!$E$1:$E3686,MATCH(A2337,event_table!$A$1:$A3686,0)),"")
</f>
        <v>1</v>
      </c>
      <c r="C2337" s="7">
        <f t="shared" si="1"/>
        <v>9</v>
      </c>
      <c r="D2337" s="6" t="str">
        <f t="array" ref="D2337">IFERROR(INDEX(user_table!$C$2:$C3686,MATCH(C2337,user_table!$B$2:$B3686,0)),"")
</f>
        <v>Dina Pratama</v>
      </c>
      <c r="E2337" s="6" t="str">
        <f t="array" ref="E2337">IFERROR(INDEX(user_table!$E$2:$E3686,MATCH(C2337,user_table!$B$2:$B3686,0)),"")
</f>
        <v>2, 3</v>
      </c>
      <c r="F2337" s="6" t="str">
        <f t="shared" si="2"/>
        <v>3170419</v>
      </c>
      <c r="G2337" s="16">
        <v>4.0</v>
      </c>
      <c r="H2337" s="17">
        <v>44749.0</v>
      </c>
      <c r="I2337" s="18" t="s">
        <v>2298</v>
      </c>
    </row>
    <row r="2338">
      <c r="A2338" s="5" t="str">
        <f t="array" ref="A2338">INDEX(event_table!$A$2:$A$69, RANDBETWEEN(1, COUNTA(event_table!$A$2:$A$69)))</f>
        <v>1643</v>
      </c>
      <c r="B2338" s="6">
        <f t="array" ref="B2338">IFERROR(INDEX(event_table!$E$1:$E3686,MATCH(A2338,event_table!$A$1:$A3686,0)),"")
</f>
        <v>6</v>
      </c>
      <c r="C2338" s="7">
        <f t="shared" si="1"/>
        <v>15</v>
      </c>
      <c r="D2338" s="6" t="str">
        <f t="array" ref="D2338">IFERROR(INDEX(user_table!$C$2:$C3686,MATCH(C2338,user_table!$B$2:$B3686,0)),"")
</f>
        <v>Arif Kurniawan</v>
      </c>
      <c r="E2338" s="6" t="str">
        <f t="array" ref="E2338">IFERROR(INDEX(user_table!$E$2:$E3686,MATCH(C2338,user_table!$B$2:$B3686,0)),"")
</f>
        <v>3, 1</v>
      </c>
      <c r="F2338" s="6" t="str">
        <f t="shared" si="2"/>
        <v>16433615</v>
      </c>
      <c r="G2338" s="16">
        <v>3.0</v>
      </c>
      <c r="H2338" s="17">
        <v>44709.0</v>
      </c>
      <c r="I2338" s="18" t="s">
        <v>2299</v>
      </c>
    </row>
    <row r="2339">
      <c r="A2339" s="5" t="str">
        <f t="array" ref="A2339">INDEX(event_table!$A$2:$A$69, RANDBETWEEN(1, COUNTA(event_table!$A$2:$A$69)))</f>
        <v>1636</v>
      </c>
      <c r="B2339" s="6">
        <f t="array" ref="B2339">IFERROR(INDEX(event_table!$E$1:$E3686,MATCH(A2339,event_table!$A$1:$A3686,0)),"")
</f>
        <v>6</v>
      </c>
      <c r="C2339" s="7">
        <f t="shared" si="1"/>
        <v>1</v>
      </c>
      <c r="D2339" s="6" t="str">
        <f t="array" ref="D2339">IFERROR(INDEX(user_table!$C$2:$C3686,MATCH(C2339,user_table!$B$2:$B3686,0)),"")
</f>
        <v>Maya Putri</v>
      </c>
      <c r="E2339" s="6" t="str">
        <f t="array" ref="E2339">IFERROR(INDEX(user_table!$E$2:$E3686,MATCH(C2339,user_table!$B$2:$B3686,0)),"")
</f>
        <v>5, 6</v>
      </c>
      <c r="F2339" s="6" t="str">
        <f t="shared" si="2"/>
        <v>1636361</v>
      </c>
      <c r="G2339" s="16">
        <v>3.0</v>
      </c>
      <c r="H2339" s="17">
        <v>45209.0</v>
      </c>
      <c r="I2339" s="18" t="s">
        <v>2300</v>
      </c>
    </row>
    <row r="2340">
      <c r="A2340" s="5" t="str">
        <f t="array" ref="A2340">INDEX(event_table!$A$2:$A$69, RANDBETWEEN(1, COUNTA(event_table!$A$2:$A$69)))</f>
        <v>3659</v>
      </c>
      <c r="B2340" s="6">
        <f t="array" ref="B2340">IFERROR(INDEX(event_table!$E$1:$E3686,MATCH(A2340,event_table!$A$1:$A3686,0)),"")
</f>
        <v>6</v>
      </c>
      <c r="C2340" s="7">
        <f t="shared" si="1"/>
        <v>182</v>
      </c>
      <c r="D2340" s="6" t="str">
        <f t="array" ref="D2340">IFERROR(INDEX(user_table!$C$2:$C3686,MATCH(C2340,user_table!$B$2:$B3686,0)),"")
</f>
        <v>Siti Utami</v>
      </c>
      <c r="E2340" s="6" t="str">
        <f t="array" ref="E2340">IFERROR(INDEX(user_table!$E$2:$E3686,MATCH(C2340,user_table!$B$2:$B3686,0)),"")
</f>
        <v>5, 4</v>
      </c>
      <c r="F2340" s="6" t="str">
        <f t="shared" si="2"/>
        <v>365936182</v>
      </c>
      <c r="G2340" s="16">
        <v>3.0</v>
      </c>
      <c r="H2340" s="17">
        <v>45150.0</v>
      </c>
      <c r="I2340" s="18" t="s">
        <v>2301</v>
      </c>
    </row>
    <row r="2341">
      <c r="A2341" s="5" t="str">
        <f t="array" ref="A2341">INDEX(event_table!$A$2:$A$69, RANDBETWEEN(1, COUNTA(event_table!$A$2:$A$69)))</f>
        <v>115</v>
      </c>
      <c r="B2341" s="6">
        <f t="array" ref="B2341">IFERROR(INDEX(event_table!$E$1:$E3686,MATCH(A2341,event_table!$A$1:$A3686,0)),"")
</f>
        <v>1</v>
      </c>
      <c r="C2341" s="7">
        <f t="shared" si="1"/>
        <v>163</v>
      </c>
      <c r="D2341" s="6" t="str">
        <f t="array" ref="D2341">IFERROR(INDEX(user_table!$C$2:$C3686,MATCH(C2341,user_table!$B$2:$B3686,0)),"")
</f>
        <v>Budi Susanto</v>
      </c>
      <c r="E2341" s="6" t="str">
        <f t="array" ref="E2341">IFERROR(INDEX(user_table!$E$2:$E3686,MATCH(C2341,user_table!$B$2:$B3686,0)),"")
</f>
        <v>6, 3</v>
      </c>
      <c r="F2341" s="6" t="str">
        <f t="shared" si="2"/>
        <v>11531163</v>
      </c>
      <c r="G2341" s="16">
        <v>3.0</v>
      </c>
      <c r="H2341" s="17">
        <v>45141.0</v>
      </c>
      <c r="I2341" s="18" t="s">
        <v>2302</v>
      </c>
    </row>
    <row r="2342">
      <c r="A2342" s="5" t="str">
        <f t="array" ref="A2342">INDEX(event_table!$A$2:$A$69, RANDBETWEEN(1, COUNTA(event_table!$A$2:$A$69)))</f>
        <v>1643</v>
      </c>
      <c r="B2342" s="6">
        <f t="array" ref="B2342">IFERROR(INDEX(event_table!$E$1:$E3686,MATCH(A2342,event_table!$A$1:$A3686,0)),"")
</f>
        <v>6</v>
      </c>
      <c r="C2342" s="7">
        <f t="shared" si="1"/>
        <v>162</v>
      </c>
      <c r="D2342" s="6" t="str">
        <f t="array" ref="D2342">IFERROR(INDEX(user_table!$C$2:$C3686,MATCH(C2342,user_table!$B$2:$B3686,0)),"")
</f>
        <v>Dewi Nugroho</v>
      </c>
      <c r="E2342" s="6" t="str">
        <f t="array" ref="E2342">IFERROR(INDEX(user_table!$E$2:$E3686,MATCH(C2342,user_table!$B$2:$B3686,0)),"")
</f>
        <v>2, 5</v>
      </c>
      <c r="F2342" s="6" t="str">
        <f t="shared" si="2"/>
        <v>164336162</v>
      </c>
      <c r="G2342" s="16">
        <v>3.0</v>
      </c>
      <c r="H2342" s="17">
        <v>45138.0</v>
      </c>
      <c r="I2342" s="18" t="s">
        <v>2303</v>
      </c>
    </row>
    <row r="2343">
      <c r="A2343" s="5" t="str">
        <f t="array" ref="A2343">INDEX(event_table!$A$2:$A$69, RANDBETWEEN(1, COUNTA(event_table!$A$2:$A$69)))</f>
        <v>3454</v>
      </c>
      <c r="B2343" s="6">
        <f t="array" ref="B2343">IFERROR(INDEX(event_table!$E$1:$E3686,MATCH(A2343,event_table!$A$1:$A3686,0)),"")
</f>
        <v>4</v>
      </c>
      <c r="C2343" s="7">
        <f t="shared" si="1"/>
        <v>143</v>
      </c>
      <c r="D2343" s="6" t="str">
        <f t="array" ref="D2343">IFERROR(INDEX(user_table!$C$2:$C3686,MATCH(C2343,user_table!$B$2:$B3686,0)),"")
</f>
        <v>Agus Putri</v>
      </c>
      <c r="E2343" s="6" t="str">
        <f t="array" ref="E2343">IFERROR(INDEX(user_table!$E$2:$E3686,MATCH(C2343,user_table!$B$2:$B3686,0)),"")
</f>
        <v>3, 3</v>
      </c>
      <c r="F2343" s="6" t="str">
        <f t="shared" si="2"/>
        <v>345424143</v>
      </c>
      <c r="G2343" s="16">
        <v>2.0</v>
      </c>
      <c r="H2343" s="17">
        <v>45220.0</v>
      </c>
      <c r="I2343" s="18" t="s">
        <v>2304</v>
      </c>
    </row>
    <row r="2344">
      <c r="A2344" s="5" t="str">
        <f t="array" ref="A2344">INDEX(event_table!$A$2:$A$69, RANDBETWEEN(1, COUNTA(event_table!$A$2:$A$69)))</f>
        <v>3454</v>
      </c>
      <c r="B2344" s="6">
        <f t="array" ref="B2344">IFERROR(INDEX(event_table!$E$1:$E3686,MATCH(A2344,event_table!$A$1:$A3686,0)),"")
</f>
        <v>4</v>
      </c>
      <c r="C2344" s="7">
        <f t="shared" si="1"/>
        <v>45</v>
      </c>
      <c r="D2344" s="6" t="str">
        <f t="array" ref="D2344">IFERROR(INDEX(user_table!$C$2:$C3686,MATCH(C2344,user_table!$B$2:$B3686,0)),"")
</f>
        <v>Siti Kurniawan</v>
      </c>
      <c r="E2344" s="6" t="str">
        <f t="array" ref="E2344">IFERROR(INDEX(user_table!$E$2:$E3686,MATCH(C2344,user_table!$B$2:$B3686,0)),"")
</f>
        <v>1, 1</v>
      </c>
      <c r="F2344" s="6" t="str">
        <f t="shared" si="2"/>
        <v>34542445</v>
      </c>
      <c r="G2344" s="16">
        <v>2.0</v>
      </c>
      <c r="H2344" s="17">
        <v>44655.0</v>
      </c>
      <c r="I2344" s="18" t="s">
        <v>2305</v>
      </c>
    </row>
    <row r="2345">
      <c r="A2345" s="5" t="str">
        <f t="array" ref="A2345">INDEX(event_table!$A$2:$A$69, RANDBETWEEN(1, COUNTA(event_table!$A$2:$A$69)))</f>
        <v>1110</v>
      </c>
      <c r="B2345" s="6">
        <f t="array" ref="B2345">IFERROR(INDEX(event_table!$E$1:$E3686,MATCH(A2345,event_table!$A$1:$A3686,0)),"")
</f>
        <v>1</v>
      </c>
      <c r="C2345" s="7">
        <f t="shared" si="1"/>
        <v>57</v>
      </c>
      <c r="D2345" s="6" t="str">
        <f t="array" ref="D2345">IFERROR(INDEX(user_table!$C$2:$C3686,MATCH(C2345,user_table!$B$2:$B3686,0)),"")
</f>
        <v>Hadi Sari</v>
      </c>
      <c r="E2345" s="6" t="str">
        <f t="array" ref="E2345">IFERROR(INDEX(user_table!$E$2:$E3686,MATCH(C2345,user_table!$B$2:$B3686,0)),"")
</f>
        <v>2, 4</v>
      </c>
      <c r="F2345" s="6" t="str">
        <f t="shared" si="2"/>
        <v>11102157</v>
      </c>
      <c r="G2345" s="16">
        <v>2.0</v>
      </c>
      <c r="H2345" s="17">
        <v>44610.0</v>
      </c>
      <c r="I2345" s="18" t="s">
        <v>2306</v>
      </c>
    </row>
    <row r="2346">
      <c r="A2346" s="5" t="str">
        <f t="array" ref="A2346">INDEX(event_table!$A$2:$A$69, RANDBETWEEN(1, COUNTA(event_table!$A$2:$A$69)))</f>
        <v>115</v>
      </c>
      <c r="B2346" s="6">
        <f t="array" ref="B2346">IFERROR(INDEX(event_table!$E$1:$E3686,MATCH(A2346,event_table!$A$1:$A3686,0)),"")
</f>
        <v>1</v>
      </c>
      <c r="C2346" s="7">
        <f t="shared" si="1"/>
        <v>59</v>
      </c>
      <c r="D2346" s="6" t="str">
        <f t="array" ref="D2346">IFERROR(INDEX(user_table!$C$2:$C3686,MATCH(C2346,user_table!$B$2:$B3686,0)),"")
</f>
        <v>Siti Rahayu</v>
      </c>
      <c r="E2346" s="6" t="str">
        <f t="array" ref="E2346">IFERROR(INDEX(user_table!$E$2:$E3686,MATCH(C2346,user_table!$B$2:$B3686,0)),"")
</f>
        <v>3, 5</v>
      </c>
      <c r="F2346" s="6" t="str">
        <f t="shared" si="2"/>
        <v>1152159</v>
      </c>
      <c r="G2346" s="16">
        <v>2.0</v>
      </c>
      <c r="H2346" s="17">
        <v>45191.0</v>
      </c>
      <c r="I2346" s="18" t="s">
        <v>2307</v>
      </c>
    </row>
    <row r="2347">
      <c r="A2347" s="5" t="str">
        <f t="array" ref="A2347">INDEX(event_table!$A$2:$A$69, RANDBETWEEN(1, COUNTA(event_table!$A$2:$A$69)))</f>
        <v>122</v>
      </c>
      <c r="B2347" s="6">
        <f t="array" ref="B2347">IFERROR(INDEX(event_table!$E$1:$E3686,MATCH(A2347,event_table!$A$1:$A3686,0)),"")
</f>
        <v>2</v>
      </c>
      <c r="C2347" s="7">
        <f t="shared" si="1"/>
        <v>180</v>
      </c>
      <c r="D2347" s="6" t="str">
        <f t="array" ref="D2347">IFERROR(INDEX(user_table!$C$2:$C3686,MATCH(C2347,user_table!$B$2:$B3686,0)),"")
</f>
        <v>Andi Susanto</v>
      </c>
      <c r="E2347" s="6" t="str">
        <f t="array" ref="E2347">IFERROR(INDEX(user_table!$E$2:$E3686,MATCH(C2347,user_table!$B$2:$B3686,0)),"")
</f>
        <v>6, 5</v>
      </c>
      <c r="F2347" s="6" t="str">
        <f t="shared" si="2"/>
        <v>12222180</v>
      </c>
      <c r="G2347" s="16">
        <v>2.0</v>
      </c>
      <c r="H2347" s="17">
        <v>45073.0</v>
      </c>
      <c r="I2347" s="18" t="s">
        <v>2308</v>
      </c>
    </row>
    <row r="2348">
      <c r="A2348" s="5" t="str">
        <f t="array" ref="A2348">INDEX(event_table!$A$2:$A$69, RANDBETWEEN(1, COUNTA(event_table!$A$2:$A$69)))</f>
        <v>1648</v>
      </c>
      <c r="B2348" s="6">
        <f t="array" ref="B2348">IFERROR(INDEX(event_table!$E$1:$E3686,MATCH(A2348,event_table!$A$1:$A3686,0)),"")
</f>
        <v>6</v>
      </c>
      <c r="C2348" s="7">
        <f t="shared" si="1"/>
        <v>8</v>
      </c>
      <c r="D2348" s="6" t="str">
        <f t="array" ref="D2348">IFERROR(INDEX(user_table!$C$2:$C3686,MATCH(C2348,user_table!$B$2:$B3686,0)),"")
</f>
        <v>Bambang Kurniawan</v>
      </c>
      <c r="E2348" s="6" t="str">
        <f t="array" ref="E2348">IFERROR(INDEX(user_table!$E$2:$E3686,MATCH(C2348,user_table!$B$2:$B3686,0)),"")
</f>
        <v>2, 1</v>
      </c>
      <c r="F2348" s="6" t="str">
        <f t="shared" si="2"/>
        <v>1648168</v>
      </c>
      <c r="G2348" s="16">
        <v>1.0</v>
      </c>
      <c r="H2348" s="17">
        <v>45249.0</v>
      </c>
      <c r="I2348" s="18" t="s">
        <v>2309</v>
      </c>
    </row>
    <row r="2349">
      <c r="A2349" s="5" t="str">
        <f t="array" ref="A2349">INDEX(event_table!$A$2:$A$69, RANDBETWEEN(1, COUNTA(event_table!$A$2:$A$69)))</f>
        <v>115</v>
      </c>
      <c r="B2349" s="6">
        <f t="array" ref="B2349">IFERROR(INDEX(event_table!$E$1:$E3686,MATCH(A2349,event_table!$A$1:$A3686,0)),"")
</f>
        <v>1</v>
      </c>
      <c r="C2349" s="7">
        <f t="shared" si="1"/>
        <v>188</v>
      </c>
      <c r="D2349" s="6" t="str">
        <f t="array" ref="D2349">IFERROR(INDEX(user_table!$C$2:$C3686,MATCH(C2349,user_table!$B$2:$B3686,0)),"")
</f>
        <v>Siti Setiawan</v>
      </c>
      <c r="E2349" s="6" t="str">
        <f t="array" ref="E2349">IFERROR(INDEX(user_table!$E$2:$E3686,MATCH(C2349,user_table!$B$2:$B3686,0)),"")
</f>
        <v>6, 6</v>
      </c>
      <c r="F2349" s="6" t="str">
        <f t="shared" si="2"/>
        <v>11511188</v>
      </c>
      <c r="G2349" s="16">
        <v>1.0</v>
      </c>
      <c r="H2349" s="17">
        <v>45186.0</v>
      </c>
      <c r="I2349" s="18" t="s">
        <v>2310</v>
      </c>
    </row>
    <row r="2350">
      <c r="A2350" s="5" t="str">
        <f t="array" ref="A2350">INDEX(event_table!$A$2:$A$69, RANDBETWEEN(1, COUNTA(event_table!$A$2:$A$69)))</f>
        <v>1650</v>
      </c>
      <c r="B2350" s="6">
        <f t="array" ref="B2350">IFERROR(INDEX(event_table!$E$1:$E3686,MATCH(A2350,event_table!$A$1:$A3686,0)),"")
</f>
        <v>6</v>
      </c>
      <c r="C2350" s="7">
        <f t="shared" si="1"/>
        <v>103</v>
      </c>
      <c r="D2350" s="6" t="str">
        <f t="array" ref="D2350">IFERROR(INDEX(user_table!$C$2:$C3686,MATCH(C2350,user_table!$B$2:$B3686,0)),"")
</f>
        <v>Hadi Sari</v>
      </c>
      <c r="E2350" s="6" t="str">
        <f t="array" ref="E2350">IFERROR(INDEX(user_table!$E$2:$E3686,MATCH(C2350,user_table!$B$2:$B3686,0)),"")
</f>
        <v>3, 1</v>
      </c>
      <c r="F2350" s="6" t="str">
        <f t="shared" si="2"/>
        <v>165016103</v>
      </c>
      <c r="G2350" s="16">
        <v>1.0</v>
      </c>
      <c r="H2350" s="17">
        <v>45186.0</v>
      </c>
      <c r="I2350" s="18" t="s">
        <v>2311</v>
      </c>
    </row>
    <row r="2351">
      <c r="A2351" s="5" t="str">
        <f t="array" ref="A2351">INDEX(event_table!$A$2:$A$69, RANDBETWEEN(1, COUNTA(event_table!$A$2:$A$69)))</f>
        <v>1519</v>
      </c>
      <c r="B2351" s="6">
        <f t="array" ref="B2351">IFERROR(INDEX(event_table!$E$1:$E3686,MATCH(A2351,event_table!$A$1:$A3686,0)),"")
</f>
        <v>5</v>
      </c>
      <c r="C2351" s="7">
        <f t="shared" si="1"/>
        <v>101</v>
      </c>
      <c r="D2351" s="6" t="str">
        <f t="array" ref="D2351">IFERROR(INDEX(user_table!$C$2:$C3686,MATCH(C2351,user_table!$B$2:$B3686,0)),"")
</f>
        <v>Maya Hadiwijaya</v>
      </c>
      <c r="E2351" s="6" t="str">
        <f t="array" ref="E2351">IFERROR(INDEX(user_table!$E$2:$E3686,MATCH(C2351,user_table!$B$2:$B3686,0)),"")
</f>
        <v>5, 4</v>
      </c>
      <c r="F2351" s="6" t="str">
        <f t="shared" si="2"/>
        <v>151915101</v>
      </c>
      <c r="G2351" s="16">
        <v>1.0</v>
      </c>
      <c r="H2351" s="17">
        <v>45245.0</v>
      </c>
      <c r="I2351" s="18" t="s">
        <v>2312</v>
      </c>
    </row>
    <row r="2352">
      <c r="A2352" s="5" t="str">
        <f t="array" ref="A2352">INDEX(event_table!$A$2:$A$69, RANDBETWEEN(1, COUNTA(event_table!$A$2:$A$69)))</f>
        <v>117</v>
      </c>
      <c r="B2352" s="6">
        <f t="array" ref="B2352">IFERROR(INDEX(event_table!$E$1:$E3686,MATCH(A2352,event_table!$A$1:$A3686,0)),"")
</f>
        <v>1</v>
      </c>
      <c r="C2352" s="7">
        <f t="shared" si="1"/>
        <v>107</v>
      </c>
      <c r="D2352" s="6" t="str">
        <f t="array" ref="D2352">IFERROR(INDEX(user_table!$C$2:$C3686,MATCH(C2352,user_table!$B$2:$B3686,0)),"")
</f>
        <v>Citra Rahayu</v>
      </c>
      <c r="E2352" s="6" t="str">
        <f t="array" ref="E2352">IFERROR(INDEX(user_table!$E$2:$E3686,MATCH(C2352,user_table!$B$2:$B3686,0)),"")
</f>
        <v>1, 5</v>
      </c>
      <c r="F2352" s="6" t="str">
        <f t="shared" si="2"/>
        <v>11711107</v>
      </c>
      <c r="G2352" s="16">
        <v>1.0</v>
      </c>
      <c r="H2352" s="17">
        <v>45206.0</v>
      </c>
      <c r="I2352" s="18" t="s">
        <v>2313</v>
      </c>
    </row>
    <row r="2353">
      <c r="A2353" s="5" t="str">
        <f t="array" ref="A2353">INDEX(event_table!$A$2:$A$69, RANDBETWEEN(1, COUNTA(event_table!$A$2:$A$69)))</f>
        <v>1530</v>
      </c>
      <c r="B2353" s="6">
        <f t="array" ref="B2353">IFERROR(INDEX(event_table!$E$1:$E3686,MATCH(A2353,event_table!$A$1:$A3686,0)),"")
</f>
        <v>5</v>
      </c>
      <c r="C2353" s="7">
        <f t="shared" si="1"/>
        <v>107</v>
      </c>
      <c r="D2353" s="6" t="str">
        <f t="array" ref="D2353">IFERROR(INDEX(user_table!$C$2:$C3686,MATCH(C2353,user_table!$B$2:$B3686,0)),"")
</f>
        <v>Citra Rahayu</v>
      </c>
      <c r="E2353" s="6" t="str">
        <f t="array" ref="E2353">IFERROR(INDEX(user_table!$E$2:$E3686,MATCH(C2353,user_table!$B$2:$B3686,0)),"")
</f>
        <v>1, 5</v>
      </c>
      <c r="F2353" s="6" t="str">
        <f t="shared" si="2"/>
        <v>153015107</v>
      </c>
      <c r="G2353" s="16">
        <v>1.0</v>
      </c>
      <c r="H2353" s="17">
        <v>45228.0</v>
      </c>
      <c r="I2353" s="18" t="s">
        <v>2314</v>
      </c>
    </row>
    <row r="2354">
      <c r="A2354" s="5" t="str">
        <f t="array" ref="A2354">INDEX(event_table!$A$2:$A$69, RANDBETWEEN(1, COUNTA(event_table!$A$2:$A$69)))</f>
        <v>111</v>
      </c>
      <c r="B2354" s="6">
        <f t="array" ref="B2354">IFERROR(INDEX(event_table!$E$1:$E3686,MATCH(A2354,event_table!$A$1:$A3686,0)),"")
</f>
        <v>1</v>
      </c>
      <c r="C2354" s="7">
        <f t="shared" si="1"/>
        <v>84</v>
      </c>
      <c r="D2354" s="6" t="str">
        <f t="array" ref="D2354">IFERROR(INDEX(user_table!$C$2:$C3686,MATCH(C2354,user_table!$B$2:$B3686,0)),"")
</f>
        <v>Budi Hermawan</v>
      </c>
      <c r="E2354" s="6" t="str">
        <f t="array" ref="E2354">IFERROR(INDEX(user_table!$E$2:$E3686,MATCH(C2354,user_table!$B$2:$B3686,0)),"")
</f>
        <v>5, 5</v>
      </c>
      <c r="F2354" s="6" t="str">
        <f t="shared" si="2"/>
        <v>1111184</v>
      </c>
      <c r="G2354" s="16">
        <v>1.0</v>
      </c>
      <c r="H2354" s="17">
        <v>45208.0</v>
      </c>
      <c r="I2354" s="18" t="s">
        <v>2315</v>
      </c>
    </row>
    <row r="2355">
      <c r="A2355" s="5" t="str">
        <f t="array" ref="A2355">INDEX(event_table!$A$2:$A$69, RANDBETWEEN(1, COUNTA(event_table!$A$2:$A$69)))</f>
        <v>1421</v>
      </c>
      <c r="B2355" s="6">
        <f t="array" ref="B2355">IFERROR(INDEX(event_table!$E$1:$E3686,MATCH(A2355,event_table!$A$1:$A3686,0)),"")
</f>
        <v>4</v>
      </c>
      <c r="C2355" s="7">
        <f t="shared" si="1"/>
        <v>127</v>
      </c>
      <c r="D2355" s="6" t="str">
        <f t="array" ref="D2355">IFERROR(INDEX(user_table!$C$2:$C3686,MATCH(C2355,user_table!$B$2:$B3686,0)),"")
</f>
        <v>Sinta Wijaya</v>
      </c>
      <c r="E2355" s="6" t="str">
        <f t="array" ref="E2355">IFERROR(INDEX(user_table!$E$2:$E3686,MATCH(C2355,user_table!$B$2:$B3686,0)),"")
</f>
        <v>6, 4</v>
      </c>
      <c r="F2355" s="6" t="str">
        <f t="shared" si="2"/>
        <v>142114127</v>
      </c>
      <c r="G2355" s="16">
        <v>1.0</v>
      </c>
      <c r="H2355" s="17">
        <v>45180.0</v>
      </c>
      <c r="I2355" s="18" t="s">
        <v>2316</v>
      </c>
    </row>
    <row r="2356">
      <c r="A2356" s="5" t="str">
        <f t="array" ref="A2356">INDEX(event_table!$A$2:$A$69, RANDBETWEEN(1, COUNTA(event_table!$A$2:$A$69)))</f>
        <v>1646</v>
      </c>
      <c r="B2356" s="6">
        <f t="array" ref="B2356">IFERROR(INDEX(event_table!$E$1:$E3686,MATCH(A2356,event_table!$A$1:$A3686,0)),"")
</f>
        <v>6</v>
      </c>
      <c r="C2356" s="7">
        <f t="shared" si="1"/>
        <v>71</v>
      </c>
      <c r="D2356" s="6" t="str">
        <f t="array" ref="D2356">IFERROR(INDEX(user_table!$C$2:$C3686,MATCH(C2356,user_table!$B$2:$B3686,0)),"")
</f>
        <v>Hadi Putri</v>
      </c>
      <c r="E2356" s="6" t="str">
        <f t="array" ref="E2356">IFERROR(INDEX(user_table!$E$2:$E3686,MATCH(C2356,user_table!$B$2:$B3686,0)),"")
</f>
        <v>3, 3</v>
      </c>
      <c r="F2356" s="6" t="str">
        <f t="shared" si="2"/>
        <v>16461671</v>
      </c>
      <c r="G2356" s="16">
        <v>1.0</v>
      </c>
      <c r="H2356" s="17">
        <v>45149.0</v>
      </c>
      <c r="I2356" s="18" t="s">
        <v>2317</v>
      </c>
    </row>
    <row r="2357">
      <c r="A2357" s="5" t="str">
        <f t="array" ref="A2357">INDEX(event_table!$A$2:$A$69, RANDBETWEEN(1, COUNTA(event_table!$A$2:$A$69)))</f>
        <v>1526</v>
      </c>
      <c r="B2357" s="6">
        <f t="array" ref="B2357">IFERROR(INDEX(event_table!$E$1:$E3686,MATCH(A2357,event_table!$A$1:$A3686,0)),"")
</f>
        <v>5</v>
      </c>
      <c r="C2357" s="7">
        <f t="shared" si="1"/>
        <v>96</v>
      </c>
      <c r="D2357" s="6" t="str">
        <f t="array" ref="D2357">IFERROR(INDEX(user_table!$C$2:$C3686,MATCH(C2357,user_table!$B$2:$B3686,0)),"")
</f>
        <v>Budi Sari</v>
      </c>
      <c r="E2357" s="6" t="str">
        <f t="array" ref="E2357">IFERROR(INDEX(user_table!$E$2:$E3686,MATCH(C2357,user_table!$B$2:$B3686,0)),"")
</f>
        <v>3, 2</v>
      </c>
      <c r="F2357" s="6" t="str">
        <f t="shared" si="2"/>
        <v>15261596</v>
      </c>
      <c r="G2357" s="16">
        <v>1.0</v>
      </c>
      <c r="H2357" s="17">
        <v>45143.0</v>
      </c>
      <c r="I2357" s="18" t="s">
        <v>2318</v>
      </c>
    </row>
    <row r="2358">
      <c r="A2358" s="5" t="str">
        <f t="array" ref="A2358">INDEX(event_table!$A$2:$A$69, RANDBETWEEN(1, COUNTA(event_table!$A$2:$A$69)))</f>
        <v>1531</v>
      </c>
      <c r="B2358" s="6">
        <f t="array" ref="B2358">IFERROR(INDEX(event_table!$E$1:$E3686,MATCH(A2358,event_table!$A$1:$A3686,0)),"")
</f>
        <v>5</v>
      </c>
      <c r="C2358" s="7">
        <f t="shared" si="1"/>
        <v>173</v>
      </c>
      <c r="D2358" s="6" t="str">
        <f t="array" ref="D2358">IFERROR(INDEX(user_table!$C$2:$C3686,MATCH(C2358,user_table!$B$2:$B3686,0)),"")
</f>
        <v>Fajar Putri</v>
      </c>
      <c r="E2358" s="6" t="str">
        <f t="array" ref="E2358">IFERROR(INDEX(user_table!$E$2:$E3686,MATCH(C2358,user_table!$B$2:$B3686,0)),"")
</f>
        <v>2, 6</v>
      </c>
      <c r="F2358" s="6" t="str">
        <f t="shared" si="2"/>
        <v>153115173</v>
      </c>
      <c r="G2358" s="16">
        <v>1.0</v>
      </c>
      <c r="H2358" s="17">
        <v>45082.0</v>
      </c>
      <c r="I2358" s="18" t="s">
        <v>2319</v>
      </c>
    </row>
    <row r="2359">
      <c r="A2359" s="5" t="str">
        <f t="array" ref="A2359">INDEX(event_table!$A$2:$A$69, RANDBETWEEN(1, COUNTA(event_table!$A$2:$A$69)))</f>
        <v>1423</v>
      </c>
      <c r="B2359" s="6">
        <f t="array" ref="B2359">IFERROR(INDEX(event_table!$E$1:$E3686,MATCH(A2359,event_table!$A$1:$A3686,0)),"")
</f>
        <v>4</v>
      </c>
      <c r="C2359" s="7">
        <f t="shared" si="1"/>
        <v>16</v>
      </c>
      <c r="D2359" s="6" t="str">
        <f t="array" ref="D2359">IFERROR(INDEX(user_table!$C$2:$C3686,MATCH(C2359,user_table!$B$2:$B3686,0)),"")
</f>
        <v>Siti Utami</v>
      </c>
      <c r="E2359" s="6" t="str">
        <f t="array" ref="E2359">IFERROR(INDEX(user_table!$E$2:$E3686,MATCH(C2359,user_table!$B$2:$B3686,0)),"")
</f>
        <v>1, 2</v>
      </c>
      <c r="F2359" s="6" t="str">
        <f t="shared" si="2"/>
        <v>14231416</v>
      </c>
      <c r="G2359" s="16">
        <v>1.0</v>
      </c>
      <c r="H2359" s="17">
        <v>45072.0</v>
      </c>
      <c r="I2359" s="18" t="s">
        <v>2320</v>
      </c>
    </row>
    <row r="2360">
      <c r="A2360" s="5" t="str">
        <f t="array" ref="A2360">INDEX(event_table!$A$2:$A$69, RANDBETWEEN(1, COUNTA(event_table!$A$2:$A$69)))</f>
        <v>1648</v>
      </c>
      <c r="B2360" s="6">
        <f t="array" ref="B2360">IFERROR(INDEX(event_table!$E$1:$E3686,MATCH(A2360,event_table!$A$1:$A3686,0)),"")
</f>
        <v>6</v>
      </c>
      <c r="C2360" s="7">
        <f t="shared" si="1"/>
        <v>2</v>
      </c>
      <c r="D2360" s="6" t="str">
        <f t="array" ref="D2360">IFERROR(INDEX(user_table!$C$2:$C3686,MATCH(C2360,user_table!$B$2:$B3686,0)),"")
</f>
        <v>Dian Putri</v>
      </c>
      <c r="E2360" s="6" t="str">
        <f t="array" ref="E2360">IFERROR(INDEX(user_table!$E$2:$E3686,MATCH(C2360,user_table!$B$2:$B3686,0)),"")
</f>
        <v>1, 6</v>
      </c>
      <c r="F2360" s="6" t="str">
        <f t="shared" si="2"/>
        <v>1648162</v>
      </c>
      <c r="G2360" s="16">
        <v>1.0</v>
      </c>
      <c r="H2360" s="17">
        <v>45047.0</v>
      </c>
      <c r="I2360" s="18" t="s">
        <v>2321</v>
      </c>
    </row>
    <row r="2361">
      <c r="A2361" s="5" t="str">
        <f t="array" ref="A2361">INDEX(event_table!$A$2:$A$69, RANDBETWEEN(1, COUNTA(event_table!$A$2:$A$69)))</f>
        <v>1519</v>
      </c>
      <c r="B2361" s="6">
        <f t="array" ref="B2361">IFERROR(INDEX(event_table!$E$1:$E3686,MATCH(A2361,event_table!$A$1:$A3686,0)),"")
</f>
        <v>5</v>
      </c>
      <c r="C2361" s="7">
        <f t="shared" si="1"/>
        <v>13</v>
      </c>
      <c r="D2361" s="6" t="str">
        <f t="array" ref="D2361">IFERROR(INDEX(user_table!$C$2:$C3686,MATCH(C2361,user_table!$B$2:$B3686,0)),"")
</f>
        <v>Hadi Kurniawan</v>
      </c>
      <c r="E2361" s="6" t="str">
        <f t="array" ref="E2361">IFERROR(INDEX(user_table!$E$2:$E3686,MATCH(C2361,user_table!$B$2:$B3686,0)),"")
</f>
        <v>4, 3</v>
      </c>
      <c r="F2361" s="6" t="str">
        <f t="shared" si="2"/>
        <v>15191513</v>
      </c>
      <c r="G2361" s="16">
        <v>1.0</v>
      </c>
      <c r="H2361" s="17">
        <v>45039.0</v>
      </c>
      <c r="I2361" s="18" t="s">
        <v>2322</v>
      </c>
    </row>
    <row r="2362">
      <c r="A2362" s="5" t="str">
        <f t="array" ref="A2362">INDEX(event_table!$A$2:$A$69, RANDBETWEEN(1, COUNTA(event_table!$A$2:$A$69)))</f>
        <v>1529</v>
      </c>
      <c r="B2362" s="6">
        <f t="array" ref="B2362">IFERROR(INDEX(event_table!$E$1:$E3686,MATCH(A2362,event_table!$A$1:$A3686,0)),"")
</f>
        <v>5</v>
      </c>
      <c r="C2362" s="7">
        <f t="shared" si="1"/>
        <v>77</v>
      </c>
      <c r="D2362" s="6" t="str">
        <f t="array" ref="D2362">IFERROR(INDEX(user_table!$C$2:$C3686,MATCH(C2362,user_table!$B$2:$B3686,0)),"")
</f>
        <v>Desi Wijaya</v>
      </c>
      <c r="E2362" s="6" t="str">
        <f t="array" ref="E2362">IFERROR(INDEX(user_table!$E$2:$E3686,MATCH(C2362,user_table!$B$2:$B3686,0)),"")
</f>
        <v>3, 1</v>
      </c>
      <c r="F2362" s="6" t="str">
        <f t="shared" si="2"/>
        <v>15291577</v>
      </c>
      <c r="G2362" s="16">
        <v>1.0</v>
      </c>
      <c r="H2362" s="17">
        <v>45033.0</v>
      </c>
      <c r="I2362" s="18" t="s">
        <v>2323</v>
      </c>
    </row>
    <row r="2363">
      <c r="A2363" s="5" t="str">
        <f t="array" ref="A2363">INDEX(event_table!$A$2:$A$69, RANDBETWEEN(1, COUNTA(event_table!$A$2:$A$69)))</f>
        <v>111</v>
      </c>
      <c r="B2363" s="6">
        <f t="array" ref="B2363">IFERROR(INDEX(event_table!$E$1:$E3686,MATCH(A2363,event_table!$A$1:$A3686,0)),"")
</f>
        <v>1</v>
      </c>
      <c r="C2363" s="7">
        <f t="shared" si="1"/>
        <v>93</v>
      </c>
      <c r="D2363" s="6" t="str">
        <f t="array" ref="D2363">IFERROR(INDEX(user_table!$C$2:$C3686,MATCH(C2363,user_table!$B$2:$B3686,0)),"")
</f>
        <v>Hadi Putri</v>
      </c>
      <c r="E2363" s="6" t="str">
        <f t="array" ref="E2363">IFERROR(INDEX(user_table!$E$2:$E3686,MATCH(C2363,user_table!$B$2:$B3686,0)),"")
</f>
        <v>5, 6</v>
      </c>
      <c r="F2363" s="6" t="str">
        <f t="shared" si="2"/>
        <v>1115193</v>
      </c>
      <c r="G2363" s="16">
        <v>5.0</v>
      </c>
      <c r="H2363" s="17">
        <v>44751.0</v>
      </c>
      <c r="I2363" s="18" t="s">
        <v>2324</v>
      </c>
    </row>
    <row r="2364">
      <c r="A2364" s="5" t="str">
        <f t="array" ref="A2364">INDEX(event_table!$A$2:$A$69, RANDBETWEEN(1, COUNTA(event_table!$A$2:$A$69)))</f>
        <v>1519</v>
      </c>
      <c r="B2364" s="6">
        <f t="array" ref="B2364">IFERROR(INDEX(event_table!$E$1:$E3686,MATCH(A2364,event_table!$A$1:$A3686,0)),"")
</f>
        <v>5</v>
      </c>
      <c r="C2364" s="7">
        <f t="shared" si="1"/>
        <v>174</v>
      </c>
      <c r="D2364" s="6" t="str">
        <f t="array" ref="D2364">IFERROR(INDEX(user_table!$C$2:$C3686,MATCH(C2364,user_table!$B$2:$B3686,0)),"")
</f>
        <v>Maya Hermawan</v>
      </c>
      <c r="E2364" s="6" t="str">
        <f t="array" ref="E2364">IFERROR(INDEX(user_table!$E$2:$E3686,MATCH(C2364,user_table!$B$2:$B3686,0)),"")
</f>
        <v>5, 1</v>
      </c>
      <c r="F2364" s="6" t="str">
        <f t="shared" si="2"/>
        <v>151955174</v>
      </c>
      <c r="G2364" s="16">
        <v>5.0</v>
      </c>
      <c r="H2364" s="17">
        <v>44742.0</v>
      </c>
      <c r="I2364" s="18" t="s">
        <v>2325</v>
      </c>
    </row>
    <row r="2365">
      <c r="A2365" s="5" t="str">
        <f t="array" ref="A2365">INDEX(event_table!$A$2:$A$69, RANDBETWEEN(1, COUNTA(event_table!$A$2:$A$69)))</f>
        <v>1111</v>
      </c>
      <c r="B2365" s="6">
        <f t="array" ref="B2365">IFERROR(INDEX(event_table!$E$1:$E3686,MATCH(A2365,event_table!$A$1:$A3686,0)),"")
</f>
        <v>1</v>
      </c>
      <c r="C2365" s="7">
        <f t="shared" si="1"/>
        <v>136</v>
      </c>
      <c r="D2365" s="6" t="str">
        <f t="array" ref="D2365">IFERROR(INDEX(user_table!$C$2:$C3686,MATCH(C2365,user_table!$B$2:$B3686,0)),"")
</f>
        <v>Fandi Purnama</v>
      </c>
      <c r="E2365" s="6" t="str">
        <f t="array" ref="E2365">IFERROR(INDEX(user_table!$E$2:$E3686,MATCH(C2365,user_table!$B$2:$B3686,0)),"")
</f>
        <v>5, 6</v>
      </c>
      <c r="F2365" s="6" t="str">
        <f t="shared" si="2"/>
        <v>111151136</v>
      </c>
      <c r="G2365" s="16">
        <v>5.0</v>
      </c>
      <c r="H2365" s="17">
        <v>44736.0</v>
      </c>
      <c r="I2365" s="18" t="s">
        <v>2326</v>
      </c>
    </row>
    <row r="2366">
      <c r="A2366" s="5" t="str">
        <f t="array" ref="A2366">INDEX(event_table!$A$2:$A$69, RANDBETWEEN(1, COUNTA(event_table!$A$2:$A$69)))</f>
        <v>111</v>
      </c>
      <c r="B2366" s="6">
        <f t="array" ref="B2366">IFERROR(INDEX(event_table!$E$1:$E3686,MATCH(A2366,event_table!$A$1:$A3686,0)),"")
</f>
        <v>1</v>
      </c>
      <c r="C2366" s="7">
        <f t="shared" si="1"/>
        <v>99</v>
      </c>
      <c r="D2366" s="6" t="str">
        <f t="array" ref="D2366">IFERROR(INDEX(user_table!$C$2:$C3686,MATCH(C2366,user_table!$B$2:$B3686,0)),"")
</f>
        <v>Maya Nugroho</v>
      </c>
      <c r="E2366" s="6" t="str">
        <f t="array" ref="E2366">IFERROR(INDEX(user_table!$E$2:$E3686,MATCH(C2366,user_table!$B$2:$B3686,0)),"")
</f>
        <v>6, 1</v>
      </c>
      <c r="F2366" s="6" t="str">
        <f t="shared" si="2"/>
        <v>1115199</v>
      </c>
      <c r="G2366" s="16">
        <v>5.0</v>
      </c>
      <c r="H2366" s="17">
        <v>44725.0</v>
      </c>
      <c r="I2366" s="18" t="s">
        <v>2327</v>
      </c>
    </row>
    <row r="2367">
      <c r="A2367" s="5" t="str">
        <f t="array" ref="A2367">INDEX(event_table!$A$2:$A$69, RANDBETWEEN(1, COUNTA(event_table!$A$2:$A$69)))</f>
        <v>1423</v>
      </c>
      <c r="B2367" s="6">
        <f t="array" ref="B2367">IFERROR(INDEX(event_table!$E$1:$E3686,MATCH(A2367,event_table!$A$1:$A3686,0)),"")
</f>
        <v>4</v>
      </c>
      <c r="C2367" s="7">
        <f t="shared" si="1"/>
        <v>151</v>
      </c>
      <c r="D2367" s="6" t="str">
        <f t="array" ref="D2367">IFERROR(INDEX(user_table!$C$2:$C3686,MATCH(C2367,user_table!$B$2:$B3686,0)),"")
</f>
        <v>Maya Hidayat</v>
      </c>
      <c r="E2367" s="6" t="str">
        <f t="array" ref="E2367">IFERROR(INDEX(user_table!$E$2:$E3686,MATCH(C2367,user_table!$B$2:$B3686,0)),"")
</f>
        <v>2, 3</v>
      </c>
      <c r="F2367" s="6" t="str">
        <f t="shared" si="2"/>
        <v>142354151</v>
      </c>
      <c r="G2367" s="16">
        <v>5.0</v>
      </c>
      <c r="H2367" s="17">
        <v>44694.0</v>
      </c>
      <c r="I2367" s="18" t="s">
        <v>2328</v>
      </c>
    </row>
    <row r="2368">
      <c r="A2368" s="5" t="str">
        <f t="array" ref="A2368">INDEX(event_table!$A$2:$A$69, RANDBETWEEN(1, COUNTA(event_table!$A$2:$A$69)))</f>
        <v>1646</v>
      </c>
      <c r="B2368" s="6">
        <f t="array" ref="B2368">IFERROR(INDEX(event_table!$E$1:$E3686,MATCH(A2368,event_table!$A$1:$A3686,0)),"")
</f>
        <v>6</v>
      </c>
      <c r="C2368" s="7">
        <f t="shared" si="1"/>
        <v>76</v>
      </c>
      <c r="D2368" s="6" t="str">
        <f t="array" ref="D2368">IFERROR(INDEX(user_table!$C$2:$C3686,MATCH(C2368,user_table!$B$2:$B3686,0)),"")
</f>
        <v>Sinta Hidayat</v>
      </c>
      <c r="E2368" s="6" t="str">
        <f t="array" ref="E2368">IFERROR(INDEX(user_table!$E$2:$E3686,MATCH(C2368,user_table!$B$2:$B3686,0)),"")
</f>
        <v>3, 2</v>
      </c>
      <c r="F2368" s="6" t="str">
        <f t="shared" si="2"/>
        <v>16465676</v>
      </c>
      <c r="G2368" s="16">
        <v>5.0</v>
      </c>
      <c r="H2368" s="17">
        <v>44690.0</v>
      </c>
      <c r="I2368" s="18" t="s">
        <v>2329</v>
      </c>
    </row>
    <row r="2369">
      <c r="A2369" s="5" t="str">
        <f t="array" ref="A2369">INDEX(event_table!$A$2:$A$69, RANDBETWEEN(1, COUNTA(event_table!$A$2:$A$69)))</f>
        <v>1215</v>
      </c>
      <c r="B2369" s="6">
        <f t="array" ref="B2369">IFERROR(INDEX(event_table!$E$1:$E3686,MATCH(A2369,event_table!$A$1:$A3686,0)),"")
</f>
        <v>2</v>
      </c>
      <c r="C2369" s="7">
        <f t="shared" si="1"/>
        <v>94</v>
      </c>
      <c r="D2369" s="6" t="str">
        <f t="array" ref="D2369">IFERROR(INDEX(user_table!$C$2:$C3686,MATCH(C2369,user_table!$B$2:$B3686,0)),"")
</f>
        <v>Ani Susanto</v>
      </c>
      <c r="E2369" s="6" t="str">
        <f t="array" ref="E2369">IFERROR(INDEX(user_table!$E$2:$E3686,MATCH(C2369,user_table!$B$2:$B3686,0)),"")
</f>
        <v>2, 4</v>
      </c>
      <c r="F2369" s="6" t="str">
        <f t="shared" si="2"/>
        <v>12155294</v>
      </c>
      <c r="G2369" s="16">
        <v>5.0</v>
      </c>
      <c r="H2369" s="17">
        <v>44680.0</v>
      </c>
      <c r="I2369" s="18" t="s">
        <v>2330</v>
      </c>
    </row>
    <row r="2370">
      <c r="A2370" s="5" t="str">
        <f t="array" ref="A2370">INDEX(event_table!$A$2:$A$69, RANDBETWEEN(1, COUNTA(event_table!$A$2:$A$69)))</f>
        <v>1529</v>
      </c>
      <c r="B2370" s="6">
        <f t="array" ref="B2370">IFERROR(INDEX(event_table!$E$1:$E3686,MATCH(A2370,event_table!$A$1:$A3686,0)),"")
</f>
        <v>5</v>
      </c>
      <c r="C2370" s="7">
        <f t="shared" si="1"/>
        <v>130</v>
      </c>
      <c r="D2370" s="6" t="str">
        <f t="array" ref="D2370">IFERROR(INDEX(user_table!$C$2:$C3686,MATCH(C2370,user_table!$B$2:$B3686,0)),"")
</f>
        <v>Andi Putri</v>
      </c>
      <c r="E2370" s="6" t="str">
        <f t="array" ref="E2370">IFERROR(INDEX(user_table!$E$2:$E3686,MATCH(C2370,user_table!$B$2:$B3686,0)),"")
</f>
        <v>2, 3</v>
      </c>
      <c r="F2370" s="6" t="str">
        <f t="shared" si="2"/>
        <v>152955130</v>
      </c>
      <c r="G2370" s="16">
        <v>5.0</v>
      </c>
      <c r="H2370" s="17">
        <v>45252.0</v>
      </c>
      <c r="I2370" s="18" t="s">
        <v>2331</v>
      </c>
    </row>
    <row r="2371">
      <c r="A2371" s="5" t="str">
        <f t="array" ref="A2371">INDEX(event_table!$A$2:$A$69, RANDBETWEEN(1, COUNTA(event_table!$A$2:$A$69)))</f>
        <v>3168</v>
      </c>
      <c r="B2371" s="6">
        <f t="array" ref="B2371">IFERROR(INDEX(event_table!$E$1:$E3686,MATCH(A2371,event_table!$A$1:$A3686,0)),"")
</f>
        <v>1</v>
      </c>
      <c r="C2371" s="7">
        <f t="shared" si="1"/>
        <v>152</v>
      </c>
      <c r="D2371" s="6" t="str">
        <f t="array" ref="D2371">IFERROR(INDEX(user_table!$C$2:$C3686,MATCH(C2371,user_table!$B$2:$B3686,0)),"")
</f>
        <v>Budi Kurniawan</v>
      </c>
      <c r="E2371" s="6" t="str">
        <f t="array" ref="E2371">IFERROR(INDEX(user_table!$E$2:$E3686,MATCH(C2371,user_table!$B$2:$B3686,0)),"")
</f>
        <v>5, 5</v>
      </c>
      <c r="F2371" s="6" t="str">
        <f t="shared" si="2"/>
        <v>316851152</v>
      </c>
      <c r="G2371" s="16">
        <v>5.0</v>
      </c>
      <c r="H2371" s="17">
        <v>44861.0</v>
      </c>
      <c r="I2371" s="18" t="s">
        <v>2332</v>
      </c>
    </row>
    <row r="2372">
      <c r="A2372" s="5" t="str">
        <f t="array" ref="A2372">INDEX(event_table!$A$2:$A$69, RANDBETWEEN(1, COUNTA(event_table!$A$2:$A$69)))</f>
        <v>1642</v>
      </c>
      <c r="B2372" s="6">
        <f t="array" ref="B2372">IFERROR(INDEX(event_table!$E$1:$E3686,MATCH(A2372,event_table!$A$1:$A3686,0)),"")
</f>
        <v>6</v>
      </c>
      <c r="C2372" s="7">
        <f t="shared" si="1"/>
        <v>137</v>
      </c>
      <c r="D2372" s="6" t="str">
        <f t="array" ref="D2372">IFERROR(INDEX(user_table!$C$2:$C3686,MATCH(C2372,user_table!$B$2:$B3686,0)),"")
</f>
        <v>Dina Pratama</v>
      </c>
      <c r="E2372" s="6" t="str">
        <f t="array" ref="E2372">IFERROR(INDEX(user_table!$E$2:$E3686,MATCH(C2372,user_table!$B$2:$B3686,0)),"")
</f>
        <v>4, 4</v>
      </c>
      <c r="F2372" s="6" t="str">
        <f t="shared" si="2"/>
        <v>164256137</v>
      </c>
      <c r="G2372" s="16">
        <v>5.0</v>
      </c>
      <c r="H2372" s="17">
        <v>44810.0</v>
      </c>
      <c r="I2372" s="18" t="s">
        <v>2333</v>
      </c>
    </row>
    <row r="2373">
      <c r="A2373" s="5" t="str">
        <f t="array" ref="A2373">INDEX(event_table!$A$2:$A$69, RANDBETWEEN(1, COUNTA(event_table!$A$2:$A$69)))</f>
        <v>1645</v>
      </c>
      <c r="B2373" s="6">
        <f t="array" ref="B2373">IFERROR(INDEX(event_table!$E$1:$E3686,MATCH(A2373,event_table!$A$1:$A3686,0)),"")
</f>
        <v>6</v>
      </c>
      <c r="C2373" s="7">
        <f t="shared" si="1"/>
        <v>138</v>
      </c>
      <c r="D2373" s="6" t="str">
        <f t="array" ref="D2373">IFERROR(INDEX(user_table!$C$2:$C3686,MATCH(C2373,user_table!$B$2:$B3686,0)),"")
</f>
        <v>Joko Hermawan</v>
      </c>
      <c r="E2373" s="6" t="str">
        <f t="array" ref="E2373">IFERROR(INDEX(user_table!$E$2:$E3686,MATCH(C2373,user_table!$B$2:$B3686,0)),"")
</f>
        <v>4, 1</v>
      </c>
      <c r="F2373" s="6" t="str">
        <f t="shared" si="2"/>
        <v>164556138</v>
      </c>
      <c r="G2373" s="16">
        <v>5.0</v>
      </c>
      <c r="H2373" s="17">
        <v>44803.0</v>
      </c>
      <c r="I2373" s="18" t="s">
        <v>2334</v>
      </c>
    </row>
    <row r="2374">
      <c r="A2374" s="5" t="str">
        <f t="array" ref="A2374">INDEX(event_table!$A$2:$A$69, RANDBETWEEN(1, COUNTA(event_table!$A$2:$A$69)))</f>
        <v>3169</v>
      </c>
      <c r="B2374" s="6">
        <f t="array" ref="B2374">IFERROR(INDEX(event_table!$E$1:$E3686,MATCH(A2374,event_table!$A$1:$A3686,0)),"")
</f>
        <v>1</v>
      </c>
      <c r="C2374" s="7">
        <f t="shared" si="1"/>
        <v>198</v>
      </c>
      <c r="D2374" s="6" t="str">
        <f t="array" ref="D2374">IFERROR(INDEX(user_table!$C$2:$C3686,MATCH(C2374,user_table!$B$2:$B3686,0)),"")
</f>
        <v>Siti Nugroho</v>
      </c>
      <c r="E2374" s="6" t="str">
        <f t="array" ref="E2374">IFERROR(INDEX(user_table!$E$2:$E3686,MATCH(C2374,user_table!$B$2:$B3686,0)),"")
</f>
        <v>5, 2</v>
      </c>
      <c r="F2374" s="6" t="str">
        <f t="shared" si="2"/>
        <v>316951198</v>
      </c>
      <c r="G2374" s="16">
        <v>5.0</v>
      </c>
      <c r="H2374" s="17">
        <v>44779.0</v>
      </c>
      <c r="I2374" s="18" t="s">
        <v>2335</v>
      </c>
    </row>
    <row r="2375">
      <c r="A2375" s="5" t="str">
        <f t="array" ref="A2375">INDEX(event_table!$A$2:$A$69, RANDBETWEEN(1, COUNTA(event_table!$A$2:$A$69)))</f>
        <v>1427</v>
      </c>
      <c r="B2375" s="6">
        <f t="array" ref="B2375">IFERROR(INDEX(event_table!$E$1:$E3686,MATCH(A2375,event_table!$A$1:$A3686,0)),"")
</f>
        <v>4</v>
      </c>
      <c r="C2375" s="7">
        <f t="shared" si="1"/>
        <v>9</v>
      </c>
      <c r="D2375" s="6" t="str">
        <f t="array" ref="D2375">IFERROR(INDEX(user_table!$C$2:$C3686,MATCH(C2375,user_table!$B$2:$B3686,0)),"")
</f>
        <v>Dina Pratama</v>
      </c>
      <c r="E2375" s="6" t="str">
        <f t="array" ref="E2375">IFERROR(INDEX(user_table!$E$2:$E3686,MATCH(C2375,user_table!$B$2:$B3686,0)),"")
</f>
        <v>2, 3</v>
      </c>
      <c r="F2375" s="6" t="str">
        <f t="shared" si="2"/>
        <v>1427549</v>
      </c>
      <c r="G2375" s="16">
        <v>5.0</v>
      </c>
      <c r="H2375" s="17">
        <v>44719.0</v>
      </c>
      <c r="I2375" s="18" t="s">
        <v>2336</v>
      </c>
    </row>
    <row r="2376">
      <c r="A2376" s="5" t="str">
        <f t="array" ref="A2376">INDEX(event_table!$A$2:$A$69, RANDBETWEEN(1, COUNTA(event_table!$A$2:$A$69)))</f>
        <v>3167</v>
      </c>
      <c r="B2376" s="6">
        <f t="array" ref="B2376">IFERROR(INDEX(event_table!$E$1:$E3686,MATCH(A2376,event_table!$A$1:$A3686,0)),"")
</f>
        <v>1</v>
      </c>
      <c r="C2376" s="7">
        <f t="shared" si="1"/>
        <v>146</v>
      </c>
      <c r="D2376" s="6" t="str">
        <f t="array" ref="D2376">IFERROR(INDEX(user_table!$C$2:$C3686,MATCH(C2376,user_table!$B$2:$B3686,0)),"")
</f>
        <v>Rudi Susanto</v>
      </c>
      <c r="E2376" s="6" t="str">
        <f t="array" ref="E2376">IFERROR(INDEX(user_table!$E$2:$E3686,MATCH(C2376,user_table!$B$2:$B3686,0)),"")
</f>
        <v>6, 1</v>
      </c>
      <c r="F2376" s="6" t="str">
        <f t="shared" si="2"/>
        <v>316741146</v>
      </c>
      <c r="G2376" s="16">
        <v>4.0</v>
      </c>
      <c r="H2376" s="17">
        <v>44686.0</v>
      </c>
      <c r="I2376" s="18" t="s">
        <v>2337</v>
      </c>
    </row>
    <row r="2377">
      <c r="A2377" s="5" t="str">
        <f t="array" ref="A2377">INDEX(event_table!$A$2:$A$69, RANDBETWEEN(1, COUNTA(event_table!$A$2:$A$69)))</f>
        <v>1416</v>
      </c>
      <c r="B2377" s="6">
        <f t="array" ref="B2377">IFERROR(INDEX(event_table!$E$1:$E3686,MATCH(A2377,event_table!$A$1:$A3686,0)),"")
</f>
        <v>4</v>
      </c>
      <c r="C2377" s="7">
        <f t="shared" si="1"/>
        <v>25</v>
      </c>
      <c r="D2377" s="6" t="str">
        <f t="array" ref="D2377">IFERROR(INDEX(user_table!$C$2:$C3686,MATCH(C2377,user_table!$B$2:$B3686,0)),"")
</f>
        <v>Agus Hartono</v>
      </c>
      <c r="E2377" s="6" t="str">
        <f t="array" ref="E2377">IFERROR(INDEX(user_table!$E$2:$E3686,MATCH(C2377,user_table!$B$2:$B3686,0)),"")
</f>
        <v>6, 3</v>
      </c>
      <c r="F2377" s="6" t="str">
        <f t="shared" si="2"/>
        <v>14164425</v>
      </c>
      <c r="G2377" s="16">
        <v>4.0</v>
      </c>
      <c r="H2377" s="17">
        <v>44933.0</v>
      </c>
      <c r="I2377" s="18" t="s">
        <v>2338</v>
      </c>
    </row>
    <row r="2378">
      <c r="A2378" s="5" t="str">
        <f t="array" ref="A2378">INDEX(event_table!$A$2:$A$69, RANDBETWEEN(1, COUNTA(event_table!$A$2:$A$69)))</f>
        <v>1649</v>
      </c>
      <c r="B2378" s="6">
        <f t="array" ref="B2378">IFERROR(INDEX(event_table!$E$1:$E3686,MATCH(A2378,event_table!$A$1:$A3686,0)),"")
</f>
        <v>6</v>
      </c>
      <c r="C2378" s="7">
        <f t="shared" si="1"/>
        <v>121</v>
      </c>
      <c r="D2378" s="6" t="str">
        <f t="array" ref="D2378">IFERROR(INDEX(user_table!$C$2:$C3686,MATCH(C2378,user_table!$B$2:$B3686,0)),"")
</f>
        <v>Wahyu Saputra</v>
      </c>
      <c r="E2378" s="6" t="str">
        <f t="array" ref="E2378">IFERROR(INDEX(user_table!$E$2:$E3686,MATCH(C2378,user_table!$B$2:$B3686,0)),"")
</f>
        <v>6, 3</v>
      </c>
      <c r="F2378" s="6" t="str">
        <f t="shared" si="2"/>
        <v>164946121</v>
      </c>
      <c r="G2378" s="16">
        <v>4.0</v>
      </c>
      <c r="H2378" s="17">
        <v>44769.0</v>
      </c>
      <c r="I2378" s="18" t="s">
        <v>2339</v>
      </c>
    </row>
    <row r="2379">
      <c r="A2379" s="5" t="str">
        <f t="array" ref="A2379">INDEX(event_table!$A$2:$A$69, RANDBETWEEN(1, COUNTA(event_table!$A$2:$A$69)))</f>
        <v>1424</v>
      </c>
      <c r="B2379" s="6">
        <f t="array" ref="B2379">IFERROR(INDEX(event_table!$E$1:$E3686,MATCH(A2379,event_table!$A$1:$A3686,0)),"")
</f>
        <v>4</v>
      </c>
      <c r="C2379" s="7">
        <f t="shared" si="1"/>
        <v>67</v>
      </c>
      <c r="D2379" s="6" t="str">
        <f t="array" ref="D2379">IFERROR(INDEX(user_table!$C$2:$C3686,MATCH(C2379,user_table!$B$2:$B3686,0)),"")
</f>
        <v>Joko Pratama</v>
      </c>
      <c r="E2379" s="6" t="str">
        <f t="array" ref="E2379">IFERROR(INDEX(user_table!$E$2:$E3686,MATCH(C2379,user_table!$B$2:$B3686,0)),"")
</f>
        <v>1, 3</v>
      </c>
      <c r="F2379" s="6" t="str">
        <f t="shared" si="2"/>
        <v>14244467</v>
      </c>
      <c r="G2379" s="16">
        <v>4.0</v>
      </c>
      <c r="H2379" s="17">
        <v>45078.0</v>
      </c>
      <c r="I2379" s="18" t="s">
        <v>2340</v>
      </c>
    </row>
    <row r="2380">
      <c r="A2380" s="5" t="str">
        <f t="array" ref="A2380">INDEX(event_table!$A$2:$A$69, RANDBETWEEN(1, COUNTA(event_table!$A$2:$A$69)))</f>
        <v>1111</v>
      </c>
      <c r="B2380" s="6">
        <f t="array" ref="B2380">IFERROR(INDEX(event_table!$E$1:$E3686,MATCH(A2380,event_table!$A$1:$A3686,0)),"")
</f>
        <v>1</v>
      </c>
      <c r="C2380" s="7">
        <f t="shared" si="1"/>
        <v>38</v>
      </c>
      <c r="D2380" s="6" t="str">
        <f t="array" ref="D2380">IFERROR(INDEX(user_table!$C$2:$C3686,MATCH(C2380,user_table!$B$2:$B3686,0)),"")
</f>
        <v>Maya Utami</v>
      </c>
      <c r="E2380" s="6" t="str">
        <f t="array" ref="E2380">IFERROR(INDEX(user_table!$E$2:$E3686,MATCH(C2380,user_table!$B$2:$B3686,0)),"")
</f>
        <v>2, 1</v>
      </c>
      <c r="F2380" s="6" t="str">
        <f t="shared" si="2"/>
        <v>11113138</v>
      </c>
      <c r="G2380" s="16">
        <v>3.0</v>
      </c>
      <c r="H2380" s="17">
        <v>44748.0</v>
      </c>
      <c r="I2380" s="18" t="s">
        <v>2341</v>
      </c>
    </row>
    <row r="2381">
      <c r="A2381" s="5" t="str">
        <f t="array" ref="A2381">INDEX(event_table!$A$2:$A$69, RANDBETWEEN(1, COUNTA(event_table!$A$2:$A$69)))</f>
        <v>114</v>
      </c>
      <c r="B2381" s="6">
        <f t="array" ref="B2381">IFERROR(INDEX(event_table!$E$1:$E3686,MATCH(A2381,event_table!$A$1:$A3686,0)),"")
</f>
        <v>1</v>
      </c>
      <c r="C2381" s="7">
        <f t="shared" si="1"/>
        <v>35</v>
      </c>
      <c r="D2381" s="6" t="str">
        <f t="array" ref="D2381">IFERROR(INDEX(user_table!$C$2:$C3686,MATCH(C2381,user_table!$B$2:$B3686,0)),"")
</f>
        <v>Maya Nugroho</v>
      </c>
      <c r="E2381" s="6" t="str">
        <f t="array" ref="E2381">IFERROR(INDEX(user_table!$E$2:$E3686,MATCH(C2381,user_table!$B$2:$B3686,0)),"")
</f>
        <v>6, 2</v>
      </c>
      <c r="F2381" s="6" t="str">
        <f t="shared" si="2"/>
        <v>1143135</v>
      </c>
      <c r="G2381" s="16">
        <v>3.0</v>
      </c>
      <c r="H2381" s="17">
        <v>44913.0</v>
      </c>
      <c r="I2381" s="18" t="s">
        <v>2342</v>
      </c>
    </row>
    <row r="2382">
      <c r="A2382" s="5" t="str">
        <f t="array" ref="A2382">INDEX(event_table!$A$2:$A$69, RANDBETWEEN(1, COUNTA(event_table!$A$2:$A$69)))</f>
        <v>1636</v>
      </c>
      <c r="B2382" s="6">
        <f t="array" ref="B2382">IFERROR(INDEX(event_table!$E$1:$E3686,MATCH(A2382,event_table!$A$1:$A3686,0)),"")
</f>
        <v>6</v>
      </c>
      <c r="C2382" s="7">
        <f t="shared" si="1"/>
        <v>187</v>
      </c>
      <c r="D2382" s="6" t="str">
        <f t="array" ref="D2382">IFERROR(INDEX(user_table!$C$2:$C3686,MATCH(C2382,user_table!$B$2:$B3686,0)),"")
</f>
        <v>Bambang Saputra</v>
      </c>
      <c r="E2382" s="6" t="str">
        <f t="array" ref="E2382">IFERROR(INDEX(user_table!$E$2:$E3686,MATCH(C2382,user_table!$B$2:$B3686,0)),"")
</f>
        <v>3, 1</v>
      </c>
      <c r="F2382" s="6" t="str">
        <f t="shared" si="2"/>
        <v>163636187</v>
      </c>
      <c r="G2382" s="16">
        <v>3.0</v>
      </c>
      <c r="H2382" s="17">
        <v>45175.0</v>
      </c>
      <c r="I2382" s="18" t="s">
        <v>136</v>
      </c>
    </row>
    <row r="2383">
      <c r="A2383" s="5" t="str">
        <f t="array" ref="A2383">INDEX(event_table!$A$2:$A$69, RANDBETWEEN(1, COUNTA(event_table!$A$2:$A$69)))</f>
        <v>1114</v>
      </c>
      <c r="B2383" s="6">
        <f t="array" ref="B2383">IFERROR(INDEX(event_table!$E$1:$E3686,MATCH(A2383,event_table!$A$1:$A3686,0)),"")
</f>
        <v>1</v>
      </c>
      <c r="C2383" s="7">
        <f t="shared" si="1"/>
        <v>142</v>
      </c>
      <c r="D2383" s="6" t="str">
        <f t="array" ref="D2383">IFERROR(INDEX(user_table!$C$2:$C3686,MATCH(C2383,user_table!$B$2:$B3686,0)),"")
</f>
        <v>Siti Rahayu</v>
      </c>
      <c r="E2383" s="6" t="str">
        <f t="array" ref="E2383">IFERROR(INDEX(user_table!$E$2:$E3686,MATCH(C2383,user_table!$B$2:$B3686,0)),"")
</f>
        <v>6, 3</v>
      </c>
      <c r="F2383" s="6" t="str">
        <f t="shared" si="2"/>
        <v>111431142</v>
      </c>
      <c r="G2383" s="16">
        <v>3.0</v>
      </c>
      <c r="H2383" s="17">
        <v>45139.0</v>
      </c>
      <c r="I2383" s="18" t="s">
        <v>2343</v>
      </c>
    </row>
    <row r="2384">
      <c r="A2384" s="5" t="str">
        <f t="array" ref="A2384">INDEX(event_table!$A$2:$A$69, RANDBETWEEN(1, COUNTA(event_table!$A$2:$A$69)))</f>
        <v>3168</v>
      </c>
      <c r="B2384" s="6">
        <f t="array" ref="B2384">IFERROR(INDEX(event_table!$E$1:$E3686,MATCH(A2384,event_table!$A$1:$A3686,0)),"")
</f>
        <v>1</v>
      </c>
      <c r="C2384" s="7">
        <f t="shared" si="1"/>
        <v>143</v>
      </c>
      <c r="D2384" s="6" t="str">
        <f t="array" ref="D2384">IFERROR(INDEX(user_table!$C$2:$C3686,MATCH(C2384,user_table!$B$2:$B3686,0)),"")
</f>
        <v>Agus Putri</v>
      </c>
      <c r="E2384" s="6" t="str">
        <f t="array" ref="E2384">IFERROR(INDEX(user_table!$E$2:$E3686,MATCH(C2384,user_table!$B$2:$B3686,0)),"")
</f>
        <v>3, 3</v>
      </c>
      <c r="F2384" s="6" t="str">
        <f t="shared" si="2"/>
        <v>316831143</v>
      </c>
      <c r="G2384" s="16">
        <v>3.0</v>
      </c>
      <c r="H2384" s="17">
        <v>45103.0</v>
      </c>
      <c r="I2384" s="18" t="s">
        <v>2344</v>
      </c>
    </row>
    <row r="2385">
      <c r="A2385" s="5" t="str">
        <f t="array" ref="A2385">INDEX(event_table!$A$2:$A$69, RANDBETWEEN(1, COUNTA(event_table!$A$2:$A$69)))</f>
        <v>1636</v>
      </c>
      <c r="B2385" s="6">
        <f t="array" ref="B2385">IFERROR(INDEX(event_table!$E$1:$E3686,MATCH(A2385,event_table!$A$1:$A3686,0)),"")
</f>
        <v>6</v>
      </c>
      <c r="C2385" s="7">
        <f t="shared" si="1"/>
        <v>188</v>
      </c>
      <c r="D2385" s="6" t="str">
        <f t="array" ref="D2385">IFERROR(INDEX(user_table!$C$2:$C3686,MATCH(C2385,user_table!$B$2:$B3686,0)),"")
</f>
        <v>Siti Setiawan</v>
      </c>
      <c r="E2385" s="6" t="str">
        <f t="array" ref="E2385">IFERROR(INDEX(user_table!$E$2:$E3686,MATCH(C2385,user_table!$B$2:$B3686,0)),"")
</f>
        <v>6, 6</v>
      </c>
      <c r="F2385" s="6" t="str">
        <f t="shared" si="2"/>
        <v>163626188</v>
      </c>
      <c r="G2385" s="16">
        <v>2.0</v>
      </c>
      <c r="H2385" s="17">
        <v>44949.0</v>
      </c>
      <c r="I2385" s="18" t="s">
        <v>2345</v>
      </c>
    </row>
    <row r="2386">
      <c r="A2386" s="5" t="str">
        <f t="array" ref="A2386">INDEX(event_table!$A$2:$A$69, RANDBETWEEN(1, COUNTA(event_table!$A$2:$A$69)))</f>
        <v>1638</v>
      </c>
      <c r="B2386" s="6">
        <f t="array" ref="B2386">IFERROR(INDEX(event_table!$E$1:$E3686,MATCH(A2386,event_table!$A$1:$A3686,0)),"")
</f>
        <v>6</v>
      </c>
      <c r="C2386" s="7">
        <f t="shared" si="1"/>
        <v>141</v>
      </c>
      <c r="D2386" s="6" t="str">
        <f t="array" ref="D2386">IFERROR(INDEX(user_table!$C$2:$C3686,MATCH(C2386,user_table!$B$2:$B3686,0)),"")
</f>
        <v>Bambang Santoso</v>
      </c>
      <c r="E2386" s="6" t="str">
        <f t="array" ref="E2386">IFERROR(INDEX(user_table!$E$2:$E3686,MATCH(C2386,user_table!$B$2:$B3686,0)),"")
</f>
        <v>5, 3</v>
      </c>
      <c r="F2386" s="6" t="str">
        <f t="shared" si="2"/>
        <v>163826141</v>
      </c>
      <c r="G2386" s="16">
        <v>2.0</v>
      </c>
      <c r="H2386" s="17">
        <v>44781.0</v>
      </c>
      <c r="I2386" s="18" t="s">
        <v>2346</v>
      </c>
    </row>
    <row r="2387">
      <c r="A2387" s="5" t="str">
        <f t="array" ref="A2387">INDEX(event_table!$A$2:$A$69, RANDBETWEEN(1, COUNTA(event_table!$A$2:$A$69)))</f>
        <v>1640</v>
      </c>
      <c r="B2387" s="6">
        <f t="array" ref="B2387">IFERROR(INDEX(event_table!$E$1:$E3686,MATCH(A2387,event_table!$A$1:$A3686,0)),"")
</f>
        <v>6</v>
      </c>
      <c r="C2387" s="7">
        <f t="shared" si="1"/>
        <v>23</v>
      </c>
      <c r="D2387" s="6" t="str">
        <f t="array" ref="D2387">IFERROR(INDEX(user_table!$C$2:$C3686,MATCH(C2387,user_table!$B$2:$B3686,0)),"")
</f>
        <v>Fajar Kusuma</v>
      </c>
      <c r="E2387" s="6" t="str">
        <f t="array" ref="E2387">IFERROR(INDEX(user_table!$E$2:$E3686,MATCH(C2387,user_table!$B$2:$B3686,0)),"")
</f>
        <v>4, 1</v>
      </c>
      <c r="F2387" s="6" t="str">
        <f t="shared" si="2"/>
        <v>16402623</v>
      </c>
      <c r="G2387" s="16">
        <v>2.0</v>
      </c>
      <c r="H2387" s="17">
        <v>44629.0</v>
      </c>
      <c r="I2387" s="18" t="s">
        <v>2347</v>
      </c>
    </row>
    <row r="2388">
      <c r="A2388" s="5" t="str">
        <f t="array" ref="A2388">INDEX(event_table!$A$2:$A$69, RANDBETWEEN(1, COUNTA(event_table!$A$2:$A$69)))</f>
        <v>1644</v>
      </c>
      <c r="B2388" s="6">
        <f t="array" ref="B2388">IFERROR(INDEX(event_table!$E$1:$E3686,MATCH(A2388,event_table!$A$1:$A3686,0)),"")
</f>
        <v>6</v>
      </c>
      <c r="C2388" s="7">
        <f t="shared" si="1"/>
        <v>54</v>
      </c>
      <c r="D2388" s="6" t="str">
        <f t="array" ref="D2388">IFERROR(INDEX(user_table!$C$2:$C3686,MATCH(C2388,user_table!$B$2:$B3686,0)),"")
</f>
        <v>Andi Kurniawan</v>
      </c>
      <c r="E2388" s="6" t="str">
        <f t="array" ref="E2388">IFERROR(INDEX(user_table!$E$2:$E3686,MATCH(C2388,user_table!$B$2:$B3686,0)),"")
</f>
        <v>4, 4</v>
      </c>
      <c r="F2388" s="6" t="str">
        <f t="shared" si="2"/>
        <v>16442654</v>
      </c>
      <c r="G2388" s="16">
        <v>2.0</v>
      </c>
      <c r="H2388" s="17">
        <v>44357.0</v>
      </c>
      <c r="I2388" s="18" t="s">
        <v>549</v>
      </c>
    </row>
    <row r="2389">
      <c r="A2389" s="5" t="str">
        <f t="array" ref="A2389">INDEX(event_table!$A$2:$A$69, RANDBETWEEN(1, COUNTA(event_table!$A$2:$A$69)))</f>
        <v>116</v>
      </c>
      <c r="B2389" s="6">
        <f t="array" ref="B2389">IFERROR(INDEX(event_table!$E$1:$E3686,MATCH(A2389,event_table!$A$1:$A3686,0)),"")
</f>
        <v>1</v>
      </c>
      <c r="C2389" s="7">
        <f t="shared" si="1"/>
        <v>70</v>
      </c>
      <c r="D2389" s="6" t="str">
        <f t="array" ref="D2389">IFERROR(INDEX(user_table!$C$2:$C3686,MATCH(C2389,user_table!$B$2:$B3686,0)),"")
</f>
        <v>Fandi Hadiwijaya</v>
      </c>
      <c r="E2389" s="6" t="str">
        <f t="array" ref="E2389">IFERROR(INDEX(user_table!$E$2:$E3686,MATCH(C2389,user_table!$B$2:$B3686,0)),"")
</f>
        <v>1, 4</v>
      </c>
      <c r="F2389" s="6" t="str">
        <f t="shared" si="2"/>
        <v>1162170</v>
      </c>
      <c r="G2389" s="16">
        <v>2.0</v>
      </c>
      <c r="H2389" s="17">
        <v>45230.0</v>
      </c>
      <c r="I2389" s="18" t="s">
        <v>2348</v>
      </c>
    </row>
    <row r="2390">
      <c r="A2390" s="5" t="str">
        <f t="array" ref="A2390">INDEX(event_table!$A$2:$A$69, RANDBETWEEN(1, COUNTA(event_table!$A$2:$A$69)))</f>
        <v>1417</v>
      </c>
      <c r="B2390" s="6">
        <f t="array" ref="B2390">IFERROR(INDEX(event_table!$E$1:$E3686,MATCH(A2390,event_table!$A$1:$A3686,0)),"")
</f>
        <v>4</v>
      </c>
      <c r="C2390" s="7">
        <f t="shared" si="1"/>
        <v>162</v>
      </c>
      <c r="D2390" s="6" t="str">
        <f t="array" ref="D2390">IFERROR(INDEX(user_table!$C$2:$C3686,MATCH(C2390,user_table!$B$2:$B3686,0)),"")
</f>
        <v>Dewi Nugroho</v>
      </c>
      <c r="E2390" s="6" t="str">
        <f t="array" ref="E2390">IFERROR(INDEX(user_table!$E$2:$E3686,MATCH(C2390,user_table!$B$2:$B3686,0)),"")
</f>
        <v>2, 5</v>
      </c>
      <c r="F2390" s="6" t="str">
        <f t="shared" si="2"/>
        <v>141724162</v>
      </c>
      <c r="G2390" s="16">
        <v>2.0</v>
      </c>
      <c r="H2390" s="17">
        <v>45175.0</v>
      </c>
      <c r="I2390" s="18" t="s">
        <v>2349</v>
      </c>
    </row>
    <row r="2391">
      <c r="A2391" s="5" t="str">
        <f t="array" ref="A2391">INDEX(event_table!$A$2:$A$69, RANDBETWEEN(1, COUNTA(event_table!$A$2:$A$69)))</f>
        <v>1423</v>
      </c>
      <c r="B2391" s="6">
        <f t="array" ref="B2391">IFERROR(INDEX(event_table!$E$1:$E3686,MATCH(A2391,event_table!$A$1:$A3686,0)),"")
</f>
        <v>4</v>
      </c>
      <c r="C2391" s="7">
        <f t="shared" si="1"/>
        <v>107</v>
      </c>
      <c r="D2391" s="6" t="str">
        <f t="array" ref="D2391">IFERROR(INDEX(user_table!$C$2:$C3686,MATCH(C2391,user_table!$B$2:$B3686,0)),"")
</f>
        <v>Citra Rahayu</v>
      </c>
      <c r="E2391" s="6" t="str">
        <f t="array" ref="E2391">IFERROR(INDEX(user_table!$E$2:$E3686,MATCH(C2391,user_table!$B$2:$B3686,0)),"")
</f>
        <v>1, 5</v>
      </c>
      <c r="F2391" s="6" t="str">
        <f t="shared" si="2"/>
        <v>142324107</v>
      </c>
      <c r="G2391" s="16">
        <v>2.0</v>
      </c>
      <c r="H2391" s="17">
        <v>45152.0</v>
      </c>
      <c r="I2391" s="18" t="s">
        <v>2350</v>
      </c>
    </row>
    <row r="2392">
      <c r="A2392" s="5" t="str">
        <f t="array" ref="A2392">INDEX(event_table!$A$2:$A$69, RANDBETWEEN(1, COUNTA(event_table!$A$2:$A$69)))</f>
        <v>1313</v>
      </c>
      <c r="B2392" s="6">
        <f t="array" ref="B2392">IFERROR(INDEX(event_table!$E$1:$E3686,MATCH(A2392,event_table!$A$1:$A3686,0)),"")
</f>
        <v>3</v>
      </c>
      <c r="C2392" s="7">
        <f t="shared" si="1"/>
        <v>94</v>
      </c>
      <c r="D2392" s="6" t="str">
        <f t="array" ref="D2392">IFERROR(INDEX(user_table!$C$2:$C3686,MATCH(C2392,user_table!$B$2:$B3686,0)),"")
</f>
        <v>Ani Susanto</v>
      </c>
      <c r="E2392" s="6" t="str">
        <f t="array" ref="E2392">IFERROR(INDEX(user_table!$E$2:$E3686,MATCH(C2392,user_table!$B$2:$B3686,0)),"")
</f>
        <v>2, 4</v>
      </c>
      <c r="F2392" s="6" t="str">
        <f t="shared" si="2"/>
        <v>13132394</v>
      </c>
      <c r="G2392" s="16">
        <v>2.0</v>
      </c>
      <c r="H2392" s="17">
        <v>45139.0</v>
      </c>
      <c r="I2392" s="18" t="s">
        <v>2351</v>
      </c>
    </row>
    <row r="2393">
      <c r="A2393" s="5" t="str">
        <f t="array" ref="A2393">INDEX(event_table!$A$2:$A$69, RANDBETWEEN(1, COUNTA(event_table!$A$2:$A$69)))</f>
        <v>1417</v>
      </c>
      <c r="B2393" s="6">
        <f t="array" ref="B2393">IFERROR(INDEX(event_table!$E$1:$E3686,MATCH(A2393,event_table!$A$1:$A3686,0)),"")
</f>
        <v>4</v>
      </c>
      <c r="C2393" s="7">
        <f t="shared" si="1"/>
        <v>151</v>
      </c>
      <c r="D2393" s="6" t="str">
        <f t="array" ref="D2393">IFERROR(INDEX(user_table!$C$2:$C3686,MATCH(C2393,user_table!$B$2:$B3686,0)),"")
</f>
        <v>Maya Hidayat</v>
      </c>
      <c r="E2393" s="6" t="str">
        <f t="array" ref="E2393">IFERROR(INDEX(user_table!$E$2:$E3686,MATCH(C2393,user_table!$B$2:$B3686,0)),"")
</f>
        <v>2, 3</v>
      </c>
      <c r="F2393" s="6" t="str">
        <f t="shared" si="2"/>
        <v>141724151</v>
      </c>
      <c r="G2393" s="16">
        <v>2.0</v>
      </c>
      <c r="H2393" s="17">
        <v>45137.0</v>
      </c>
      <c r="I2393" s="18" t="s">
        <v>2352</v>
      </c>
    </row>
    <row r="2394">
      <c r="A2394" s="5" t="str">
        <f t="array" ref="A2394">INDEX(event_table!$A$2:$A$69, RANDBETWEEN(1, COUNTA(event_table!$A$2:$A$69)))</f>
        <v>1215</v>
      </c>
      <c r="B2394" s="6">
        <f t="array" ref="B2394">IFERROR(INDEX(event_table!$E$1:$E3686,MATCH(A2394,event_table!$A$1:$A3686,0)),"")
</f>
        <v>2</v>
      </c>
      <c r="C2394" s="7">
        <f t="shared" si="1"/>
        <v>28</v>
      </c>
      <c r="D2394" s="6" t="str">
        <f t="array" ref="D2394">IFERROR(INDEX(user_table!$C$2:$C3686,MATCH(C2394,user_table!$B$2:$B3686,0)),"")
</f>
        <v>Fandi Putri</v>
      </c>
      <c r="E2394" s="6" t="str">
        <f t="array" ref="E2394">IFERROR(INDEX(user_table!$E$2:$E3686,MATCH(C2394,user_table!$B$2:$B3686,0)),"")
</f>
        <v>5, 1</v>
      </c>
      <c r="F2394" s="6" t="str">
        <f t="shared" si="2"/>
        <v>12152228</v>
      </c>
      <c r="G2394" s="16">
        <v>2.0</v>
      </c>
      <c r="H2394" s="17">
        <v>45114.0</v>
      </c>
      <c r="I2394" s="18" t="s">
        <v>2353</v>
      </c>
    </row>
    <row r="2395">
      <c r="A2395" s="5" t="str">
        <f t="array" ref="A2395">INDEX(event_table!$A$2:$A$69, RANDBETWEEN(1, COUNTA(event_table!$A$2:$A$69)))</f>
        <v>1114</v>
      </c>
      <c r="B2395" s="6">
        <f t="array" ref="B2395">IFERROR(INDEX(event_table!$E$1:$E3686,MATCH(A2395,event_table!$A$1:$A3686,0)),"")
</f>
        <v>1</v>
      </c>
      <c r="C2395" s="7">
        <f t="shared" si="1"/>
        <v>193</v>
      </c>
      <c r="D2395" s="6" t="str">
        <f t="array" ref="D2395">IFERROR(INDEX(user_table!$C$2:$C3686,MATCH(C2395,user_table!$B$2:$B3686,0)),"")
</f>
        <v>Dina Wijaya</v>
      </c>
      <c r="E2395" s="6" t="str">
        <f t="array" ref="E2395">IFERROR(INDEX(user_table!$E$2:$E3686,MATCH(C2395,user_table!$B$2:$B3686,0)),"")
</f>
        <v>4, 5</v>
      </c>
      <c r="F2395" s="6" t="str">
        <f t="shared" si="2"/>
        <v>111411193</v>
      </c>
      <c r="G2395" s="16">
        <v>1.0</v>
      </c>
      <c r="H2395" s="17">
        <v>45270.0</v>
      </c>
      <c r="I2395" s="18" t="s">
        <v>2354</v>
      </c>
    </row>
    <row r="2396">
      <c r="A2396" s="5" t="str">
        <f t="array" ref="A2396">INDEX(event_table!$A$2:$A$69, RANDBETWEEN(1, COUNTA(event_table!$A$2:$A$69)))</f>
        <v>3455</v>
      </c>
      <c r="B2396" s="6">
        <f t="array" ref="B2396">IFERROR(INDEX(event_table!$E$1:$E3686,MATCH(A2396,event_table!$A$1:$A3686,0)),"")
</f>
        <v>4</v>
      </c>
      <c r="C2396" s="7">
        <f t="shared" si="1"/>
        <v>73</v>
      </c>
      <c r="D2396" s="6" t="str">
        <f t="array" ref="D2396">IFERROR(INDEX(user_table!$C$2:$C3686,MATCH(C2396,user_table!$B$2:$B3686,0)),"")
</f>
        <v>Hadi Santoso</v>
      </c>
      <c r="E2396" s="6" t="str">
        <f t="array" ref="E2396">IFERROR(INDEX(user_table!$E$2:$E3686,MATCH(C2396,user_table!$B$2:$B3686,0)),"")
</f>
        <v>6, 3</v>
      </c>
      <c r="F2396" s="6" t="str">
        <f t="shared" si="2"/>
        <v>34551473</v>
      </c>
      <c r="G2396" s="16">
        <v>1.0</v>
      </c>
      <c r="H2396" s="17">
        <v>45204.0</v>
      </c>
      <c r="I2396" s="18" t="s">
        <v>2355</v>
      </c>
    </row>
    <row r="2397">
      <c r="A2397" s="5" t="str">
        <f t="array" ref="A2397">INDEX(event_table!$A$2:$A$69, RANDBETWEEN(1, COUNTA(event_table!$A$2:$A$69)))</f>
        <v>1110</v>
      </c>
      <c r="B2397" s="6">
        <f t="array" ref="B2397">IFERROR(INDEX(event_table!$E$1:$E3686,MATCH(A2397,event_table!$A$1:$A3686,0)),"")
</f>
        <v>1</v>
      </c>
      <c r="C2397" s="7">
        <f t="shared" si="1"/>
        <v>147</v>
      </c>
      <c r="D2397" s="6" t="str">
        <f t="array" ref="D2397">IFERROR(INDEX(user_table!$C$2:$C3686,MATCH(C2397,user_table!$B$2:$B3686,0)),"")
</f>
        <v>Fajar Saputra</v>
      </c>
      <c r="E2397" s="6" t="str">
        <f t="array" ref="E2397">IFERROR(INDEX(user_table!$E$2:$E3686,MATCH(C2397,user_table!$B$2:$B3686,0)),"")
</f>
        <v>6, 2</v>
      </c>
      <c r="F2397" s="6" t="str">
        <f t="shared" si="2"/>
        <v>111011147</v>
      </c>
      <c r="G2397" s="16">
        <v>1.0</v>
      </c>
      <c r="H2397" s="17">
        <v>45205.0</v>
      </c>
      <c r="I2397" s="18" t="s">
        <v>2356</v>
      </c>
    </row>
    <row r="2398">
      <c r="A2398" s="5" t="str">
        <f t="array" ref="A2398">INDEX(event_table!$A$2:$A$69, RANDBETWEEN(1, COUNTA(event_table!$A$2:$A$69)))</f>
        <v>3455</v>
      </c>
      <c r="B2398" s="6">
        <f t="array" ref="B2398">IFERROR(INDEX(event_table!$E$1:$E3686,MATCH(A2398,event_table!$A$1:$A3686,0)),"")
</f>
        <v>4</v>
      </c>
      <c r="C2398" s="7">
        <f t="shared" si="1"/>
        <v>150</v>
      </c>
      <c r="D2398" s="6" t="str">
        <f t="array" ref="D2398">IFERROR(INDEX(user_table!$C$2:$C3686,MATCH(C2398,user_table!$B$2:$B3686,0)),"")
</f>
        <v>Dina Susanto</v>
      </c>
      <c r="E2398" s="6" t="str">
        <f t="array" ref="E2398">IFERROR(INDEX(user_table!$E$2:$E3686,MATCH(C2398,user_table!$B$2:$B3686,0)),"")
</f>
        <v>2, 6</v>
      </c>
      <c r="F2398" s="6" t="str">
        <f t="shared" si="2"/>
        <v>345514150</v>
      </c>
      <c r="G2398" s="16">
        <v>1.0</v>
      </c>
      <c r="H2398" s="17">
        <v>45183.0</v>
      </c>
      <c r="I2398" s="18" t="s">
        <v>2357</v>
      </c>
    </row>
    <row r="2399">
      <c r="A2399" s="5" t="str">
        <f t="array" ref="A2399">INDEX(event_table!$A$2:$A$69, RANDBETWEEN(1, COUNTA(event_table!$A$2:$A$69)))</f>
        <v>1639</v>
      </c>
      <c r="B2399" s="6">
        <f t="array" ref="B2399">IFERROR(INDEX(event_table!$E$1:$E3686,MATCH(A2399,event_table!$A$1:$A3686,0)),"")
</f>
        <v>6</v>
      </c>
      <c r="C2399" s="7">
        <f t="shared" si="1"/>
        <v>131</v>
      </c>
      <c r="D2399" s="6" t="str">
        <f t="array" ref="D2399">IFERROR(INDEX(user_table!$C$2:$C3686,MATCH(C2399,user_table!$B$2:$B3686,0)),"")
</f>
        <v>Dian Purnama</v>
      </c>
      <c r="E2399" s="6" t="str">
        <f t="array" ref="E2399">IFERROR(INDEX(user_table!$E$2:$E3686,MATCH(C2399,user_table!$B$2:$B3686,0)),"")
</f>
        <v>3, 5</v>
      </c>
      <c r="F2399" s="6" t="str">
        <f t="shared" si="2"/>
        <v>163916131</v>
      </c>
      <c r="G2399" s="16">
        <v>1.0</v>
      </c>
      <c r="H2399" s="17">
        <v>45143.0</v>
      </c>
      <c r="I2399" s="18" t="s">
        <v>2358</v>
      </c>
    </row>
    <row r="2400">
      <c r="A2400" s="5" t="str">
        <f t="array" ref="A2400">INDEX(event_table!$A$2:$A$69, RANDBETWEEN(1, COUNTA(event_table!$A$2:$A$69)))</f>
        <v>1332</v>
      </c>
      <c r="B2400" s="6">
        <f t="array" ref="B2400">IFERROR(INDEX(event_table!$E$1:$E3686,MATCH(A2400,event_table!$A$1:$A3686,0)),"")
</f>
        <v>3</v>
      </c>
      <c r="C2400" s="7">
        <f t="shared" si="1"/>
        <v>17</v>
      </c>
      <c r="D2400" s="6" t="str">
        <f t="array" ref="D2400">IFERROR(INDEX(user_table!$C$2:$C3686,MATCH(C2400,user_table!$B$2:$B3686,0)),"")
</f>
        <v>Fajar Wijaya</v>
      </c>
      <c r="E2400" s="6" t="str">
        <f t="array" ref="E2400">IFERROR(INDEX(user_table!$E$2:$E3686,MATCH(C2400,user_table!$B$2:$B3686,0)),"")
</f>
        <v>1, 1</v>
      </c>
      <c r="F2400" s="6" t="str">
        <f t="shared" si="2"/>
        <v>13321317</v>
      </c>
      <c r="G2400" s="16">
        <v>1.0</v>
      </c>
      <c r="H2400" s="17">
        <v>45143.0</v>
      </c>
      <c r="I2400" s="18" t="s">
        <v>2359</v>
      </c>
    </row>
    <row r="2401">
      <c r="A2401" s="5" t="str">
        <f t="array" ref="A2401">INDEX(event_table!$A$2:$A$69, RANDBETWEEN(1, COUNTA(event_table!$A$2:$A$69)))</f>
        <v>1333</v>
      </c>
      <c r="B2401" s="6">
        <f t="array" ref="B2401">IFERROR(INDEX(event_table!$E$1:$E3686,MATCH(A2401,event_table!$A$1:$A3686,0)),"")
</f>
        <v>3</v>
      </c>
      <c r="C2401" s="7">
        <f t="shared" si="1"/>
        <v>121</v>
      </c>
      <c r="D2401" s="6" t="str">
        <f t="array" ref="D2401">IFERROR(INDEX(user_table!$C$2:$C3686,MATCH(C2401,user_table!$B$2:$B3686,0)),"")
</f>
        <v>Wahyu Saputra</v>
      </c>
      <c r="E2401" s="6" t="str">
        <f t="array" ref="E2401">IFERROR(INDEX(user_table!$E$2:$E3686,MATCH(C2401,user_table!$B$2:$B3686,0)),"")
</f>
        <v>6, 3</v>
      </c>
      <c r="F2401" s="6" t="str">
        <f t="shared" si="2"/>
        <v>133313121</v>
      </c>
      <c r="G2401" s="16">
        <v>1.0</v>
      </c>
      <c r="H2401" s="17">
        <v>45141.0</v>
      </c>
      <c r="I2401" s="18" t="s">
        <v>2360</v>
      </c>
    </row>
    <row r="2402">
      <c r="A2402" s="5" t="str">
        <f t="array" ref="A2402">INDEX(event_table!$A$2:$A$69, RANDBETWEEN(1, COUNTA(event_table!$A$2:$A$69)))</f>
        <v>1637</v>
      </c>
      <c r="B2402" s="6">
        <f t="array" ref="B2402">IFERROR(INDEX(event_table!$E$1:$E3686,MATCH(A2402,event_table!$A$1:$A3686,0)),"")
</f>
        <v>6</v>
      </c>
      <c r="C2402" s="7">
        <f t="shared" si="1"/>
        <v>37</v>
      </c>
      <c r="D2402" s="6" t="str">
        <f t="array" ref="D2402">IFERROR(INDEX(user_table!$C$2:$C3686,MATCH(C2402,user_table!$B$2:$B3686,0)),"")
</f>
        <v>Lina Susanto</v>
      </c>
      <c r="E2402" s="6" t="str">
        <f t="array" ref="E2402">IFERROR(INDEX(user_table!$E$2:$E3686,MATCH(C2402,user_table!$B$2:$B3686,0)),"")
</f>
        <v>2, 2</v>
      </c>
      <c r="F2402" s="6" t="str">
        <f t="shared" si="2"/>
        <v>16371637</v>
      </c>
      <c r="G2402" s="16">
        <v>1.0</v>
      </c>
      <c r="H2402" s="17">
        <v>45096.0</v>
      </c>
      <c r="I2402" s="18" t="s">
        <v>2361</v>
      </c>
    </row>
    <row r="2403">
      <c r="A2403" s="5" t="str">
        <f t="array" ref="A2403">INDEX(event_table!$A$2:$A$69, RANDBETWEEN(1, COUNTA(event_table!$A$2:$A$69)))</f>
        <v>1215</v>
      </c>
      <c r="B2403" s="6">
        <f t="array" ref="B2403">IFERROR(INDEX(event_table!$E$1:$E3686,MATCH(A2403,event_table!$A$1:$A3686,0)),"")
</f>
        <v>2</v>
      </c>
      <c r="C2403" s="7">
        <f t="shared" si="1"/>
        <v>109</v>
      </c>
      <c r="D2403" s="6" t="str">
        <f t="array" ref="D2403">IFERROR(INDEX(user_table!$C$2:$C3686,MATCH(C2403,user_table!$B$2:$B3686,0)),"")
</f>
        <v>Ani Sari</v>
      </c>
      <c r="E2403" s="6" t="str">
        <f t="array" ref="E2403">IFERROR(INDEX(user_table!$E$2:$E3686,MATCH(C2403,user_table!$B$2:$B3686,0)),"")
</f>
        <v>4, 5</v>
      </c>
      <c r="F2403" s="6" t="str">
        <f t="shared" si="2"/>
        <v>121512109</v>
      </c>
      <c r="G2403" s="16">
        <v>1.0</v>
      </c>
      <c r="H2403" s="17">
        <v>45091.0</v>
      </c>
      <c r="I2403" s="18" t="s">
        <v>2362</v>
      </c>
    </row>
    <row r="2404">
      <c r="A2404" s="5" t="str">
        <f t="array" ref="A2404">INDEX(event_table!$A$2:$A$69, RANDBETWEEN(1, COUNTA(event_table!$A$2:$A$69)))</f>
        <v>1650</v>
      </c>
      <c r="B2404" s="6">
        <f t="array" ref="B2404">IFERROR(INDEX(event_table!$E$1:$E3686,MATCH(A2404,event_table!$A$1:$A3686,0)),"")
</f>
        <v>6</v>
      </c>
      <c r="C2404" s="7">
        <f t="shared" si="1"/>
        <v>103</v>
      </c>
      <c r="D2404" s="6" t="str">
        <f t="array" ref="D2404">IFERROR(INDEX(user_table!$C$2:$C3686,MATCH(C2404,user_table!$B$2:$B3686,0)),"")
</f>
        <v>Hadi Sari</v>
      </c>
      <c r="E2404" s="6" t="str">
        <f t="array" ref="E2404">IFERROR(INDEX(user_table!$E$2:$E3686,MATCH(C2404,user_table!$B$2:$B3686,0)),"")
</f>
        <v>3, 1</v>
      </c>
      <c r="F2404" s="6" t="str">
        <f t="shared" si="2"/>
        <v>165016103</v>
      </c>
      <c r="G2404" s="16">
        <v>1.0</v>
      </c>
      <c r="H2404" s="17">
        <v>45045.0</v>
      </c>
      <c r="I2404" s="18" t="s">
        <v>2363</v>
      </c>
    </row>
    <row r="2405">
      <c r="A2405" s="5" t="str">
        <f t="array" ref="A2405">INDEX(event_table!$A$2:$A$69, RANDBETWEEN(1, COUNTA(event_table!$A$2:$A$69)))</f>
        <v>115</v>
      </c>
      <c r="B2405" s="6">
        <f t="array" ref="B2405">IFERROR(INDEX(event_table!$E$1:$E3686,MATCH(A2405,event_table!$A$1:$A3686,0)),"")
</f>
        <v>1</v>
      </c>
      <c r="C2405" s="7">
        <f t="shared" si="1"/>
        <v>34</v>
      </c>
      <c r="D2405" s="6" t="str">
        <f t="array" ref="D2405">IFERROR(INDEX(user_table!$C$2:$C3686,MATCH(C2405,user_table!$B$2:$B3686,0)),"")
</f>
        <v>Bambang Putri</v>
      </c>
      <c r="E2405" s="6" t="str">
        <f t="array" ref="E2405">IFERROR(INDEX(user_table!$E$2:$E3686,MATCH(C2405,user_table!$B$2:$B3686,0)),"")
</f>
        <v>3, 5</v>
      </c>
      <c r="F2405" s="6" t="str">
        <f t="shared" si="2"/>
        <v>1151134</v>
      </c>
      <c r="G2405" s="16">
        <v>1.0</v>
      </c>
      <c r="H2405" s="17">
        <v>45042.0</v>
      </c>
      <c r="I2405" s="18" t="s">
        <v>2364</v>
      </c>
    </row>
    <row r="2406">
      <c r="A2406" s="5" t="str">
        <f t="array" ref="A2406">INDEX(event_table!$A$2:$A$69, RANDBETWEEN(1, COUNTA(event_table!$A$2:$A$69)))</f>
        <v>1646</v>
      </c>
      <c r="B2406" s="6">
        <f t="array" ref="B2406">IFERROR(INDEX(event_table!$E$1:$E3686,MATCH(A2406,event_table!$A$1:$A3686,0)),"")
</f>
        <v>6</v>
      </c>
      <c r="C2406" s="7">
        <f t="shared" si="1"/>
        <v>57</v>
      </c>
      <c r="D2406" s="6" t="str">
        <f t="array" ref="D2406">IFERROR(INDEX(user_table!$C$2:$C3686,MATCH(C2406,user_table!$B$2:$B3686,0)),"")
</f>
        <v>Hadi Sari</v>
      </c>
      <c r="E2406" s="6" t="str">
        <f t="array" ref="E2406">IFERROR(INDEX(user_table!$E$2:$E3686,MATCH(C2406,user_table!$B$2:$B3686,0)),"")
</f>
        <v>2, 4</v>
      </c>
      <c r="F2406" s="6" t="str">
        <f t="shared" si="2"/>
        <v>16461657</v>
      </c>
      <c r="G2406" s="16">
        <v>1.0</v>
      </c>
      <c r="H2406" s="17">
        <v>45026.0</v>
      </c>
      <c r="I2406" s="18" t="s">
        <v>2365</v>
      </c>
    </row>
    <row r="2407">
      <c r="A2407" s="5" t="str">
        <f t="array" ref="A2407">INDEX(event_table!$A$2:$A$69, RANDBETWEEN(1, COUNTA(event_table!$A$2:$A$69)))</f>
        <v>1647</v>
      </c>
      <c r="B2407" s="6">
        <f t="array" ref="B2407">IFERROR(INDEX(event_table!$E$1:$E3686,MATCH(A2407,event_table!$A$1:$A3686,0)),"")
</f>
        <v>6</v>
      </c>
      <c r="C2407" s="7">
        <f t="shared" si="1"/>
        <v>113</v>
      </c>
      <c r="D2407" s="6" t="str">
        <f t="array" ref="D2407">IFERROR(INDEX(user_table!$C$2:$C3686,MATCH(C2407,user_table!$B$2:$B3686,0)),"")
</f>
        <v>Budi Wijaya</v>
      </c>
      <c r="E2407" s="6" t="str">
        <f t="array" ref="E2407">IFERROR(INDEX(user_table!$E$2:$E3686,MATCH(C2407,user_table!$B$2:$B3686,0)),"")
</f>
        <v>1, 5</v>
      </c>
      <c r="F2407" s="6" t="str">
        <f t="shared" si="2"/>
        <v>164756113</v>
      </c>
      <c r="G2407" s="16">
        <v>5.0</v>
      </c>
      <c r="H2407" s="17">
        <v>44747.0</v>
      </c>
      <c r="I2407" s="18" t="s">
        <v>2366</v>
      </c>
    </row>
    <row r="2408">
      <c r="A2408" s="5" t="str">
        <f t="array" ref="A2408">INDEX(event_table!$A$2:$A$69, RANDBETWEEN(1, COUNTA(event_table!$A$2:$A$69)))</f>
        <v>117</v>
      </c>
      <c r="B2408" s="6">
        <f t="array" ref="B2408">IFERROR(INDEX(event_table!$E$1:$E3686,MATCH(A2408,event_table!$A$1:$A3686,0)),"")
</f>
        <v>1</v>
      </c>
      <c r="C2408" s="7">
        <f t="shared" si="1"/>
        <v>18</v>
      </c>
      <c r="D2408" s="6" t="str">
        <f t="array" ref="D2408">IFERROR(INDEX(user_table!$C$2:$C3686,MATCH(C2408,user_table!$B$2:$B3686,0)),"")
</f>
        <v>Rudi Santoso</v>
      </c>
      <c r="E2408" s="6" t="str">
        <f t="array" ref="E2408">IFERROR(INDEX(user_table!$E$2:$E3686,MATCH(C2408,user_table!$B$2:$B3686,0)),"")
</f>
        <v>4, 2</v>
      </c>
      <c r="F2408" s="6" t="str">
        <f t="shared" si="2"/>
        <v>1175118</v>
      </c>
      <c r="G2408" s="16">
        <v>5.0</v>
      </c>
      <c r="H2408" s="17">
        <v>44733.0</v>
      </c>
      <c r="I2408" s="18" t="s">
        <v>2367</v>
      </c>
    </row>
    <row r="2409">
      <c r="A2409" s="5" t="str">
        <f t="array" ref="A2409">INDEX(event_table!$A$2:$A$69, RANDBETWEEN(1, COUNTA(event_table!$A$2:$A$69)))</f>
        <v>119</v>
      </c>
      <c r="B2409" s="6">
        <f t="array" ref="B2409">IFERROR(INDEX(event_table!$E$1:$E3686,MATCH(A2409,event_table!$A$1:$A3686,0)),"")
</f>
        <v>1</v>
      </c>
      <c r="C2409" s="7">
        <f t="shared" si="1"/>
        <v>122</v>
      </c>
      <c r="D2409" s="6" t="str">
        <f t="array" ref="D2409">IFERROR(INDEX(user_table!$C$2:$C3686,MATCH(C2409,user_table!$B$2:$B3686,0)),"")
</f>
        <v>Maya Setiawan</v>
      </c>
      <c r="E2409" s="6" t="str">
        <f t="array" ref="E2409">IFERROR(INDEX(user_table!$E$2:$E3686,MATCH(C2409,user_table!$B$2:$B3686,0)),"")
</f>
        <v>2, 3</v>
      </c>
      <c r="F2409" s="6" t="str">
        <f t="shared" si="2"/>
        <v>11951122</v>
      </c>
      <c r="G2409" s="16">
        <v>5.0</v>
      </c>
      <c r="H2409" s="17">
        <v>44721.0</v>
      </c>
      <c r="I2409" s="18" t="s">
        <v>2368</v>
      </c>
    </row>
    <row r="2410">
      <c r="A2410" s="5" t="str">
        <f t="array" ref="A2410">INDEX(event_table!$A$2:$A$69, RANDBETWEEN(1, COUNTA(event_table!$A$2:$A$69)))</f>
        <v>122</v>
      </c>
      <c r="B2410" s="6">
        <f t="array" ref="B2410">IFERROR(INDEX(event_table!$E$1:$E3686,MATCH(A2410,event_table!$A$1:$A3686,0)),"")
</f>
        <v>2</v>
      </c>
      <c r="C2410" s="7">
        <f t="shared" si="1"/>
        <v>87</v>
      </c>
      <c r="D2410" s="6" t="str">
        <f t="array" ref="D2410">IFERROR(INDEX(user_table!$C$2:$C3686,MATCH(C2410,user_table!$B$2:$B3686,0)),"")
</f>
        <v>Budi Setiawan</v>
      </c>
      <c r="E2410" s="6" t="str">
        <f t="array" ref="E2410">IFERROR(INDEX(user_table!$E$2:$E3686,MATCH(C2410,user_table!$B$2:$B3686,0)),"")
</f>
        <v>3, 5</v>
      </c>
      <c r="F2410" s="6" t="str">
        <f t="shared" si="2"/>
        <v>1225287</v>
      </c>
      <c r="G2410" s="16">
        <v>5.0</v>
      </c>
      <c r="H2410" s="17">
        <v>44713.0</v>
      </c>
      <c r="I2410" s="18" t="s">
        <v>2369</v>
      </c>
    </row>
    <row r="2411">
      <c r="A2411" s="5" t="str">
        <f t="array" ref="A2411">INDEX(event_table!$A$2:$A$69, RANDBETWEEN(1, COUNTA(event_table!$A$2:$A$69)))</f>
        <v>1649</v>
      </c>
      <c r="B2411" s="6">
        <f t="array" ref="B2411">IFERROR(INDEX(event_table!$E$1:$E3686,MATCH(A2411,event_table!$A$1:$A3686,0)),"")
</f>
        <v>6</v>
      </c>
      <c r="C2411" s="7">
        <f t="shared" si="1"/>
        <v>113</v>
      </c>
      <c r="D2411" s="6" t="str">
        <f t="array" ref="D2411">IFERROR(INDEX(user_table!$C$2:$C3686,MATCH(C2411,user_table!$B$2:$B3686,0)),"")
</f>
        <v>Budi Wijaya</v>
      </c>
      <c r="E2411" s="6" t="str">
        <f t="array" ref="E2411">IFERROR(INDEX(user_table!$E$2:$E3686,MATCH(C2411,user_table!$B$2:$B3686,0)),"")
</f>
        <v>1, 5</v>
      </c>
      <c r="F2411" s="6" t="str">
        <f t="shared" si="2"/>
        <v>164956113</v>
      </c>
      <c r="G2411" s="16">
        <v>5.0</v>
      </c>
      <c r="H2411" s="17">
        <v>44710.0</v>
      </c>
      <c r="I2411" s="18" t="s">
        <v>2370</v>
      </c>
    </row>
    <row r="2412">
      <c r="A2412" s="5" t="str">
        <f t="array" ref="A2412">INDEX(event_table!$A$2:$A$69, RANDBETWEEN(1, COUNTA(event_table!$A$2:$A$69)))</f>
        <v>1416</v>
      </c>
      <c r="B2412" s="6">
        <f t="array" ref="B2412">IFERROR(INDEX(event_table!$E$1:$E3686,MATCH(A2412,event_table!$A$1:$A3686,0)),"")
</f>
        <v>4</v>
      </c>
      <c r="C2412" s="7">
        <f t="shared" si="1"/>
        <v>159</v>
      </c>
      <c r="D2412" s="6" t="str">
        <f t="array" ref="D2412">IFERROR(INDEX(user_table!$C$2:$C3686,MATCH(C2412,user_table!$B$2:$B3686,0)),"")
</f>
        <v>Rudi Santoso</v>
      </c>
      <c r="E2412" s="6" t="str">
        <f t="array" ref="E2412">IFERROR(INDEX(user_table!$E$2:$E3686,MATCH(C2412,user_table!$B$2:$B3686,0)),"")
</f>
        <v>5, 1</v>
      </c>
      <c r="F2412" s="6" t="str">
        <f t="shared" si="2"/>
        <v>141654159</v>
      </c>
      <c r="G2412" s="16">
        <v>5.0</v>
      </c>
      <c r="H2412" s="17">
        <v>44689.0</v>
      </c>
      <c r="I2412" s="18" t="s">
        <v>2371</v>
      </c>
    </row>
    <row r="2413">
      <c r="A2413" s="5" t="str">
        <f t="array" ref="A2413">INDEX(event_table!$A$2:$A$69, RANDBETWEEN(1, COUNTA(event_table!$A$2:$A$69)))</f>
        <v>1645</v>
      </c>
      <c r="B2413" s="6">
        <f t="array" ref="B2413">IFERROR(INDEX(event_table!$E$1:$E3686,MATCH(A2413,event_table!$A$1:$A3686,0)),"")
</f>
        <v>6</v>
      </c>
      <c r="C2413" s="7">
        <f t="shared" si="1"/>
        <v>159</v>
      </c>
      <c r="D2413" s="6" t="str">
        <f t="array" ref="D2413">IFERROR(INDEX(user_table!$C$2:$C3686,MATCH(C2413,user_table!$B$2:$B3686,0)),"")
</f>
        <v>Rudi Santoso</v>
      </c>
      <c r="E2413" s="6" t="str">
        <f t="array" ref="E2413">IFERROR(INDEX(user_table!$E$2:$E3686,MATCH(C2413,user_table!$B$2:$B3686,0)),"")
</f>
        <v>5, 1</v>
      </c>
      <c r="F2413" s="6" t="str">
        <f t="shared" si="2"/>
        <v>164556159</v>
      </c>
      <c r="G2413" s="16">
        <v>5.0</v>
      </c>
      <c r="H2413" s="17">
        <v>44688.0</v>
      </c>
      <c r="I2413" s="18" t="s">
        <v>2372</v>
      </c>
    </row>
    <row r="2414">
      <c r="A2414" s="5" t="str">
        <f t="array" ref="A2414">INDEX(event_table!$A$2:$A$69, RANDBETWEEN(1, COUNTA(event_table!$A$2:$A$69)))</f>
        <v>111</v>
      </c>
      <c r="B2414" s="6">
        <f t="array" ref="B2414">IFERROR(INDEX(event_table!$E$1:$E3686,MATCH(A2414,event_table!$A$1:$A3686,0)),"")
</f>
        <v>1</v>
      </c>
      <c r="C2414" s="7">
        <f t="shared" si="1"/>
        <v>97</v>
      </c>
      <c r="D2414" s="6" t="str">
        <f t="array" ref="D2414">IFERROR(INDEX(user_table!$C$2:$C3686,MATCH(C2414,user_table!$B$2:$B3686,0)),"")
</f>
        <v>Dewi Hidayat</v>
      </c>
      <c r="E2414" s="6" t="str">
        <f t="array" ref="E2414">IFERROR(INDEX(user_table!$E$2:$E3686,MATCH(C2414,user_table!$B$2:$B3686,0)),"")
</f>
        <v>2, 2</v>
      </c>
      <c r="F2414" s="6" t="str">
        <f t="shared" si="2"/>
        <v>1115197</v>
      </c>
      <c r="G2414" s="16">
        <v>5.0</v>
      </c>
      <c r="H2414" s="17">
        <v>44686.0</v>
      </c>
      <c r="I2414" s="18" t="s">
        <v>2373</v>
      </c>
    </row>
    <row r="2415">
      <c r="A2415" s="5" t="str">
        <f t="array" ref="A2415">INDEX(event_table!$A$2:$A$69, RANDBETWEEN(1, COUNTA(event_table!$A$2:$A$69)))</f>
        <v>3163</v>
      </c>
      <c r="B2415" s="6">
        <f t="array" ref="B2415">IFERROR(INDEX(event_table!$E$1:$E3686,MATCH(A2415,event_table!$A$1:$A3686,0)),"")
</f>
        <v>1</v>
      </c>
      <c r="C2415" s="7">
        <f t="shared" si="1"/>
        <v>26</v>
      </c>
      <c r="D2415" s="6" t="str">
        <f t="array" ref="D2415">IFERROR(INDEX(user_table!$C$2:$C3686,MATCH(C2415,user_table!$B$2:$B3686,0)),"")
</f>
        <v>Citra Sari</v>
      </c>
      <c r="E2415" s="6" t="str">
        <f t="array" ref="E2415">IFERROR(INDEX(user_table!$E$2:$E3686,MATCH(C2415,user_table!$B$2:$B3686,0)),"")
</f>
        <v>5, 1</v>
      </c>
      <c r="F2415" s="6" t="str">
        <f t="shared" si="2"/>
        <v>31635126</v>
      </c>
      <c r="G2415" s="16">
        <v>5.0</v>
      </c>
      <c r="H2415" s="17">
        <v>45152.0</v>
      </c>
      <c r="I2415" s="18" t="s">
        <v>2374</v>
      </c>
    </row>
    <row r="2416">
      <c r="A2416" s="5" t="str">
        <f t="array" ref="A2416">INDEX(event_table!$A$2:$A$69, RANDBETWEEN(1, COUNTA(event_table!$A$2:$A$69)))</f>
        <v>3168</v>
      </c>
      <c r="B2416" s="6">
        <f t="array" ref="B2416">IFERROR(INDEX(event_table!$E$1:$E3686,MATCH(A2416,event_table!$A$1:$A3686,0)),"")
</f>
        <v>1</v>
      </c>
      <c r="C2416" s="7">
        <f t="shared" si="1"/>
        <v>47</v>
      </c>
      <c r="D2416" s="6" t="str">
        <f t="array" ref="D2416">IFERROR(INDEX(user_table!$C$2:$C3686,MATCH(C2416,user_table!$B$2:$B3686,0)),"")
</f>
        <v>Fandi Kurniawan</v>
      </c>
      <c r="E2416" s="6" t="str">
        <f t="array" ref="E2416">IFERROR(INDEX(user_table!$E$2:$E3686,MATCH(C2416,user_table!$B$2:$B3686,0)),"")
</f>
        <v>5, 6</v>
      </c>
      <c r="F2416" s="6" t="str">
        <f t="shared" si="2"/>
        <v>31685147</v>
      </c>
      <c r="G2416" s="16">
        <v>5.0</v>
      </c>
      <c r="H2416" s="17">
        <v>45041.0</v>
      </c>
      <c r="I2416" s="18" t="s">
        <v>2375</v>
      </c>
    </row>
    <row r="2417">
      <c r="A2417" s="5" t="str">
        <f t="array" ref="A2417">INDEX(event_table!$A$2:$A$69, RANDBETWEEN(1, COUNTA(event_table!$A$2:$A$69)))</f>
        <v>1651</v>
      </c>
      <c r="B2417" s="6">
        <f t="array" ref="B2417">IFERROR(INDEX(event_table!$E$1:$E3686,MATCH(A2417,event_table!$A$1:$A3686,0)),"")
</f>
        <v>6</v>
      </c>
      <c r="C2417" s="7">
        <f t="shared" si="1"/>
        <v>82</v>
      </c>
      <c r="D2417" s="6" t="str">
        <f t="array" ref="D2417">IFERROR(INDEX(user_table!$C$2:$C3686,MATCH(C2417,user_table!$B$2:$B3686,0)),"")
</f>
        <v>Fandi Nurhayati</v>
      </c>
      <c r="E2417" s="6" t="str">
        <f t="array" ref="E2417">IFERROR(INDEX(user_table!$E$2:$E3686,MATCH(C2417,user_table!$B$2:$B3686,0)),"")
</f>
        <v>3, 2</v>
      </c>
      <c r="F2417" s="6" t="str">
        <f t="shared" si="2"/>
        <v>16515682</v>
      </c>
      <c r="G2417" s="16">
        <v>5.0</v>
      </c>
      <c r="H2417" s="17">
        <v>44894.0</v>
      </c>
      <c r="I2417" s="18" t="s">
        <v>2376</v>
      </c>
    </row>
    <row r="2418">
      <c r="A2418" s="5" t="str">
        <f t="array" ref="A2418">INDEX(event_table!$A$2:$A$69, RANDBETWEEN(1, COUNTA(event_table!$A$2:$A$69)))</f>
        <v>1519</v>
      </c>
      <c r="B2418" s="6">
        <f t="array" ref="B2418">IFERROR(INDEX(event_table!$E$1:$E3686,MATCH(A2418,event_table!$A$1:$A3686,0)),"")
</f>
        <v>5</v>
      </c>
      <c r="C2418" s="7">
        <f t="shared" si="1"/>
        <v>118</v>
      </c>
      <c r="D2418" s="6" t="str">
        <f t="array" ref="D2418">IFERROR(INDEX(user_table!$C$2:$C3686,MATCH(C2418,user_table!$B$2:$B3686,0)),"")
</f>
        <v>Ani Santoso</v>
      </c>
      <c r="E2418" s="6" t="str">
        <f t="array" ref="E2418">IFERROR(INDEX(user_table!$E$2:$E3686,MATCH(C2418,user_table!$B$2:$B3686,0)),"")
</f>
        <v>6, 1</v>
      </c>
      <c r="F2418" s="6" t="str">
        <f t="shared" si="2"/>
        <v>151955118</v>
      </c>
      <c r="G2418" s="16">
        <v>5.0</v>
      </c>
      <c r="H2418" s="17">
        <v>44820.0</v>
      </c>
      <c r="I2418" s="18" t="s">
        <v>2377</v>
      </c>
    </row>
    <row r="2419">
      <c r="A2419" s="5" t="str">
        <f t="array" ref="A2419">INDEX(event_table!$A$2:$A$69, RANDBETWEEN(1, COUNTA(event_table!$A$2:$A$69)))</f>
        <v>1647</v>
      </c>
      <c r="B2419" s="6">
        <f t="array" ref="B2419">IFERROR(INDEX(event_table!$E$1:$E3686,MATCH(A2419,event_table!$A$1:$A3686,0)),"")
</f>
        <v>6</v>
      </c>
      <c r="C2419" s="7">
        <f t="shared" si="1"/>
        <v>147</v>
      </c>
      <c r="D2419" s="6" t="str">
        <f t="array" ref="D2419">IFERROR(INDEX(user_table!$C$2:$C3686,MATCH(C2419,user_table!$B$2:$B3686,0)),"")
</f>
        <v>Fajar Saputra</v>
      </c>
      <c r="E2419" s="6" t="str">
        <f t="array" ref="E2419">IFERROR(INDEX(user_table!$E$2:$E3686,MATCH(C2419,user_table!$B$2:$B3686,0)),"")
</f>
        <v>6, 2</v>
      </c>
      <c r="F2419" s="6" t="str">
        <f t="shared" si="2"/>
        <v>164756147</v>
      </c>
      <c r="G2419" s="16">
        <v>5.0</v>
      </c>
      <c r="H2419" s="17">
        <v>44757.0</v>
      </c>
      <c r="I2419" s="18" t="s">
        <v>2378</v>
      </c>
    </row>
    <row r="2420">
      <c r="A2420" s="5" t="str">
        <f t="array" ref="A2420">INDEX(event_table!$A$2:$A$69, RANDBETWEEN(1, COUNTA(event_table!$A$2:$A$69)))</f>
        <v>1529</v>
      </c>
      <c r="B2420" s="6">
        <f t="array" ref="B2420">IFERROR(INDEX(event_table!$E$1:$E3686,MATCH(A2420,event_table!$A$1:$A3686,0)),"")
</f>
        <v>5</v>
      </c>
      <c r="C2420" s="7">
        <f t="shared" si="1"/>
        <v>149</v>
      </c>
      <c r="D2420" s="6" t="str">
        <f t="array" ref="D2420">IFERROR(INDEX(user_table!$C$2:$C3686,MATCH(C2420,user_table!$B$2:$B3686,0)),"")
</f>
        <v>Dian Setiawan</v>
      </c>
      <c r="E2420" s="6" t="str">
        <f t="array" ref="E2420">IFERROR(INDEX(user_table!$E$2:$E3686,MATCH(C2420,user_table!$B$2:$B3686,0)),"")
</f>
        <v>2, 4</v>
      </c>
      <c r="F2420" s="6" t="str">
        <f t="shared" si="2"/>
        <v>152955149</v>
      </c>
      <c r="G2420" s="16">
        <v>5.0</v>
      </c>
      <c r="H2420" s="17">
        <v>44740.0</v>
      </c>
      <c r="I2420" s="18" t="s">
        <v>2379</v>
      </c>
    </row>
    <row r="2421">
      <c r="A2421" s="5" t="str">
        <f t="array" ref="A2421">INDEX(event_table!$A$2:$A$69, RANDBETWEEN(1, COUNTA(event_table!$A$2:$A$69)))</f>
        <v>3163</v>
      </c>
      <c r="B2421" s="6">
        <f t="array" ref="B2421">IFERROR(INDEX(event_table!$E$1:$E3686,MATCH(A2421,event_table!$A$1:$A3686,0)),"")
</f>
        <v>1</v>
      </c>
      <c r="C2421" s="7">
        <f t="shared" si="1"/>
        <v>40</v>
      </c>
      <c r="D2421" s="6" t="str">
        <f t="array" ref="D2421">IFERROR(INDEX(user_table!$C$2:$C3686,MATCH(C2421,user_table!$B$2:$B3686,0)),"")
</f>
        <v>Joko Sari</v>
      </c>
      <c r="E2421" s="6" t="str">
        <f t="array" ref="E2421">IFERROR(INDEX(user_table!$E$2:$E3686,MATCH(C2421,user_table!$B$2:$B3686,0)),"")
</f>
        <v>5, 6</v>
      </c>
      <c r="F2421" s="6" t="str">
        <f t="shared" si="2"/>
        <v>31635140</v>
      </c>
      <c r="G2421" s="16">
        <v>5.0</v>
      </c>
      <c r="H2421" s="17">
        <v>44708.0</v>
      </c>
      <c r="I2421" s="18" t="s">
        <v>2380</v>
      </c>
    </row>
    <row r="2422">
      <c r="A2422" s="5" t="str">
        <f t="array" ref="A2422">INDEX(event_table!$A$2:$A$69, RANDBETWEEN(1, COUNTA(event_table!$A$2:$A$69)))</f>
        <v>1423</v>
      </c>
      <c r="B2422" s="6">
        <f t="array" ref="B2422">IFERROR(INDEX(event_table!$E$1:$E3686,MATCH(A2422,event_table!$A$1:$A3686,0)),"")
</f>
        <v>4</v>
      </c>
      <c r="C2422" s="7">
        <f t="shared" si="1"/>
        <v>61</v>
      </c>
      <c r="D2422" s="6" t="str">
        <f t="array" ref="D2422">IFERROR(INDEX(user_table!$C$2:$C3686,MATCH(C2422,user_table!$B$2:$B3686,0)),"")
</f>
        <v>Agus Setiawan</v>
      </c>
      <c r="E2422" s="6" t="str">
        <f t="array" ref="E2422">IFERROR(INDEX(user_table!$E$2:$E3686,MATCH(C2422,user_table!$B$2:$B3686,0)),"")
</f>
        <v>4, 5</v>
      </c>
      <c r="F2422" s="6" t="str">
        <f t="shared" si="2"/>
        <v>14234461</v>
      </c>
      <c r="G2422" s="16">
        <v>4.0</v>
      </c>
      <c r="H2422" s="17">
        <v>44726.0</v>
      </c>
      <c r="I2422" s="18" t="s">
        <v>2381</v>
      </c>
    </row>
    <row r="2423">
      <c r="A2423" s="5" t="str">
        <f t="array" ref="A2423">INDEX(event_table!$A$2:$A$69, RANDBETWEEN(1, COUNTA(event_table!$A$2:$A$69)))</f>
        <v>1641</v>
      </c>
      <c r="B2423" s="6">
        <f t="array" ref="B2423">IFERROR(INDEX(event_table!$E$1:$E3686,MATCH(A2423,event_table!$A$1:$A3686,0)),"")
</f>
        <v>6</v>
      </c>
      <c r="C2423" s="7">
        <f t="shared" si="1"/>
        <v>50</v>
      </c>
      <c r="D2423" s="6" t="str">
        <f t="array" ref="D2423">IFERROR(INDEX(user_table!$C$2:$C3686,MATCH(C2423,user_table!$B$2:$B3686,0)),"")
</f>
        <v>Hadi Santoso</v>
      </c>
      <c r="E2423" s="6" t="str">
        <f t="array" ref="E2423">IFERROR(INDEX(user_table!$E$2:$E3686,MATCH(C2423,user_table!$B$2:$B3686,0)),"")
</f>
        <v>5, 4</v>
      </c>
      <c r="F2423" s="6" t="str">
        <f t="shared" si="2"/>
        <v>16414650</v>
      </c>
      <c r="G2423" s="16">
        <v>4.0</v>
      </c>
      <c r="H2423" s="17">
        <v>45197.0</v>
      </c>
      <c r="I2423" s="18" t="s">
        <v>2382</v>
      </c>
    </row>
    <row r="2424">
      <c r="A2424" s="5" t="str">
        <f t="array" ref="A2424">INDEX(event_table!$A$2:$A$69, RANDBETWEEN(1, COUNTA(event_table!$A$2:$A$69)))</f>
        <v>1417</v>
      </c>
      <c r="B2424" s="6">
        <f t="array" ref="B2424">IFERROR(INDEX(event_table!$E$1:$E3686,MATCH(A2424,event_table!$A$1:$A3686,0)),"")
</f>
        <v>4</v>
      </c>
      <c r="C2424" s="7">
        <f t="shared" si="1"/>
        <v>104</v>
      </c>
      <c r="D2424" s="6" t="str">
        <f t="array" ref="D2424">IFERROR(INDEX(user_table!$C$2:$C3686,MATCH(C2424,user_table!$B$2:$B3686,0)),"")
</f>
        <v>Fajar Utami</v>
      </c>
      <c r="E2424" s="6" t="str">
        <f t="array" ref="E2424">IFERROR(INDEX(user_table!$E$2:$E3686,MATCH(C2424,user_table!$B$2:$B3686,0)),"")
</f>
        <v>2, 5</v>
      </c>
      <c r="F2424" s="6" t="str">
        <f t="shared" si="2"/>
        <v>141744104</v>
      </c>
      <c r="G2424" s="16">
        <v>4.0</v>
      </c>
      <c r="H2424" s="17">
        <v>45096.0</v>
      </c>
      <c r="I2424" s="18" t="s">
        <v>2383</v>
      </c>
    </row>
    <row r="2425">
      <c r="A2425" s="5" t="str">
        <f t="array" ref="A2425">INDEX(event_table!$A$2:$A$69, RANDBETWEEN(1, COUNTA(event_table!$A$2:$A$69)))</f>
        <v>1334</v>
      </c>
      <c r="B2425" s="6">
        <f t="array" ref="B2425">IFERROR(INDEX(event_table!$E$1:$E3686,MATCH(A2425,event_table!$A$1:$A3686,0)),"")
</f>
        <v>3</v>
      </c>
      <c r="C2425" s="7">
        <f t="shared" si="1"/>
        <v>51</v>
      </c>
      <c r="D2425" s="6" t="str">
        <f t="array" ref="D2425">IFERROR(INDEX(user_table!$C$2:$C3686,MATCH(C2425,user_table!$B$2:$B3686,0)),"")
</f>
        <v>Fandi Pratama</v>
      </c>
      <c r="E2425" s="6" t="str">
        <f t="array" ref="E2425">IFERROR(INDEX(user_table!$E$2:$E3686,MATCH(C2425,user_table!$B$2:$B3686,0)),"")
</f>
        <v>2, 1</v>
      </c>
      <c r="F2425" s="6" t="str">
        <f t="shared" si="2"/>
        <v>13344351</v>
      </c>
      <c r="G2425" s="16">
        <v>4.0</v>
      </c>
      <c r="H2425" s="17">
        <v>44945.0</v>
      </c>
      <c r="I2425" s="18" t="s">
        <v>2384</v>
      </c>
    </row>
    <row r="2426">
      <c r="A2426" s="5" t="str">
        <f t="array" ref="A2426">INDEX(event_table!$A$2:$A$69, RANDBETWEEN(1, COUNTA(event_table!$A$2:$A$69)))</f>
        <v>116</v>
      </c>
      <c r="B2426" s="6">
        <f t="array" ref="B2426">IFERROR(INDEX(event_table!$E$1:$E3686,MATCH(A2426,event_table!$A$1:$A3686,0)),"")
</f>
        <v>1</v>
      </c>
      <c r="C2426" s="7">
        <f t="shared" si="1"/>
        <v>108</v>
      </c>
      <c r="D2426" s="6" t="str">
        <f t="array" ref="D2426">IFERROR(INDEX(user_table!$C$2:$C3686,MATCH(C2426,user_table!$B$2:$B3686,0)),"")
</f>
        <v>Dewi Hadiwijaya</v>
      </c>
      <c r="E2426" s="6" t="str">
        <f t="array" ref="E2426">IFERROR(INDEX(user_table!$E$2:$E3686,MATCH(C2426,user_table!$B$2:$B3686,0)),"")
</f>
        <v>6, 6</v>
      </c>
      <c r="F2426" s="6" t="str">
        <f t="shared" si="2"/>
        <v>11641108</v>
      </c>
      <c r="G2426" s="16">
        <v>4.0</v>
      </c>
      <c r="H2426" s="17">
        <v>44929.0</v>
      </c>
      <c r="I2426" s="18" t="s">
        <v>2385</v>
      </c>
    </row>
    <row r="2427">
      <c r="A2427" s="5" t="str">
        <f t="array" ref="A2427">INDEX(event_table!$A$2:$A$69, RANDBETWEEN(1, COUNTA(event_table!$A$2:$A$69)))</f>
        <v>1422</v>
      </c>
      <c r="B2427" s="6">
        <f t="array" ref="B2427">IFERROR(INDEX(event_table!$E$1:$E3686,MATCH(A2427,event_table!$A$1:$A3686,0)),"")
</f>
        <v>4</v>
      </c>
      <c r="C2427" s="7">
        <f t="shared" si="1"/>
        <v>56</v>
      </c>
      <c r="D2427" s="6" t="str">
        <f t="array" ref="D2427">IFERROR(INDEX(user_table!$C$2:$C3686,MATCH(C2427,user_table!$B$2:$B3686,0)),"")
</f>
        <v>Desi Putri</v>
      </c>
      <c r="E2427" s="6" t="str">
        <f t="array" ref="E2427">IFERROR(INDEX(user_table!$E$2:$E3686,MATCH(C2427,user_table!$B$2:$B3686,0)),"")
</f>
        <v>1, 3</v>
      </c>
      <c r="F2427" s="6" t="str">
        <f t="shared" si="2"/>
        <v>14224456</v>
      </c>
      <c r="G2427" s="16">
        <v>4.0</v>
      </c>
      <c r="H2427" s="17">
        <v>44690.0</v>
      </c>
      <c r="I2427" s="18" t="s">
        <v>2386</v>
      </c>
    </row>
    <row r="2428">
      <c r="A2428" s="5" t="str">
        <f t="array" ref="A2428">INDEX(event_table!$A$2:$A$69, RANDBETWEEN(1, COUNTA(event_table!$A$2:$A$69)))</f>
        <v>1417</v>
      </c>
      <c r="B2428" s="6">
        <f t="array" ref="B2428">IFERROR(INDEX(event_table!$E$1:$E3686,MATCH(A2428,event_table!$A$1:$A3686,0)),"")
</f>
        <v>4</v>
      </c>
      <c r="C2428" s="7">
        <f t="shared" si="1"/>
        <v>134</v>
      </c>
      <c r="D2428" s="6" t="str">
        <f t="array" ref="D2428">IFERROR(INDEX(user_table!$C$2:$C3686,MATCH(C2428,user_table!$B$2:$B3686,0)),"")
</f>
        <v>Maya Septiani</v>
      </c>
      <c r="E2428" s="6" t="str">
        <f t="array" ref="E2428">IFERROR(INDEX(user_table!$E$2:$E3686,MATCH(C2428,user_table!$B$2:$B3686,0)),"")
</f>
        <v>2, 4</v>
      </c>
      <c r="F2428" s="6" t="str">
        <f t="shared" si="2"/>
        <v>141734134</v>
      </c>
      <c r="G2428" s="16">
        <v>3.0</v>
      </c>
      <c r="H2428" s="17">
        <v>44753.0</v>
      </c>
      <c r="I2428" s="18" t="s">
        <v>2387</v>
      </c>
    </row>
    <row r="2429">
      <c r="A2429" s="5" t="str">
        <f t="array" ref="A2429">INDEX(event_table!$A$2:$A$69, RANDBETWEEN(1, COUNTA(event_table!$A$2:$A$69)))</f>
        <v>1313</v>
      </c>
      <c r="B2429" s="6">
        <f t="array" ref="B2429">IFERROR(INDEX(event_table!$E$1:$E3686,MATCH(A2429,event_table!$A$1:$A3686,0)),"")
</f>
        <v>3</v>
      </c>
      <c r="C2429" s="7">
        <f t="shared" si="1"/>
        <v>165</v>
      </c>
      <c r="D2429" s="6" t="str">
        <f t="array" ref="D2429">IFERROR(INDEX(user_table!$C$2:$C3686,MATCH(C2429,user_table!$B$2:$B3686,0)),"")
</f>
        <v>Agus Pratama</v>
      </c>
      <c r="E2429" s="6" t="str">
        <f t="array" ref="E2429">IFERROR(INDEX(user_table!$E$2:$E3686,MATCH(C2429,user_table!$B$2:$B3686,0)),"")
</f>
        <v>6, 2</v>
      </c>
      <c r="F2429" s="6" t="str">
        <f t="shared" si="2"/>
        <v>131333165</v>
      </c>
      <c r="G2429" s="16">
        <v>3.0</v>
      </c>
      <c r="H2429" s="17">
        <v>44724.0</v>
      </c>
      <c r="I2429" s="18" t="s">
        <v>2388</v>
      </c>
    </row>
    <row r="2430">
      <c r="A2430" s="5" t="str">
        <f t="array" ref="A2430">INDEX(event_table!$A$2:$A$69, RANDBETWEEN(1, COUNTA(event_table!$A$2:$A$69)))</f>
        <v>1529</v>
      </c>
      <c r="B2430" s="6">
        <f t="array" ref="B2430">IFERROR(INDEX(event_table!$E$1:$E3686,MATCH(A2430,event_table!$A$1:$A3686,0)),"")
</f>
        <v>5</v>
      </c>
      <c r="C2430" s="7">
        <f t="shared" si="1"/>
        <v>193</v>
      </c>
      <c r="D2430" s="6" t="str">
        <f t="array" ref="D2430">IFERROR(INDEX(user_table!$C$2:$C3686,MATCH(C2430,user_table!$B$2:$B3686,0)),"")
</f>
        <v>Dina Wijaya</v>
      </c>
      <c r="E2430" s="6" t="str">
        <f t="array" ref="E2430">IFERROR(INDEX(user_table!$E$2:$E3686,MATCH(C2430,user_table!$B$2:$B3686,0)),"")
</f>
        <v>4, 5</v>
      </c>
      <c r="F2430" s="6" t="str">
        <f t="shared" si="2"/>
        <v>152935193</v>
      </c>
      <c r="G2430" s="16">
        <v>3.0</v>
      </c>
      <c r="H2430" s="17">
        <v>44809.0</v>
      </c>
      <c r="I2430" s="18" t="s">
        <v>2389</v>
      </c>
    </row>
    <row r="2431">
      <c r="A2431" s="5" t="str">
        <f t="array" ref="A2431">INDEX(event_table!$A$2:$A$69, RANDBETWEEN(1, COUNTA(event_table!$A$2:$A$69)))</f>
        <v>1528</v>
      </c>
      <c r="B2431" s="6">
        <f t="array" ref="B2431">IFERROR(INDEX(event_table!$E$1:$E3686,MATCH(A2431,event_table!$A$1:$A3686,0)),"")
</f>
        <v>5</v>
      </c>
      <c r="C2431" s="7">
        <f t="shared" si="1"/>
        <v>188</v>
      </c>
      <c r="D2431" s="6" t="str">
        <f t="array" ref="D2431">IFERROR(INDEX(user_table!$C$2:$C3686,MATCH(C2431,user_table!$B$2:$B3686,0)),"")
</f>
        <v>Siti Setiawan</v>
      </c>
      <c r="E2431" s="6" t="str">
        <f t="array" ref="E2431">IFERROR(INDEX(user_table!$E$2:$E3686,MATCH(C2431,user_table!$B$2:$B3686,0)),"")
</f>
        <v>6, 6</v>
      </c>
      <c r="F2431" s="6" t="str">
        <f t="shared" si="2"/>
        <v>152835188</v>
      </c>
      <c r="G2431" s="16">
        <v>3.0</v>
      </c>
      <c r="H2431" s="17">
        <v>45142.0</v>
      </c>
      <c r="I2431" s="18" t="s">
        <v>2390</v>
      </c>
    </row>
    <row r="2432">
      <c r="A2432" s="5" t="str">
        <f t="array" ref="A2432">INDEX(event_table!$A$2:$A$69, RANDBETWEEN(1, COUNTA(event_table!$A$2:$A$69)))</f>
        <v>1637</v>
      </c>
      <c r="B2432" s="6">
        <f t="array" ref="B2432">IFERROR(INDEX(event_table!$E$1:$E3686,MATCH(A2432,event_table!$A$1:$A3686,0)),"")
</f>
        <v>6</v>
      </c>
      <c r="C2432" s="7">
        <f t="shared" si="1"/>
        <v>68</v>
      </c>
      <c r="D2432" s="6" t="str">
        <f t="array" ref="D2432">IFERROR(INDEX(user_table!$C$2:$C3686,MATCH(C2432,user_table!$B$2:$B3686,0)),"")
</f>
        <v>Wahyu Wijaya</v>
      </c>
      <c r="E2432" s="6" t="str">
        <f t="array" ref="E2432">IFERROR(INDEX(user_table!$E$2:$E3686,MATCH(C2432,user_table!$B$2:$B3686,0)),"")
</f>
        <v>4, 6</v>
      </c>
      <c r="F2432" s="6" t="str">
        <f t="shared" si="2"/>
        <v>16373668</v>
      </c>
      <c r="G2432" s="16">
        <v>3.0</v>
      </c>
      <c r="H2432" s="17">
        <v>45113.0</v>
      </c>
      <c r="I2432" s="18" t="s">
        <v>2391</v>
      </c>
    </row>
    <row r="2433">
      <c r="A2433" s="5" t="str">
        <f t="array" ref="A2433">INDEX(event_table!$A$2:$A$69, RANDBETWEEN(1, COUNTA(event_table!$A$2:$A$69)))</f>
        <v>1641</v>
      </c>
      <c r="B2433" s="6">
        <f t="array" ref="B2433">IFERROR(INDEX(event_table!$E$1:$E3686,MATCH(A2433,event_table!$A$1:$A3686,0)),"")
</f>
        <v>6</v>
      </c>
      <c r="C2433" s="7">
        <f t="shared" si="1"/>
        <v>35</v>
      </c>
      <c r="D2433" s="6" t="str">
        <f t="array" ref="D2433">IFERROR(INDEX(user_table!$C$2:$C3686,MATCH(C2433,user_table!$B$2:$B3686,0)),"")
</f>
        <v>Maya Nugroho</v>
      </c>
      <c r="E2433" s="6" t="str">
        <f t="array" ref="E2433">IFERROR(INDEX(user_table!$E$2:$E3686,MATCH(C2433,user_table!$B$2:$B3686,0)),"")
</f>
        <v>6, 2</v>
      </c>
      <c r="F2433" s="6" t="str">
        <f t="shared" si="2"/>
        <v>16412635</v>
      </c>
      <c r="G2433" s="16">
        <v>2.0</v>
      </c>
      <c r="H2433" s="17">
        <v>44689.0</v>
      </c>
      <c r="I2433" s="18" t="s">
        <v>2392</v>
      </c>
    </row>
    <row r="2434">
      <c r="A2434" s="5" t="str">
        <f t="array" ref="A2434">INDEX(event_table!$A$2:$A$69, RANDBETWEEN(1, COUNTA(event_table!$A$2:$A$69)))</f>
        <v>1416</v>
      </c>
      <c r="B2434" s="6">
        <f t="array" ref="B2434">IFERROR(INDEX(event_table!$E$1:$E3686,MATCH(A2434,event_table!$A$1:$A3686,0)),"")
</f>
        <v>4</v>
      </c>
      <c r="C2434" s="7">
        <f t="shared" si="1"/>
        <v>172</v>
      </c>
      <c r="D2434" s="6" t="str">
        <f t="array" ref="D2434">IFERROR(INDEX(user_table!$C$2:$C3686,MATCH(C2434,user_table!$B$2:$B3686,0)),"")
</f>
        <v>Dian Kurniawan</v>
      </c>
      <c r="E2434" s="6" t="str">
        <f t="array" ref="E2434">IFERROR(INDEX(user_table!$E$2:$E3686,MATCH(C2434,user_table!$B$2:$B3686,0)),"")
</f>
        <v>1, 2</v>
      </c>
      <c r="F2434" s="6" t="str">
        <f t="shared" si="2"/>
        <v>141624172</v>
      </c>
      <c r="G2434" s="16">
        <v>2.0</v>
      </c>
      <c r="H2434" s="17">
        <v>44919.0</v>
      </c>
      <c r="I2434" s="18" t="s">
        <v>2393</v>
      </c>
    </row>
    <row r="2435">
      <c r="A2435" s="5" t="str">
        <f t="array" ref="A2435">INDEX(event_table!$A$2:$A$69, RANDBETWEEN(1, COUNTA(event_table!$A$2:$A$69)))</f>
        <v>1528</v>
      </c>
      <c r="B2435" s="6">
        <f t="array" ref="B2435">IFERROR(INDEX(event_table!$E$1:$E3686,MATCH(A2435,event_table!$A$1:$A3686,0)),"")
</f>
        <v>5</v>
      </c>
      <c r="C2435" s="7">
        <f t="shared" si="1"/>
        <v>181</v>
      </c>
      <c r="D2435" s="6" t="str">
        <f t="array" ref="D2435">IFERROR(INDEX(user_table!$C$2:$C3686,MATCH(C2435,user_table!$B$2:$B3686,0)),"")
</f>
        <v>Andi Hadiwijaya</v>
      </c>
      <c r="E2435" s="6" t="str">
        <f t="array" ref="E2435">IFERROR(INDEX(user_table!$E$2:$E3686,MATCH(C2435,user_table!$B$2:$B3686,0)),"")
</f>
        <v>3, 2</v>
      </c>
      <c r="F2435" s="6" t="str">
        <f t="shared" si="2"/>
        <v>152825181</v>
      </c>
      <c r="G2435" s="16">
        <v>2.0</v>
      </c>
      <c r="H2435" s="17">
        <v>44832.0</v>
      </c>
      <c r="I2435" s="18" t="s">
        <v>2394</v>
      </c>
    </row>
    <row r="2436">
      <c r="A2436" s="5" t="str">
        <f t="array" ref="A2436">INDEX(event_table!$A$2:$A$69, RANDBETWEEN(1, COUNTA(event_table!$A$2:$A$69)))</f>
        <v>3164</v>
      </c>
      <c r="B2436" s="6">
        <f t="array" ref="B2436">IFERROR(INDEX(event_table!$E$1:$E3686,MATCH(A2436,event_table!$A$1:$A3686,0)),"")
</f>
        <v>1</v>
      </c>
      <c r="C2436" s="7">
        <f t="shared" si="1"/>
        <v>193</v>
      </c>
      <c r="D2436" s="6" t="str">
        <f t="array" ref="D2436">IFERROR(INDEX(user_table!$C$2:$C3686,MATCH(C2436,user_table!$B$2:$B3686,0)),"")
</f>
        <v>Dina Wijaya</v>
      </c>
      <c r="E2436" s="6" t="str">
        <f t="array" ref="E2436">IFERROR(INDEX(user_table!$E$2:$E3686,MATCH(C2436,user_table!$B$2:$B3686,0)),"")
</f>
        <v>4, 5</v>
      </c>
      <c r="F2436" s="6" t="str">
        <f t="shared" si="2"/>
        <v>316421193</v>
      </c>
      <c r="G2436" s="16">
        <v>2.0</v>
      </c>
      <c r="H2436" s="17">
        <v>44675.0</v>
      </c>
      <c r="I2436" s="18" t="s">
        <v>2395</v>
      </c>
    </row>
    <row r="2437">
      <c r="A2437" s="5" t="str">
        <f t="array" ref="A2437">INDEX(event_table!$A$2:$A$69, RANDBETWEEN(1, COUNTA(event_table!$A$2:$A$69)))</f>
        <v>1114</v>
      </c>
      <c r="B2437" s="6">
        <f t="array" ref="B2437">IFERROR(INDEX(event_table!$E$1:$E3686,MATCH(A2437,event_table!$A$1:$A3686,0)),"")
</f>
        <v>1</v>
      </c>
      <c r="C2437" s="7">
        <f t="shared" si="1"/>
        <v>64</v>
      </c>
      <c r="D2437" s="6" t="str">
        <f t="array" ref="D2437">IFERROR(INDEX(user_table!$C$2:$C3686,MATCH(C2437,user_table!$B$2:$B3686,0)),"")
</f>
        <v>Fajar Utami</v>
      </c>
      <c r="E2437" s="6" t="str">
        <f t="array" ref="E2437">IFERROR(INDEX(user_table!$E$2:$E3686,MATCH(C2437,user_table!$B$2:$B3686,0)),"")
</f>
        <v>5, 2</v>
      </c>
      <c r="F2437" s="6" t="str">
        <f t="shared" si="2"/>
        <v>11142164</v>
      </c>
      <c r="G2437" s="16">
        <v>2.0</v>
      </c>
      <c r="H2437" s="17">
        <v>44641.0</v>
      </c>
      <c r="I2437" s="18" t="s">
        <v>2396</v>
      </c>
    </row>
    <row r="2438">
      <c r="A2438" s="5" t="str">
        <f t="array" ref="A2438">INDEX(event_table!$A$2:$A$69, RANDBETWEEN(1, COUNTA(event_table!$A$2:$A$69)))</f>
        <v>3657</v>
      </c>
      <c r="B2438" s="6">
        <f t="array" ref="B2438">IFERROR(INDEX(event_table!$E$1:$E3686,MATCH(A2438,event_table!$A$1:$A3686,0)),"")
</f>
        <v>6</v>
      </c>
      <c r="C2438" s="7">
        <f t="shared" si="1"/>
        <v>119</v>
      </c>
      <c r="D2438" s="6" t="str">
        <f t="array" ref="D2438">IFERROR(INDEX(user_table!$C$2:$C3686,MATCH(C2438,user_table!$B$2:$B3686,0)),"")
</f>
        <v>Budi Rahayu</v>
      </c>
      <c r="E2438" s="6" t="str">
        <f t="array" ref="E2438">IFERROR(INDEX(user_table!$E$2:$E3686,MATCH(C2438,user_table!$B$2:$B3686,0)),"")
</f>
        <v>1, 2</v>
      </c>
      <c r="F2438" s="6" t="str">
        <f t="shared" si="2"/>
        <v>365726119</v>
      </c>
      <c r="G2438" s="16">
        <v>2.0</v>
      </c>
      <c r="H2438" s="17">
        <v>45250.0</v>
      </c>
      <c r="I2438" s="18" t="s">
        <v>2397</v>
      </c>
    </row>
    <row r="2439">
      <c r="A2439" s="5" t="str">
        <f t="array" ref="A2439">INDEX(event_table!$A$2:$A$69, RANDBETWEEN(1, COUNTA(event_table!$A$2:$A$69)))</f>
        <v>1639</v>
      </c>
      <c r="B2439" s="6">
        <f t="array" ref="B2439">IFERROR(INDEX(event_table!$E$1:$E3686,MATCH(A2439,event_table!$A$1:$A3686,0)),"")
</f>
        <v>6</v>
      </c>
      <c r="C2439" s="7">
        <f t="shared" si="1"/>
        <v>198</v>
      </c>
      <c r="D2439" s="6" t="str">
        <f t="array" ref="D2439">IFERROR(INDEX(user_table!$C$2:$C3686,MATCH(C2439,user_table!$B$2:$B3686,0)),"")
</f>
        <v>Siti Nugroho</v>
      </c>
      <c r="E2439" s="6" t="str">
        <f t="array" ref="E2439">IFERROR(INDEX(user_table!$E$2:$E3686,MATCH(C2439,user_table!$B$2:$B3686,0)),"")
</f>
        <v>5, 2</v>
      </c>
      <c r="F2439" s="6" t="str">
        <f t="shared" si="2"/>
        <v>163926198</v>
      </c>
      <c r="G2439" s="16">
        <v>2.0</v>
      </c>
      <c r="H2439" s="17">
        <v>45248.0</v>
      </c>
      <c r="I2439" s="18" t="s">
        <v>2398</v>
      </c>
    </row>
    <row r="2440">
      <c r="A2440" s="5" t="str">
        <f t="array" ref="A2440">INDEX(event_table!$A$2:$A$69, RANDBETWEEN(1, COUNTA(event_table!$A$2:$A$69)))</f>
        <v>1424</v>
      </c>
      <c r="B2440" s="6">
        <f t="array" ref="B2440">IFERROR(INDEX(event_table!$E$1:$E3686,MATCH(A2440,event_table!$A$1:$A3686,0)),"")
</f>
        <v>4</v>
      </c>
      <c r="C2440" s="7">
        <f t="shared" si="1"/>
        <v>11</v>
      </c>
      <c r="D2440" s="6" t="str">
        <f t="array" ref="D2440">IFERROR(INDEX(user_table!$C$2:$C3686,MATCH(C2440,user_table!$B$2:$B3686,0)),"")
</f>
        <v>Arif Sari</v>
      </c>
      <c r="E2440" s="6" t="str">
        <f t="array" ref="E2440">IFERROR(INDEX(user_table!$E$2:$E3686,MATCH(C2440,user_table!$B$2:$B3686,0)),"")
</f>
        <v>5, 2</v>
      </c>
      <c r="F2440" s="6" t="str">
        <f t="shared" si="2"/>
        <v>14242411</v>
      </c>
      <c r="G2440" s="16">
        <v>2.0</v>
      </c>
      <c r="H2440" s="17">
        <v>45241.0</v>
      </c>
      <c r="I2440" s="18" t="s">
        <v>2399</v>
      </c>
    </row>
    <row r="2441">
      <c r="A2441" s="5" t="str">
        <f t="array" ref="A2441">INDEX(event_table!$A$2:$A$69, RANDBETWEEN(1, COUNTA(event_table!$A$2:$A$69)))</f>
        <v>122</v>
      </c>
      <c r="B2441" s="6">
        <f t="array" ref="B2441">IFERROR(INDEX(event_table!$E$1:$E3686,MATCH(A2441,event_table!$A$1:$A3686,0)),"")
</f>
        <v>2</v>
      </c>
      <c r="C2441" s="7">
        <f t="shared" si="1"/>
        <v>183</v>
      </c>
      <c r="D2441" s="6" t="str">
        <f t="array" ref="D2441">IFERROR(INDEX(user_table!$C$2:$C3686,MATCH(C2441,user_table!$B$2:$B3686,0)),"")
</f>
        <v>Siti Nugroho</v>
      </c>
      <c r="E2441" s="6" t="str">
        <f t="array" ref="E2441">IFERROR(INDEX(user_table!$E$2:$E3686,MATCH(C2441,user_table!$B$2:$B3686,0)),"")
</f>
        <v>4, 6</v>
      </c>
      <c r="F2441" s="6" t="str">
        <f t="shared" si="2"/>
        <v>12222183</v>
      </c>
      <c r="G2441" s="16">
        <v>2.0</v>
      </c>
      <c r="H2441" s="17">
        <v>45188.0</v>
      </c>
      <c r="I2441" s="18" t="s">
        <v>2400</v>
      </c>
    </row>
    <row r="2442">
      <c r="A2442" s="5" t="str">
        <f t="array" ref="A2442">INDEX(event_table!$A$2:$A$69, RANDBETWEEN(1, COUNTA(event_table!$A$2:$A$69)))</f>
        <v>3659</v>
      </c>
      <c r="B2442" s="6">
        <f t="array" ref="B2442">IFERROR(INDEX(event_table!$E$1:$E3686,MATCH(A2442,event_table!$A$1:$A3686,0)),"")
</f>
        <v>6</v>
      </c>
      <c r="C2442" s="7">
        <f t="shared" si="1"/>
        <v>200</v>
      </c>
      <c r="D2442" s="6" t="str">
        <f t="array" ref="D2442">IFERROR(INDEX(user_table!$C$2:$C3686,MATCH(C2442,user_table!$B$2:$B3686,0)),"")
</f>
        <v>Dina Susanto</v>
      </c>
      <c r="E2442" s="6" t="str">
        <f t="array" ref="E2442">IFERROR(INDEX(user_table!$E$2:$E3686,MATCH(C2442,user_table!$B$2:$B3686,0)),"")
</f>
        <v>5, 4</v>
      </c>
      <c r="F2442" s="6" t="str">
        <f t="shared" si="2"/>
        <v>365926200</v>
      </c>
      <c r="G2442" s="16">
        <v>2.0</v>
      </c>
      <c r="H2442" s="17">
        <v>45086.0</v>
      </c>
      <c r="I2442" s="18" t="s">
        <v>2401</v>
      </c>
    </row>
    <row r="2443">
      <c r="A2443" s="5" t="str">
        <f t="array" ref="A2443">INDEX(event_table!$A$2:$A$69, RANDBETWEEN(1, COUNTA(event_table!$A$2:$A$69)))</f>
        <v>1526</v>
      </c>
      <c r="B2443" s="6">
        <f t="array" ref="B2443">IFERROR(INDEX(event_table!$E$1:$E3686,MATCH(A2443,event_table!$A$1:$A3686,0)),"")
</f>
        <v>5</v>
      </c>
      <c r="C2443" s="7">
        <f t="shared" si="1"/>
        <v>100</v>
      </c>
      <c r="D2443" s="6" t="str">
        <f t="array" ref="D2443">IFERROR(INDEX(user_table!$C$2:$C3686,MATCH(C2443,user_table!$B$2:$B3686,0)),"")
</f>
        <v>Lina Rahayu</v>
      </c>
      <c r="E2443" s="6" t="str">
        <f t="array" ref="E2443">IFERROR(INDEX(user_table!$E$2:$E3686,MATCH(C2443,user_table!$B$2:$B3686,0)),"")
</f>
        <v>6, 2</v>
      </c>
      <c r="F2443" s="6" t="str">
        <f t="shared" si="2"/>
        <v>152625100</v>
      </c>
      <c r="G2443" s="16">
        <v>2.0</v>
      </c>
      <c r="H2443" s="17">
        <v>45085.0</v>
      </c>
      <c r="I2443" s="18" t="s">
        <v>2402</v>
      </c>
    </row>
    <row r="2444">
      <c r="A2444" s="5" t="str">
        <f t="array" ref="A2444">INDEX(event_table!$A$2:$A$69, RANDBETWEEN(1, COUNTA(event_table!$A$2:$A$69)))</f>
        <v>1519</v>
      </c>
      <c r="B2444" s="6">
        <f t="array" ref="B2444">IFERROR(INDEX(event_table!$E$1:$E3686,MATCH(A2444,event_table!$A$1:$A3686,0)),"")
</f>
        <v>5</v>
      </c>
      <c r="C2444" s="7">
        <f t="shared" si="1"/>
        <v>165</v>
      </c>
      <c r="D2444" s="6" t="str">
        <f t="array" ref="D2444">IFERROR(INDEX(user_table!$C$2:$C3686,MATCH(C2444,user_table!$B$2:$B3686,0)),"")
</f>
        <v>Agus Pratama</v>
      </c>
      <c r="E2444" s="6" t="str">
        <f t="array" ref="E2444">IFERROR(INDEX(user_table!$E$2:$E3686,MATCH(C2444,user_table!$B$2:$B3686,0)),"")
</f>
        <v>6, 2</v>
      </c>
      <c r="F2444" s="6" t="str">
        <f t="shared" si="2"/>
        <v>151915165</v>
      </c>
      <c r="G2444" s="16">
        <v>1.0</v>
      </c>
      <c r="H2444" s="17">
        <v>45204.0</v>
      </c>
      <c r="I2444" s="18" t="s">
        <v>2403</v>
      </c>
    </row>
    <row r="2445">
      <c r="A2445" s="5" t="str">
        <f t="array" ref="A2445">INDEX(event_table!$A$2:$A$69, RANDBETWEEN(1, COUNTA(event_table!$A$2:$A$69)))</f>
        <v>1313</v>
      </c>
      <c r="B2445" s="6">
        <f t="array" ref="B2445">IFERROR(INDEX(event_table!$E$1:$E3686,MATCH(A2445,event_table!$A$1:$A3686,0)),"")
</f>
        <v>3</v>
      </c>
      <c r="C2445" s="7">
        <f t="shared" si="1"/>
        <v>107</v>
      </c>
      <c r="D2445" s="6" t="str">
        <f t="array" ref="D2445">IFERROR(INDEX(user_table!$C$2:$C3686,MATCH(C2445,user_table!$B$2:$B3686,0)),"")
</f>
        <v>Citra Rahayu</v>
      </c>
      <c r="E2445" s="6" t="str">
        <f t="array" ref="E2445">IFERROR(INDEX(user_table!$E$2:$E3686,MATCH(C2445,user_table!$B$2:$B3686,0)),"")
</f>
        <v>1, 5</v>
      </c>
      <c r="F2445" s="6" t="str">
        <f t="shared" si="2"/>
        <v>131313107</v>
      </c>
      <c r="G2445" s="16">
        <v>1.0</v>
      </c>
      <c r="H2445" s="17">
        <v>45219.0</v>
      </c>
      <c r="I2445" s="18" t="s">
        <v>2404</v>
      </c>
    </row>
    <row r="2446">
      <c r="A2446" s="5" t="str">
        <f t="array" ref="A2446">INDEX(event_table!$A$2:$A$69, RANDBETWEEN(1, COUNTA(event_table!$A$2:$A$69)))</f>
        <v>1649</v>
      </c>
      <c r="B2446" s="6">
        <f t="array" ref="B2446">IFERROR(INDEX(event_table!$E$1:$E3686,MATCH(A2446,event_table!$A$1:$A3686,0)),"")
</f>
        <v>6</v>
      </c>
      <c r="C2446" s="7">
        <f t="shared" si="1"/>
        <v>126</v>
      </c>
      <c r="D2446" s="6" t="str">
        <f t="array" ref="D2446">IFERROR(INDEX(user_table!$C$2:$C3686,MATCH(C2446,user_table!$B$2:$B3686,0)),"")
</f>
        <v>Agus Santoso</v>
      </c>
      <c r="E2446" s="6" t="str">
        <f t="array" ref="E2446">IFERROR(INDEX(user_table!$E$2:$E3686,MATCH(C2446,user_table!$B$2:$B3686,0)),"")
</f>
        <v>3, 6</v>
      </c>
      <c r="F2446" s="6" t="str">
        <f t="shared" si="2"/>
        <v>164916126</v>
      </c>
      <c r="G2446" s="16">
        <v>1.0</v>
      </c>
      <c r="H2446" s="17">
        <v>45225.0</v>
      </c>
      <c r="I2446" s="18" t="s">
        <v>2405</v>
      </c>
    </row>
    <row r="2447">
      <c r="A2447" s="5" t="str">
        <f t="array" ref="A2447">INDEX(event_table!$A$2:$A$69, RANDBETWEEN(1, COUNTA(event_table!$A$2:$A$69)))</f>
        <v>3162</v>
      </c>
      <c r="B2447" s="6">
        <f t="array" ref="B2447">IFERROR(INDEX(event_table!$E$1:$E3686,MATCH(A2447,event_table!$A$1:$A3686,0)),"")
</f>
        <v>1</v>
      </c>
      <c r="C2447" s="7">
        <f t="shared" si="1"/>
        <v>109</v>
      </c>
      <c r="D2447" s="6" t="str">
        <f t="array" ref="D2447">IFERROR(INDEX(user_table!$C$2:$C3686,MATCH(C2447,user_table!$B$2:$B3686,0)),"")
</f>
        <v>Ani Sari</v>
      </c>
      <c r="E2447" s="6" t="str">
        <f t="array" ref="E2447">IFERROR(INDEX(user_table!$E$2:$E3686,MATCH(C2447,user_table!$B$2:$B3686,0)),"")
</f>
        <v>4, 5</v>
      </c>
      <c r="F2447" s="6" t="str">
        <f t="shared" si="2"/>
        <v>316211109</v>
      </c>
      <c r="G2447" s="16">
        <v>1.0</v>
      </c>
      <c r="H2447" s="17">
        <v>45144.0</v>
      </c>
      <c r="I2447" s="18" t="s">
        <v>2406</v>
      </c>
    </row>
    <row r="2448">
      <c r="A2448" s="5" t="str">
        <f t="array" ref="A2448">INDEX(event_table!$A$2:$A$69, RANDBETWEEN(1, COUNTA(event_table!$A$2:$A$69)))</f>
        <v>1421</v>
      </c>
      <c r="B2448" s="6">
        <f t="array" ref="B2448">IFERROR(INDEX(event_table!$E$1:$E3686,MATCH(A2448,event_table!$A$1:$A3686,0)),"")
</f>
        <v>4</v>
      </c>
      <c r="C2448" s="7">
        <f t="shared" si="1"/>
        <v>97</v>
      </c>
      <c r="D2448" s="6" t="str">
        <f t="array" ref="D2448">IFERROR(INDEX(user_table!$C$2:$C3686,MATCH(C2448,user_table!$B$2:$B3686,0)),"")
</f>
        <v>Dewi Hidayat</v>
      </c>
      <c r="E2448" s="6" t="str">
        <f t="array" ref="E2448">IFERROR(INDEX(user_table!$E$2:$E3686,MATCH(C2448,user_table!$B$2:$B3686,0)),"")
</f>
        <v>2, 2</v>
      </c>
      <c r="F2448" s="6" t="str">
        <f t="shared" si="2"/>
        <v>14211497</v>
      </c>
      <c r="G2448" s="16">
        <v>1.0</v>
      </c>
      <c r="H2448" s="17">
        <v>45064.0</v>
      </c>
      <c r="I2448" s="18" t="s">
        <v>2407</v>
      </c>
    </row>
    <row r="2449">
      <c r="A2449" s="5" t="str">
        <f t="array" ref="A2449">INDEX(event_table!$A$2:$A$69, RANDBETWEEN(1, COUNTA(event_table!$A$2:$A$69)))</f>
        <v>1425</v>
      </c>
      <c r="B2449" s="6">
        <f t="array" ref="B2449">IFERROR(INDEX(event_table!$E$1:$E3686,MATCH(A2449,event_table!$A$1:$A3686,0)),"")
</f>
        <v>4</v>
      </c>
      <c r="C2449" s="7">
        <f t="shared" si="1"/>
        <v>107</v>
      </c>
      <c r="D2449" s="6" t="str">
        <f t="array" ref="D2449">IFERROR(INDEX(user_table!$C$2:$C3686,MATCH(C2449,user_table!$B$2:$B3686,0)),"")
</f>
        <v>Citra Rahayu</v>
      </c>
      <c r="E2449" s="6" t="str">
        <f t="array" ref="E2449">IFERROR(INDEX(user_table!$E$2:$E3686,MATCH(C2449,user_table!$B$2:$B3686,0)),"")
</f>
        <v>1, 5</v>
      </c>
      <c r="F2449" s="6" t="str">
        <f t="shared" si="2"/>
        <v>142514107</v>
      </c>
      <c r="G2449" s="16">
        <v>1.0</v>
      </c>
      <c r="H2449" s="17">
        <v>45056.0</v>
      </c>
      <c r="I2449" s="18" t="s">
        <v>2408</v>
      </c>
    </row>
    <row r="2450">
      <c r="A2450" s="5" t="str">
        <f t="array" ref="A2450">INDEX(event_table!$A$2:$A$69, RANDBETWEEN(1, COUNTA(event_table!$A$2:$A$69)))</f>
        <v>115</v>
      </c>
      <c r="B2450" s="6">
        <f t="array" ref="B2450">IFERROR(INDEX(event_table!$E$1:$E3686,MATCH(A2450,event_table!$A$1:$A3686,0)),"")
</f>
        <v>1</v>
      </c>
      <c r="C2450" s="7">
        <f t="shared" si="1"/>
        <v>147</v>
      </c>
      <c r="D2450" s="6" t="str">
        <f t="array" ref="D2450">IFERROR(INDEX(user_table!$C$2:$C3686,MATCH(C2450,user_table!$B$2:$B3686,0)),"")
</f>
        <v>Fajar Saputra</v>
      </c>
      <c r="E2450" s="6" t="str">
        <f t="array" ref="E2450">IFERROR(INDEX(user_table!$E$2:$E3686,MATCH(C2450,user_table!$B$2:$B3686,0)),"")
</f>
        <v>6, 2</v>
      </c>
      <c r="F2450" s="6" t="str">
        <f t="shared" si="2"/>
        <v>11511147</v>
      </c>
      <c r="G2450" s="16">
        <v>1.0</v>
      </c>
      <c r="H2450" s="17">
        <v>45037.0</v>
      </c>
      <c r="I2450" s="18" t="s">
        <v>2409</v>
      </c>
    </row>
    <row r="2451">
      <c r="A2451" s="5" t="str">
        <f t="array" ref="A2451">INDEX(event_table!$A$2:$A$69, RANDBETWEEN(1, COUNTA(event_table!$A$2:$A$69)))</f>
        <v>1110</v>
      </c>
      <c r="B2451" s="6">
        <f t="array" ref="B2451">IFERROR(INDEX(event_table!$E$1:$E3686,MATCH(A2451,event_table!$A$1:$A3686,0)),"")
</f>
        <v>1</v>
      </c>
      <c r="C2451" s="7">
        <f t="shared" si="1"/>
        <v>193</v>
      </c>
      <c r="D2451" s="6" t="str">
        <f t="array" ref="D2451">IFERROR(INDEX(user_table!$C$2:$C3686,MATCH(C2451,user_table!$B$2:$B3686,0)),"")
</f>
        <v>Dina Wijaya</v>
      </c>
      <c r="E2451" s="6" t="str">
        <f t="array" ref="E2451">IFERROR(INDEX(user_table!$E$2:$E3686,MATCH(C2451,user_table!$B$2:$B3686,0)),"")
</f>
        <v>4, 5</v>
      </c>
      <c r="F2451" s="6" t="str">
        <f t="shared" si="2"/>
        <v>111051193</v>
      </c>
      <c r="G2451" s="16">
        <v>5.0</v>
      </c>
      <c r="H2451" s="17">
        <v>44749.0</v>
      </c>
      <c r="I2451" s="18" t="s">
        <v>2410</v>
      </c>
    </row>
    <row r="2452">
      <c r="A2452" s="5" t="str">
        <f t="array" ref="A2452">INDEX(event_table!$A$2:$A$69, RANDBETWEEN(1, COUNTA(event_table!$A$2:$A$69)))</f>
        <v>3356</v>
      </c>
      <c r="B2452" s="6">
        <f t="array" ref="B2452">IFERROR(INDEX(event_table!$E$1:$E3686,MATCH(A2452,event_table!$A$1:$A3686,0)),"")
</f>
        <v>3</v>
      </c>
      <c r="C2452" s="7">
        <f t="shared" si="1"/>
        <v>188</v>
      </c>
      <c r="D2452" s="6" t="str">
        <f t="array" ref="D2452">IFERROR(INDEX(user_table!$C$2:$C3686,MATCH(C2452,user_table!$B$2:$B3686,0)),"")
</f>
        <v>Siti Setiawan</v>
      </c>
      <c r="E2452" s="6" t="str">
        <f t="array" ref="E2452">IFERROR(INDEX(user_table!$E$2:$E3686,MATCH(C2452,user_table!$B$2:$B3686,0)),"")
</f>
        <v>6, 6</v>
      </c>
      <c r="F2452" s="6" t="str">
        <f t="shared" si="2"/>
        <v>335653188</v>
      </c>
      <c r="G2452" s="16">
        <v>5.0</v>
      </c>
      <c r="H2452" s="17">
        <v>44735.0</v>
      </c>
      <c r="I2452" s="18" t="s">
        <v>2411</v>
      </c>
    </row>
    <row r="2453">
      <c r="A2453" s="5" t="str">
        <f t="array" ref="A2453">INDEX(event_table!$A$2:$A$69, RANDBETWEEN(1, COUNTA(event_table!$A$2:$A$69)))</f>
        <v>1645</v>
      </c>
      <c r="B2453" s="6">
        <f t="array" ref="B2453">IFERROR(INDEX(event_table!$E$1:$E3686,MATCH(A2453,event_table!$A$1:$A3686,0)),"")
</f>
        <v>6</v>
      </c>
      <c r="C2453" s="7">
        <f t="shared" si="1"/>
        <v>49</v>
      </c>
      <c r="D2453" s="6" t="str">
        <f t="array" ref="D2453">IFERROR(INDEX(user_table!$C$2:$C3686,MATCH(C2453,user_table!$B$2:$B3686,0)),"")
</f>
        <v>Fajar Hidayat</v>
      </c>
      <c r="E2453" s="6" t="str">
        <f t="array" ref="E2453">IFERROR(INDEX(user_table!$E$2:$E3686,MATCH(C2453,user_table!$B$2:$B3686,0)),"")
</f>
        <v>3, 1</v>
      </c>
      <c r="F2453" s="6" t="str">
        <f t="shared" si="2"/>
        <v>16455649</v>
      </c>
      <c r="G2453" s="16">
        <v>5.0</v>
      </c>
      <c r="H2453" s="17">
        <v>44709.0</v>
      </c>
      <c r="I2453" s="18" t="s">
        <v>2412</v>
      </c>
    </row>
    <row r="2454">
      <c r="A2454" s="5" t="str">
        <f t="array" ref="A2454">INDEX(event_table!$A$2:$A$69, RANDBETWEEN(1, COUNTA(event_table!$A$2:$A$69)))</f>
        <v>122</v>
      </c>
      <c r="B2454" s="6">
        <f t="array" ref="B2454">IFERROR(INDEX(event_table!$E$1:$E3686,MATCH(A2454,event_table!$A$1:$A3686,0)),"")
</f>
        <v>2</v>
      </c>
      <c r="C2454" s="7">
        <f t="shared" si="1"/>
        <v>113</v>
      </c>
      <c r="D2454" s="6" t="str">
        <f t="array" ref="D2454">IFERROR(INDEX(user_table!$C$2:$C3686,MATCH(C2454,user_table!$B$2:$B3686,0)),"")
</f>
        <v>Budi Wijaya</v>
      </c>
      <c r="E2454" s="6" t="str">
        <f t="array" ref="E2454">IFERROR(INDEX(user_table!$E$2:$E3686,MATCH(C2454,user_table!$B$2:$B3686,0)),"")
</f>
        <v>1, 5</v>
      </c>
      <c r="F2454" s="6" t="str">
        <f t="shared" si="2"/>
        <v>12252113</v>
      </c>
      <c r="G2454" s="16">
        <v>5.0</v>
      </c>
      <c r="H2454" s="17">
        <v>44704.0</v>
      </c>
      <c r="I2454" s="18" t="s">
        <v>2413</v>
      </c>
    </row>
    <row r="2455">
      <c r="A2455" s="5" t="str">
        <f t="array" ref="A2455">INDEX(event_table!$A$2:$A$69, RANDBETWEEN(1, COUNTA(event_table!$A$2:$A$69)))</f>
        <v>1417</v>
      </c>
      <c r="B2455" s="6">
        <f t="array" ref="B2455">IFERROR(INDEX(event_table!$E$1:$E3686,MATCH(A2455,event_table!$A$1:$A3686,0)),"")
</f>
        <v>4</v>
      </c>
      <c r="C2455" s="7">
        <f t="shared" si="1"/>
        <v>30</v>
      </c>
      <c r="D2455" s="6" t="str">
        <f t="array" ref="D2455">IFERROR(INDEX(user_table!$C$2:$C3686,MATCH(C2455,user_table!$B$2:$B3686,0)),"")
</f>
        <v>Fajar Kurniawan</v>
      </c>
      <c r="E2455" s="6" t="str">
        <f t="array" ref="E2455">IFERROR(INDEX(user_table!$E$2:$E3686,MATCH(C2455,user_table!$B$2:$B3686,0)),"")
</f>
        <v>5, 3</v>
      </c>
      <c r="F2455" s="6" t="str">
        <f t="shared" si="2"/>
        <v>14175430</v>
      </c>
      <c r="G2455" s="16">
        <v>5.0</v>
      </c>
      <c r="H2455" s="17">
        <v>44695.0</v>
      </c>
      <c r="I2455" s="18" t="s">
        <v>2414</v>
      </c>
    </row>
    <row r="2456">
      <c r="A2456" s="5" t="str">
        <f t="array" ref="A2456">INDEX(event_table!$A$2:$A$69, RANDBETWEEN(1, COUNTA(event_table!$A$2:$A$69)))</f>
        <v>1641</v>
      </c>
      <c r="B2456" s="6">
        <f t="array" ref="B2456">IFERROR(INDEX(event_table!$E$1:$E3686,MATCH(A2456,event_table!$A$1:$A3686,0)),"")
</f>
        <v>6</v>
      </c>
      <c r="C2456" s="7">
        <f t="shared" si="1"/>
        <v>19</v>
      </c>
      <c r="D2456" s="6" t="str">
        <f t="array" ref="D2456">IFERROR(INDEX(user_table!$C$2:$C3686,MATCH(C2456,user_table!$B$2:$B3686,0)),"")
</f>
        <v>Siti Purnama</v>
      </c>
      <c r="E2456" s="6" t="str">
        <f t="array" ref="E2456">IFERROR(INDEX(user_table!$E$2:$E3686,MATCH(C2456,user_table!$B$2:$B3686,0)),"")
</f>
        <v>2, 1</v>
      </c>
      <c r="F2456" s="6" t="str">
        <f t="shared" si="2"/>
        <v>16415619</v>
      </c>
      <c r="G2456" s="16">
        <v>5.0</v>
      </c>
      <c r="H2456" s="17">
        <v>45249.0</v>
      </c>
      <c r="I2456" s="18" t="s">
        <v>2048</v>
      </c>
    </row>
    <row r="2457">
      <c r="A2457" s="5" t="str">
        <f t="array" ref="A2457">INDEX(event_table!$A$2:$A$69, RANDBETWEEN(1, COUNTA(event_table!$A$2:$A$69)))</f>
        <v>115</v>
      </c>
      <c r="B2457" s="6">
        <f t="array" ref="B2457">IFERROR(INDEX(event_table!$E$1:$E3686,MATCH(A2457,event_table!$A$1:$A3686,0)),"")
</f>
        <v>1</v>
      </c>
      <c r="C2457" s="7">
        <f t="shared" si="1"/>
        <v>158</v>
      </c>
      <c r="D2457" s="6" t="str">
        <f t="array" ref="D2457">IFERROR(INDEX(user_table!$C$2:$C3686,MATCH(C2457,user_table!$B$2:$B3686,0)),"")
</f>
        <v>Maya Wijaya</v>
      </c>
      <c r="E2457" s="6" t="str">
        <f t="array" ref="E2457">IFERROR(INDEX(user_table!$E$2:$E3686,MATCH(C2457,user_table!$B$2:$B3686,0)),"")
</f>
        <v>3, 4</v>
      </c>
      <c r="F2457" s="6" t="str">
        <f t="shared" si="2"/>
        <v>11551158</v>
      </c>
      <c r="G2457" s="16">
        <v>5.0</v>
      </c>
      <c r="H2457" s="17">
        <v>45198.0</v>
      </c>
      <c r="I2457" s="18" t="s">
        <v>2415</v>
      </c>
    </row>
    <row r="2458">
      <c r="A2458" s="5" t="str">
        <f t="array" ref="A2458">INDEX(event_table!$A$2:$A$69, RANDBETWEEN(1, COUNTA(event_table!$A$2:$A$69)))</f>
        <v>3169</v>
      </c>
      <c r="B2458" s="6">
        <f t="array" ref="B2458">IFERROR(INDEX(event_table!$E$1:$E3686,MATCH(A2458,event_table!$A$1:$A3686,0)),"")
</f>
        <v>1</v>
      </c>
      <c r="C2458" s="7">
        <f t="shared" si="1"/>
        <v>149</v>
      </c>
      <c r="D2458" s="6" t="str">
        <f t="array" ref="D2458">IFERROR(INDEX(user_table!$C$2:$C3686,MATCH(C2458,user_table!$B$2:$B3686,0)),"")
</f>
        <v>Dian Setiawan</v>
      </c>
      <c r="E2458" s="6" t="str">
        <f t="array" ref="E2458">IFERROR(INDEX(user_table!$E$2:$E3686,MATCH(C2458,user_table!$B$2:$B3686,0)),"")
</f>
        <v>2, 4</v>
      </c>
      <c r="F2458" s="6" t="str">
        <f t="shared" si="2"/>
        <v>316951149</v>
      </c>
      <c r="G2458" s="16">
        <v>5.0</v>
      </c>
      <c r="H2458" s="17">
        <v>45093.0</v>
      </c>
      <c r="I2458" s="18" t="s">
        <v>2416</v>
      </c>
    </row>
    <row r="2459">
      <c r="A2459" s="5" t="str">
        <f t="array" ref="A2459">INDEX(event_table!$A$2:$A$69, RANDBETWEEN(1, COUNTA(event_table!$A$2:$A$69)))</f>
        <v>3169</v>
      </c>
      <c r="B2459" s="6">
        <f t="array" ref="B2459">IFERROR(INDEX(event_table!$E$1:$E3686,MATCH(A2459,event_table!$A$1:$A3686,0)),"")
</f>
        <v>1</v>
      </c>
      <c r="C2459" s="7">
        <f t="shared" si="1"/>
        <v>193</v>
      </c>
      <c r="D2459" s="6" t="str">
        <f t="array" ref="D2459">IFERROR(INDEX(user_table!$C$2:$C3686,MATCH(C2459,user_table!$B$2:$B3686,0)),"")
</f>
        <v>Dina Wijaya</v>
      </c>
      <c r="E2459" s="6" t="str">
        <f t="array" ref="E2459">IFERROR(INDEX(user_table!$E$2:$E3686,MATCH(C2459,user_table!$B$2:$B3686,0)),"")
</f>
        <v>4, 5</v>
      </c>
      <c r="F2459" s="6" t="str">
        <f t="shared" si="2"/>
        <v>316951193</v>
      </c>
      <c r="G2459" s="16">
        <v>5.0</v>
      </c>
      <c r="H2459" s="17">
        <v>45070.0</v>
      </c>
      <c r="I2459" s="18" t="s">
        <v>77</v>
      </c>
    </row>
    <row r="2460">
      <c r="A2460" s="5" t="str">
        <f t="array" ref="A2460">INDEX(event_table!$A$2:$A$69, RANDBETWEEN(1, COUNTA(event_table!$A$2:$A$69)))</f>
        <v>1531</v>
      </c>
      <c r="B2460" s="6">
        <f t="array" ref="B2460">IFERROR(INDEX(event_table!$E$1:$E3686,MATCH(A2460,event_table!$A$1:$A3686,0)),"")
</f>
        <v>5</v>
      </c>
      <c r="C2460" s="7">
        <f t="shared" si="1"/>
        <v>33</v>
      </c>
      <c r="D2460" s="6" t="str">
        <f t="array" ref="D2460">IFERROR(INDEX(user_table!$C$2:$C3686,MATCH(C2460,user_table!$B$2:$B3686,0)),"")
</f>
        <v>Dewi Wijaya</v>
      </c>
      <c r="E2460" s="6" t="str">
        <f t="array" ref="E2460">IFERROR(INDEX(user_table!$E$2:$E3686,MATCH(C2460,user_table!$B$2:$B3686,0)),"")
</f>
        <v>4, 2</v>
      </c>
      <c r="F2460" s="6" t="str">
        <f t="shared" si="2"/>
        <v>15315533</v>
      </c>
      <c r="G2460" s="16">
        <v>5.0</v>
      </c>
      <c r="H2460" s="17">
        <v>45045.0</v>
      </c>
      <c r="I2460" s="18" t="s">
        <v>2417</v>
      </c>
    </row>
    <row r="2461">
      <c r="A2461" s="5" t="str">
        <f t="array" ref="A2461">INDEX(event_table!$A$2:$A$69, RANDBETWEEN(1, COUNTA(event_table!$A$2:$A$69)))</f>
        <v>111</v>
      </c>
      <c r="B2461" s="6">
        <f t="array" ref="B2461">IFERROR(INDEX(event_table!$E$1:$E3686,MATCH(A2461,event_table!$A$1:$A3686,0)),"")
</f>
        <v>1</v>
      </c>
      <c r="C2461" s="7">
        <f t="shared" si="1"/>
        <v>167</v>
      </c>
      <c r="D2461" s="6" t="str">
        <f t="array" ref="D2461">IFERROR(INDEX(user_table!$C$2:$C3686,MATCH(C2461,user_table!$B$2:$B3686,0)),"")
</f>
        <v>Fandi Hermawan</v>
      </c>
      <c r="E2461" s="6" t="str">
        <f t="array" ref="E2461">IFERROR(INDEX(user_table!$E$2:$E3686,MATCH(C2461,user_table!$B$2:$B3686,0)),"")
</f>
        <v>3, 1</v>
      </c>
      <c r="F2461" s="6" t="str">
        <f t="shared" si="2"/>
        <v>11151167</v>
      </c>
      <c r="G2461" s="16">
        <v>5.0</v>
      </c>
      <c r="H2461" s="17">
        <v>44844.0</v>
      </c>
      <c r="I2461" s="18" t="s">
        <v>2418</v>
      </c>
    </row>
    <row r="2462">
      <c r="A2462" s="5" t="str">
        <f t="array" ref="A2462">INDEX(event_table!$A$2:$A$69, RANDBETWEEN(1, COUNTA(event_table!$A$2:$A$69)))</f>
        <v>1418</v>
      </c>
      <c r="B2462" s="6">
        <f t="array" ref="B2462">IFERROR(INDEX(event_table!$E$1:$E3686,MATCH(A2462,event_table!$A$1:$A3686,0)),"")
</f>
        <v>4</v>
      </c>
      <c r="C2462" s="7">
        <f t="shared" si="1"/>
        <v>13</v>
      </c>
      <c r="D2462" s="6" t="str">
        <f t="array" ref="D2462">IFERROR(INDEX(user_table!$C$2:$C3686,MATCH(C2462,user_table!$B$2:$B3686,0)),"")
</f>
        <v>Hadi Kurniawan</v>
      </c>
      <c r="E2462" s="6" t="str">
        <f t="array" ref="E2462">IFERROR(INDEX(user_table!$E$2:$E3686,MATCH(C2462,user_table!$B$2:$B3686,0)),"")
</f>
        <v>4, 3</v>
      </c>
      <c r="F2462" s="6" t="str">
        <f t="shared" si="2"/>
        <v>14185413</v>
      </c>
      <c r="G2462" s="16">
        <v>5.0</v>
      </c>
      <c r="H2462" s="17">
        <v>44835.0</v>
      </c>
      <c r="I2462" s="18" t="s">
        <v>2419</v>
      </c>
    </row>
    <row r="2463">
      <c r="A2463" s="5" t="str">
        <f t="array" ref="A2463">INDEX(event_table!$A$2:$A$69, RANDBETWEEN(1, COUNTA(event_table!$A$2:$A$69)))</f>
        <v>1519</v>
      </c>
      <c r="B2463" s="6">
        <f t="array" ref="B2463">IFERROR(INDEX(event_table!$E$1:$E3686,MATCH(A2463,event_table!$A$1:$A3686,0)),"")
</f>
        <v>5</v>
      </c>
      <c r="C2463" s="7">
        <f t="shared" si="1"/>
        <v>41</v>
      </c>
      <c r="D2463" s="6" t="str">
        <f t="array" ref="D2463">IFERROR(INDEX(user_table!$C$2:$C3686,MATCH(C2463,user_table!$B$2:$B3686,0)),"")
</f>
        <v>Wahyu Susanto</v>
      </c>
      <c r="E2463" s="6" t="str">
        <f t="array" ref="E2463">IFERROR(INDEX(user_table!$E$2:$E3686,MATCH(C2463,user_table!$B$2:$B3686,0)),"")
</f>
        <v>5, 4</v>
      </c>
      <c r="F2463" s="6" t="str">
        <f t="shared" si="2"/>
        <v>15195541</v>
      </c>
      <c r="G2463" s="16">
        <v>5.0</v>
      </c>
      <c r="H2463" s="17">
        <v>44788.0</v>
      </c>
      <c r="I2463" s="18" t="s">
        <v>2420</v>
      </c>
    </row>
    <row r="2464">
      <c r="A2464" s="5" t="str">
        <f t="array" ref="A2464">INDEX(event_table!$A$2:$A$69, RANDBETWEEN(1, COUNTA(event_table!$A$2:$A$69)))</f>
        <v>1528</v>
      </c>
      <c r="B2464" s="6">
        <f t="array" ref="B2464">IFERROR(INDEX(event_table!$E$1:$E3686,MATCH(A2464,event_table!$A$1:$A3686,0)),"")
</f>
        <v>5</v>
      </c>
      <c r="C2464" s="7">
        <f t="shared" si="1"/>
        <v>164</v>
      </c>
      <c r="D2464" s="6" t="str">
        <f t="array" ref="D2464">IFERROR(INDEX(user_table!$C$2:$C3686,MATCH(C2464,user_table!$B$2:$B3686,0)),"")
</f>
        <v>Bambang Purnama</v>
      </c>
      <c r="E2464" s="6" t="str">
        <f t="array" ref="E2464">IFERROR(INDEX(user_table!$E$2:$E3686,MATCH(C2464,user_table!$B$2:$B3686,0)),"")
</f>
        <v>2, 3</v>
      </c>
      <c r="F2464" s="6" t="str">
        <f t="shared" si="2"/>
        <v>152855164</v>
      </c>
      <c r="G2464" s="16">
        <v>5.0</v>
      </c>
      <c r="H2464" s="17">
        <v>44738.0</v>
      </c>
      <c r="I2464" s="18" t="s">
        <v>2421</v>
      </c>
    </row>
    <row r="2465">
      <c r="A2465" s="5" t="str">
        <f t="array" ref="A2465">INDEX(event_table!$A$2:$A$69, RANDBETWEEN(1, COUNTA(event_table!$A$2:$A$69)))</f>
        <v>1529</v>
      </c>
      <c r="B2465" s="6">
        <f t="array" ref="B2465">IFERROR(INDEX(event_table!$E$1:$E3686,MATCH(A2465,event_table!$A$1:$A3686,0)),"")
</f>
        <v>5</v>
      </c>
      <c r="C2465" s="7">
        <f t="shared" si="1"/>
        <v>158</v>
      </c>
      <c r="D2465" s="6" t="str">
        <f t="array" ref="D2465">IFERROR(INDEX(user_table!$C$2:$C3686,MATCH(C2465,user_table!$B$2:$B3686,0)),"")
</f>
        <v>Maya Wijaya</v>
      </c>
      <c r="E2465" s="6" t="str">
        <f t="array" ref="E2465">IFERROR(INDEX(user_table!$E$2:$E3686,MATCH(C2465,user_table!$B$2:$B3686,0)),"")
</f>
        <v>3, 4</v>
      </c>
      <c r="F2465" s="6" t="str">
        <f t="shared" si="2"/>
        <v>152955158</v>
      </c>
      <c r="G2465" s="16">
        <v>5.0</v>
      </c>
      <c r="H2465" s="17">
        <v>44704.0</v>
      </c>
      <c r="I2465" s="18" t="s">
        <v>1731</v>
      </c>
    </row>
    <row r="2466">
      <c r="A2466" s="5" t="str">
        <f t="array" ref="A2466">INDEX(event_table!$A$2:$A$69, RANDBETWEEN(1, COUNTA(event_table!$A$2:$A$69)))</f>
        <v>1334</v>
      </c>
      <c r="B2466" s="6">
        <f t="array" ref="B2466">IFERROR(INDEX(event_table!$E$1:$E3686,MATCH(A2466,event_table!$A$1:$A3686,0)),"")
</f>
        <v>3</v>
      </c>
      <c r="C2466" s="7">
        <f t="shared" si="1"/>
        <v>65</v>
      </c>
      <c r="D2466" s="6" t="str">
        <f t="array" ref="D2466">IFERROR(INDEX(user_table!$C$2:$C3686,MATCH(C2466,user_table!$B$2:$B3686,0)),"")
</f>
        <v>Siti Pratama</v>
      </c>
      <c r="E2466" s="6" t="str">
        <f t="array" ref="E2466">IFERROR(INDEX(user_table!$E$2:$E3686,MATCH(C2466,user_table!$B$2:$B3686,0)),"")
</f>
        <v>5, 6</v>
      </c>
      <c r="F2466" s="6" t="str">
        <f t="shared" si="2"/>
        <v>13344365</v>
      </c>
      <c r="G2466" s="16">
        <v>4.0</v>
      </c>
      <c r="H2466" s="17">
        <v>45105.0</v>
      </c>
      <c r="I2466" s="18" t="s">
        <v>2422</v>
      </c>
    </row>
    <row r="2467">
      <c r="A2467" s="5" t="str">
        <f t="array" ref="A2467">INDEX(event_table!$A$2:$A$69, RANDBETWEEN(1, COUNTA(event_table!$A$2:$A$69)))</f>
        <v>3657</v>
      </c>
      <c r="B2467" s="6">
        <f t="array" ref="B2467">IFERROR(INDEX(event_table!$E$1:$E3686,MATCH(A2467,event_table!$A$1:$A3686,0)),"")
</f>
        <v>6</v>
      </c>
      <c r="C2467" s="7">
        <f t="shared" si="1"/>
        <v>114</v>
      </c>
      <c r="D2467" s="6" t="str">
        <f t="array" ref="D2467">IFERROR(INDEX(user_table!$C$2:$C3686,MATCH(C2467,user_table!$B$2:$B3686,0)),"")
</f>
        <v>Ani Sari</v>
      </c>
      <c r="E2467" s="6" t="str">
        <f t="array" ref="E2467">IFERROR(INDEX(user_table!$E$2:$E3686,MATCH(C2467,user_table!$B$2:$B3686,0)),"")
</f>
        <v>4, 3</v>
      </c>
      <c r="F2467" s="6" t="str">
        <f t="shared" si="2"/>
        <v>365746114</v>
      </c>
      <c r="G2467" s="16">
        <v>4.0</v>
      </c>
      <c r="H2467" s="17">
        <v>45057.0</v>
      </c>
      <c r="I2467" s="18" t="s">
        <v>2423</v>
      </c>
    </row>
    <row r="2468">
      <c r="A2468" s="5" t="str">
        <f t="array" ref="A2468">INDEX(event_table!$A$2:$A$69, RANDBETWEEN(1, COUNTA(event_table!$A$2:$A$69)))</f>
        <v>1639</v>
      </c>
      <c r="B2468" s="6">
        <f t="array" ref="B2468">IFERROR(INDEX(event_table!$E$1:$E3686,MATCH(A2468,event_table!$A$1:$A3686,0)),"")
</f>
        <v>6</v>
      </c>
      <c r="C2468" s="7">
        <f t="shared" si="1"/>
        <v>24</v>
      </c>
      <c r="D2468" s="6" t="str">
        <f t="array" ref="D2468">IFERROR(INDEX(user_table!$C$2:$C3686,MATCH(C2468,user_table!$B$2:$B3686,0)),"")
</f>
        <v>Andi Septiani</v>
      </c>
      <c r="E2468" s="6" t="str">
        <f t="array" ref="E2468">IFERROR(INDEX(user_table!$E$2:$E3686,MATCH(C2468,user_table!$B$2:$B3686,0)),"")
</f>
        <v>2, 2</v>
      </c>
      <c r="F2468" s="6" t="str">
        <f t="shared" si="2"/>
        <v>16394624</v>
      </c>
      <c r="G2468" s="16">
        <v>4.0</v>
      </c>
      <c r="H2468" s="17">
        <v>44783.0</v>
      </c>
      <c r="I2468" s="18" t="s">
        <v>2424</v>
      </c>
    </row>
    <row r="2469">
      <c r="A2469" s="5" t="str">
        <f t="array" ref="A2469">INDEX(event_table!$A$2:$A$69, RANDBETWEEN(1, COUNTA(event_table!$A$2:$A$69)))</f>
        <v>1530</v>
      </c>
      <c r="B2469" s="6">
        <f t="array" ref="B2469">IFERROR(INDEX(event_table!$E$1:$E3686,MATCH(A2469,event_table!$A$1:$A3686,0)),"")
</f>
        <v>5</v>
      </c>
      <c r="C2469" s="7">
        <f t="shared" si="1"/>
        <v>109</v>
      </c>
      <c r="D2469" s="6" t="str">
        <f t="array" ref="D2469">IFERROR(INDEX(user_table!$C$2:$C3686,MATCH(C2469,user_table!$B$2:$B3686,0)),"")
</f>
        <v>Ani Sari</v>
      </c>
      <c r="E2469" s="6" t="str">
        <f t="array" ref="E2469">IFERROR(INDEX(user_table!$E$2:$E3686,MATCH(C2469,user_table!$B$2:$B3686,0)),"")
</f>
        <v>4, 5</v>
      </c>
      <c r="F2469" s="6" t="str">
        <f t="shared" si="2"/>
        <v>153035109</v>
      </c>
      <c r="G2469" s="16">
        <v>3.0</v>
      </c>
      <c r="H2469" s="17">
        <v>45112.0</v>
      </c>
      <c r="I2469" s="18" t="s">
        <v>2425</v>
      </c>
    </row>
    <row r="2470">
      <c r="A2470" s="5" t="str">
        <f t="array" ref="A2470">INDEX(event_table!$A$2:$A$69, RANDBETWEEN(1, COUNTA(event_table!$A$2:$A$69)))</f>
        <v>1313</v>
      </c>
      <c r="B2470" s="6">
        <f t="array" ref="B2470">IFERROR(INDEX(event_table!$E$1:$E3686,MATCH(A2470,event_table!$A$1:$A3686,0)),"")
</f>
        <v>3</v>
      </c>
      <c r="C2470" s="7">
        <f t="shared" si="1"/>
        <v>122</v>
      </c>
      <c r="D2470" s="6" t="str">
        <f t="array" ref="D2470">IFERROR(INDEX(user_table!$C$2:$C3686,MATCH(C2470,user_table!$B$2:$B3686,0)),"")
</f>
        <v>Maya Setiawan</v>
      </c>
      <c r="E2470" s="6" t="str">
        <f t="array" ref="E2470">IFERROR(INDEX(user_table!$E$2:$E3686,MATCH(C2470,user_table!$B$2:$B3686,0)),"")
</f>
        <v>2, 3</v>
      </c>
      <c r="F2470" s="6" t="str">
        <f t="shared" si="2"/>
        <v>131333122</v>
      </c>
      <c r="G2470" s="16">
        <v>3.0</v>
      </c>
      <c r="H2470" s="17">
        <v>45261.0</v>
      </c>
      <c r="I2470" s="18" t="s">
        <v>914</v>
      </c>
    </row>
    <row r="2471">
      <c r="A2471" s="5" t="str">
        <f t="array" ref="A2471">INDEX(event_table!$A$2:$A$69, RANDBETWEEN(1, COUNTA(event_table!$A$2:$A$69)))</f>
        <v>1422</v>
      </c>
      <c r="B2471" s="6">
        <f t="array" ref="B2471">IFERROR(INDEX(event_table!$E$1:$E3686,MATCH(A2471,event_table!$A$1:$A3686,0)),"")
</f>
        <v>4</v>
      </c>
      <c r="C2471" s="7">
        <f t="shared" si="1"/>
        <v>163</v>
      </c>
      <c r="D2471" s="6" t="str">
        <f t="array" ref="D2471">IFERROR(INDEX(user_table!$C$2:$C3686,MATCH(C2471,user_table!$B$2:$B3686,0)),"")
</f>
        <v>Budi Susanto</v>
      </c>
      <c r="E2471" s="6" t="str">
        <f t="array" ref="E2471">IFERROR(INDEX(user_table!$E$2:$E3686,MATCH(C2471,user_table!$B$2:$B3686,0)),"")
</f>
        <v>6, 3</v>
      </c>
      <c r="F2471" s="6" t="str">
        <f t="shared" si="2"/>
        <v>142234163</v>
      </c>
      <c r="G2471" s="16">
        <v>3.0</v>
      </c>
      <c r="H2471" s="17">
        <v>45219.0</v>
      </c>
      <c r="I2471" s="18" t="s">
        <v>2426</v>
      </c>
    </row>
    <row r="2472">
      <c r="A2472" s="5" t="str">
        <f t="array" ref="A2472">INDEX(event_table!$A$2:$A$69, RANDBETWEEN(1, COUNTA(event_table!$A$2:$A$69)))</f>
        <v>1531</v>
      </c>
      <c r="B2472" s="6">
        <f t="array" ref="B2472">IFERROR(INDEX(event_table!$E$1:$E3686,MATCH(A2472,event_table!$A$1:$A3686,0)),"")
</f>
        <v>5</v>
      </c>
      <c r="C2472" s="7">
        <f t="shared" si="1"/>
        <v>175</v>
      </c>
      <c r="D2472" s="6" t="str">
        <f t="array" ref="D2472">IFERROR(INDEX(user_table!$C$2:$C3686,MATCH(C2472,user_table!$B$2:$B3686,0)),"")
</f>
        <v>Siti Septiani</v>
      </c>
      <c r="E2472" s="6" t="str">
        <f t="array" ref="E2472">IFERROR(INDEX(user_table!$E$2:$E3686,MATCH(C2472,user_table!$B$2:$B3686,0)),"")
</f>
        <v>2, 5</v>
      </c>
      <c r="F2472" s="6" t="str">
        <f t="shared" si="2"/>
        <v>153135175</v>
      </c>
      <c r="G2472" s="16">
        <v>3.0</v>
      </c>
      <c r="H2472" s="17">
        <v>45194.0</v>
      </c>
      <c r="I2472" s="18" t="s">
        <v>2427</v>
      </c>
    </row>
    <row r="2473">
      <c r="A2473" s="5" t="str">
        <f t="array" ref="A2473">INDEX(event_table!$A$2:$A$69, RANDBETWEEN(1, COUNTA(event_table!$A$2:$A$69)))</f>
        <v>1111</v>
      </c>
      <c r="B2473" s="6">
        <f t="array" ref="B2473">IFERROR(INDEX(event_table!$E$1:$E3686,MATCH(A2473,event_table!$A$1:$A3686,0)),"")
</f>
        <v>1</v>
      </c>
      <c r="C2473" s="7">
        <f t="shared" si="1"/>
        <v>103</v>
      </c>
      <c r="D2473" s="6" t="str">
        <f t="array" ref="D2473">IFERROR(INDEX(user_table!$C$2:$C3686,MATCH(C2473,user_table!$B$2:$B3686,0)),"")
</f>
        <v>Hadi Sari</v>
      </c>
      <c r="E2473" s="6" t="str">
        <f t="array" ref="E2473">IFERROR(INDEX(user_table!$E$2:$E3686,MATCH(C2473,user_table!$B$2:$B3686,0)),"")
</f>
        <v>3, 1</v>
      </c>
      <c r="F2473" s="6" t="str">
        <f t="shared" si="2"/>
        <v>111131103</v>
      </c>
      <c r="G2473" s="16">
        <v>3.0</v>
      </c>
      <c r="H2473" s="17">
        <v>45135.0</v>
      </c>
      <c r="I2473" s="18" t="s">
        <v>2428</v>
      </c>
    </row>
    <row r="2474">
      <c r="A2474" s="5" t="str">
        <f t="array" ref="A2474">INDEX(event_table!$A$2:$A$69, RANDBETWEEN(1, COUNTA(event_table!$A$2:$A$69)))</f>
        <v>1332</v>
      </c>
      <c r="B2474" s="6">
        <f t="array" ref="B2474">IFERROR(INDEX(event_table!$E$1:$E3686,MATCH(A2474,event_table!$A$1:$A3686,0)),"")
</f>
        <v>3</v>
      </c>
      <c r="C2474" s="7">
        <f t="shared" si="1"/>
        <v>111</v>
      </c>
      <c r="D2474" s="6" t="str">
        <f t="array" ref="D2474">IFERROR(INDEX(user_table!$C$2:$C3686,MATCH(C2474,user_table!$B$2:$B3686,0)),"")
</f>
        <v>Hadi Kurniawan</v>
      </c>
      <c r="E2474" s="6" t="str">
        <f t="array" ref="E2474">IFERROR(INDEX(user_table!$E$2:$E3686,MATCH(C2474,user_table!$B$2:$B3686,0)),"")
</f>
        <v>3, 4</v>
      </c>
      <c r="F2474" s="6" t="str">
        <f t="shared" si="2"/>
        <v>133233111</v>
      </c>
      <c r="G2474" s="16">
        <v>3.0</v>
      </c>
      <c r="H2474" s="17">
        <v>45131.0</v>
      </c>
      <c r="I2474" s="18" t="s">
        <v>2429</v>
      </c>
    </row>
    <row r="2475">
      <c r="A2475" s="5" t="str">
        <f t="array" ref="A2475">INDEX(event_table!$A$2:$A$69, RANDBETWEEN(1, COUNTA(event_table!$A$2:$A$69)))</f>
        <v>114</v>
      </c>
      <c r="B2475" s="6">
        <f t="array" ref="B2475">IFERROR(INDEX(event_table!$E$1:$E3686,MATCH(A2475,event_table!$A$1:$A3686,0)),"")
</f>
        <v>1</v>
      </c>
      <c r="C2475" s="7">
        <f t="shared" si="1"/>
        <v>190</v>
      </c>
      <c r="D2475" s="6" t="str">
        <f t="array" ref="D2475">IFERROR(INDEX(user_table!$C$2:$C3686,MATCH(C2475,user_table!$B$2:$B3686,0)),"")
</f>
        <v>Fajar Santoso</v>
      </c>
      <c r="E2475" s="6" t="str">
        <f t="array" ref="E2475">IFERROR(INDEX(user_table!$E$2:$E3686,MATCH(C2475,user_table!$B$2:$B3686,0)),"")
</f>
        <v>1, 3</v>
      </c>
      <c r="F2475" s="6" t="str">
        <f t="shared" si="2"/>
        <v>11431190</v>
      </c>
      <c r="G2475" s="16">
        <v>3.0</v>
      </c>
      <c r="H2475" s="17">
        <v>45109.0</v>
      </c>
      <c r="I2475" s="18" t="s">
        <v>2430</v>
      </c>
    </row>
    <row r="2476">
      <c r="A2476" s="5" t="str">
        <f t="array" ref="A2476">INDEX(event_table!$A$2:$A$69, RANDBETWEEN(1, COUNTA(event_table!$A$2:$A$69)))</f>
        <v>1110</v>
      </c>
      <c r="B2476" s="6">
        <f t="array" ref="B2476">IFERROR(INDEX(event_table!$E$1:$E3686,MATCH(A2476,event_table!$A$1:$A3686,0)),"")
</f>
        <v>1</v>
      </c>
      <c r="C2476" s="7">
        <f t="shared" si="1"/>
        <v>51</v>
      </c>
      <c r="D2476" s="6" t="str">
        <f t="array" ref="D2476">IFERROR(INDEX(user_table!$C$2:$C3686,MATCH(C2476,user_table!$B$2:$B3686,0)),"")
</f>
        <v>Fandi Pratama</v>
      </c>
      <c r="E2476" s="6" t="str">
        <f t="array" ref="E2476">IFERROR(INDEX(user_table!$E$2:$E3686,MATCH(C2476,user_table!$B$2:$B3686,0)),"")
</f>
        <v>2, 1</v>
      </c>
      <c r="F2476" s="6" t="str">
        <f t="shared" si="2"/>
        <v>11102151</v>
      </c>
      <c r="G2476" s="16">
        <v>2.0</v>
      </c>
      <c r="H2476" s="17">
        <v>44741.0</v>
      </c>
      <c r="I2476" s="18" t="s">
        <v>2431</v>
      </c>
    </row>
    <row r="2477">
      <c r="A2477" s="5" t="str">
        <f t="array" ref="A2477">INDEX(event_table!$A$2:$A$69, RANDBETWEEN(1, COUNTA(event_table!$A$2:$A$69)))</f>
        <v>122</v>
      </c>
      <c r="B2477" s="6">
        <f t="array" ref="B2477">IFERROR(INDEX(event_table!$E$1:$E3686,MATCH(A2477,event_table!$A$1:$A3686,0)),"")
</f>
        <v>2</v>
      </c>
      <c r="C2477" s="7">
        <f t="shared" si="1"/>
        <v>3</v>
      </c>
      <c r="D2477" s="6" t="str">
        <f t="array" ref="D2477">IFERROR(INDEX(user_table!$C$2:$C3686,MATCH(C2477,user_table!$B$2:$B3686,0)),"")
</f>
        <v>Fandi Wijaya</v>
      </c>
      <c r="E2477" s="6" t="str">
        <f t="array" ref="E2477">IFERROR(INDEX(user_table!$E$2:$E3686,MATCH(C2477,user_table!$B$2:$B3686,0)),"")
</f>
        <v>6, 1</v>
      </c>
      <c r="F2477" s="6" t="str">
        <f t="shared" si="2"/>
        <v>122223</v>
      </c>
      <c r="G2477" s="16">
        <v>2.0</v>
      </c>
      <c r="H2477" s="17">
        <v>44709.0</v>
      </c>
      <c r="I2477" s="18" t="s">
        <v>2432</v>
      </c>
    </row>
    <row r="2478">
      <c r="A2478" s="5" t="str">
        <f t="array" ref="A2478">INDEX(event_table!$A$2:$A$69, RANDBETWEEN(1, COUNTA(event_table!$A$2:$A$69)))</f>
        <v>1421</v>
      </c>
      <c r="B2478" s="6">
        <f t="array" ref="B2478">IFERROR(INDEX(event_table!$E$1:$E3686,MATCH(A2478,event_table!$A$1:$A3686,0)),"")
</f>
        <v>4</v>
      </c>
      <c r="C2478" s="7">
        <f t="shared" si="1"/>
        <v>23</v>
      </c>
      <c r="D2478" s="6" t="str">
        <f t="array" ref="D2478">IFERROR(INDEX(user_table!$C$2:$C3686,MATCH(C2478,user_table!$B$2:$B3686,0)),"")
</f>
        <v>Fajar Kusuma</v>
      </c>
      <c r="E2478" s="6" t="str">
        <f t="array" ref="E2478">IFERROR(INDEX(user_table!$E$2:$E3686,MATCH(C2478,user_table!$B$2:$B3686,0)),"")
</f>
        <v>4, 1</v>
      </c>
      <c r="F2478" s="6" t="str">
        <f t="shared" si="2"/>
        <v>14212423</v>
      </c>
      <c r="G2478" s="16">
        <v>2.0</v>
      </c>
      <c r="H2478" s="17">
        <v>44557.0</v>
      </c>
      <c r="I2478" s="18" t="s">
        <v>2433</v>
      </c>
    </row>
    <row r="2479">
      <c r="A2479" s="5" t="str">
        <f t="array" ref="A2479">INDEX(event_table!$A$2:$A$69, RANDBETWEEN(1, COUNTA(event_table!$A$2:$A$69)))</f>
        <v>1215</v>
      </c>
      <c r="B2479" s="6">
        <f t="array" ref="B2479">IFERROR(INDEX(event_table!$E$1:$E3686,MATCH(A2479,event_table!$A$1:$A3686,0)),"")
</f>
        <v>2</v>
      </c>
      <c r="C2479" s="7">
        <f t="shared" si="1"/>
        <v>96</v>
      </c>
      <c r="D2479" s="6" t="str">
        <f t="array" ref="D2479">IFERROR(INDEX(user_table!$C$2:$C3686,MATCH(C2479,user_table!$B$2:$B3686,0)),"")
</f>
        <v>Budi Sari</v>
      </c>
      <c r="E2479" s="6" t="str">
        <f t="array" ref="E2479">IFERROR(INDEX(user_table!$E$2:$E3686,MATCH(C2479,user_table!$B$2:$B3686,0)),"")
</f>
        <v>3, 2</v>
      </c>
      <c r="F2479" s="6" t="str">
        <f t="shared" si="2"/>
        <v>12152296</v>
      </c>
      <c r="G2479" s="16">
        <v>2.0</v>
      </c>
      <c r="H2479" s="17">
        <v>45231.0</v>
      </c>
      <c r="I2479" s="18" t="s">
        <v>2434</v>
      </c>
    </row>
    <row r="2480">
      <c r="A2480" s="5" t="str">
        <f t="array" ref="A2480">INDEX(event_table!$A$2:$A$69, RANDBETWEEN(1, COUNTA(event_table!$A$2:$A$69)))</f>
        <v>1651</v>
      </c>
      <c r="B2480" s="6">
        <f t="array" ref="B2480">IFERROR(INDEX(event_table!$E$1:$E3686,MATCH(A2480,event_table!$A$1:$A3686,0)),"")
</f>
        <v>6</v>
      </c>
      <c r="C2480" s="7">
        <f t="shared" si="1"/>
        <v>193</v>
      </c>
      <c r="D2480" s="6" t="str">
        <f t="array" ref="D2480">IFERROR(INDEX(user_table!$C$2:$C3686,MATCH(C2480,user_table!$B$2:$B3686,0)),"")
</f>
        <v>Dina Wijaya</v>
      </c>
      <c r="E2480" s="6" t="str">
        <f t="array" ref="E2480">IFERROR(INDEX(user_table!$E$2:$E3686,MATCH(C2480,user_table!$B$2:$B3686,0)),"")
</f>
        <v>4, 5</v>
      </c>
      <c r="F2480" s="6" t="str">
        <f t="shared" si="2"/>
        <v>165126193</v>
      </c>
      <c r="G2480" s="16">
        <v>2.0</v>
      </c>
      <c r="H2480" s="17">
        <v>45188.0</v>
      </c>
      <c r="I2480" s="18" t="s">
        <v>2435</v>
      </c>
    </row>
    <row r="2481">
      <c r="A2481" s="5" t="str">
        <f t="array" ref="A2481">INDEX(event_table!$A$2:$A$69, RANDBETWEEN(1, COUNTA(event_table!$A$2:$A$69)))</f>
        <v>1422</v>
      </c>
      <c r="B2481" s="6">
        <f t="array" ref="B2481">IFERROR(INDEX(event_table!$E$1:$E3686,MATCH(A2481,event_table!$A$1:$A3686,0)),"")
</f>
        <v>4</v>
      </c>
      <c r="C2481" s="7">
        <f t="shared" si="1"/>
        <v>27</v>
      </c>
      <c r="D2481" s="6" t="str">
        <f t="array" ref="D2481">IFERROR(INDEX(user_table!$C$2:$C3686,MATCH(C2481,user_table!$B$2:$B3686,0)),"")
</f>
        <v>Fandi Purnama</v>
      </c>
      <c r="E2481" s="6" t="str">
        <f t="array" ref="E2481">IFERROR(INDEX(user_table!$E$2:$E3686,MATCH(C2481,user_table!$B$2:$B3686,0)),"")
</f>
        <v>4, 6</v>
      </c>
      <c r="F2481" s="6" t="str">
        <f t="shared" si="2"/>
        <v>14222427</v>
      </c>
      <c r="G2481" s="16">
        <v>2.0</v>
      </c>
      <c r="H2481" s="17">
        <v>45184.0</v>
      </c>
      <c r="I2481" s="18" t="s">
        <v>2436</v>
      </c>
    </row>
    <row r="2482">
      <c r="A2482" s="5" t="str">
        <f t="array" ref="A2482">INDEX(event_table!$A$2:$A$69, RANDBETWEEN(1, COUNTA(event_table!$A$2:$A$69)))</f>
        <v>111</v>
      </c>
      <c r="B2482" s="6">
        <f t="array" ref="B2482">IFERROR(INDEX(event_table!$E$1:$E3686,MATCH(A2482,event_table!$A$1:$A3686,0)),"")
</f>
        <v>1</v>
      </c>
      <c r="C2482" s="7">
        <f t="shared" si="1"/>
        <v>109</v>
      </c>
      <c r="D2482" s="6" t="str">
        <f t="array" ref="D2482">IFERROR(INDEX(user_table!$C$2:$C3686,MATCH(C2482,user_table!$B$2:$B3686,0)),"")
</f>
        <v>Ani Sari</v>
      </c>
      <c r="E2482" s="6" t="str">
        <f t="array" ref="E2482">IFERROR(INDEX(user_table!$E$2:$E3686,MATCH(C2482,user_table!$B$2:$B3686,0)),"")
</f>
        <v>4, 5</v>
      </c>
      <c r="F2482" s="6" t="str">
        <f t="shared" si="2"/>
        <v>11121109</v>
      </c>
      <c r="G2482" s="16">
        <v>2.0</v>
      </c>
      <c r="H2482" s="17">
        <v>45159.0</v>
      </c>
      <c r="I2482" s="18" t="s">
        <v>2437</v>
      </c>
    </row>
    <row r="2483">
      <c r="A2483" s="5" t="str">
        <f t="array" ref="A2483">INDEX(event_table!$A$2:$A$69, RANDBETWEEN(1, COUNTA(event_table!$A$2:$A$69)))</f>
        <v>1313</v>
      </c>
      <c r="B2483" s="6">
        <f t="array" ref="B2483">IFERROR(INDEX(event_table!$E$1:$E3686,MATCH(A2483,event_table!$A$1:$A3686,0)),"")
</f>
        <v>3</v>
      </c>
      <c r="C2483" s="7">
        <f t="shared" si="1"/>
        <v>132</v>
      </c>
      <c r="D2483" s="6" t="str">
        <f t="array" ref="D2483">IFERROR(INDEX(user_table!$C$2:$C3686,MATCH(C2483,user_table!$B$2:$B3686,0)),"")
</f>
        <v>Joko Hartono</v>
      </c>
      <c r="E2483" s="6" t="str">
        <f t="array" ref="E2483">IFERROR(INDEX(user_table!$E$2:$E3686,MATCH(C2483,user_table!$B$2:$B3686,0)),"")
</f>
        <v>1, 3</v>
      </c>
      <c r="F2483" s="6" t="str">
        <f t="shared" si="2"/>
        <v>131323132</v>
      </c>
      <c r="G2483" s="16">
        <v>2.0</v>
      </c>
      <c r="H2483" s="17">
        <v>45142.0</v>
      </c>
      <c r="I2483" s="18" t="s">
        <v>40</v>
      </c>
    </row>
    <row r="2484">
      <c r="A2484" s="5" t="str">
        <f t="array" ref="A2484">INDEX(event_table!$A$2:$A$69, RANDBETWEEN(1, COUNTA(event_table!$A$2:$A$69)))</f>
        <v>1529</v>
      </c>
      <c r="B2484" s="6">
        <f t="array" ref="B2484">IFERROR(INDEX(event_table!$E$1:$E3686,MATCH(A2484,event_table!$A$1:$A3686,0)),"")
</f>
        <v>5</v>
      </c>
      <c r="C2484" s="7">
        <f t="shared" si="1"/>
        <v>185</v>
      </c>
      <c r="D2484" s="6" t="str">
        <f t="array" ref="D2484">IFERROR(INDEX(user_table!$C$2:$C3686,MATCH(C2484,user_table!$B$2:$B3686,0)),"")
</f>
        <v>Budi Wijaya</v>
      </c>
      <c r="E2484" s="6" t="str">
        <f t="array" ref="E2484">IFERROR(INDEX(user_table!$E$2:$E3686,MATCH(C2484,user_table!$B$2:$B3686,0)),"")
</f>
        <v>6, 3</v>
      </c>
      <c r="F2484" s="6" t="str">
        <f t="shared" si="2"/>
        <v>152925185</v>
      </c>
      <c r="G2484" s="16">
        <v>2.0</v>
      </c>
      <c r="H2484" s="17">
        <v>45134.0</v>
      </c>
      <c r="I2484" s="18" t="s">
        <v>2438</v>
      </c>
    </row>
    <row r="2485">
      <c r="A2485" s="5" t="str">
        <f t="array" ref="A2485">INDEX(event_table!$A$2:$A$69, RANDBETWEEN(1, COUNTA(event_table!$A$2:$A$69)))</f>
        <v>116</v>
      </c>
      <c r="B2485" s="6">
        <f t="array" ref="B2485">IFERROR(INDEX(event_table!$E$1:$E3686,MATCH(A2485,event_table!$A$1:$A3686,0)),"")
</f>
        <v>1</v>
      </c>
      <c r="C2485" s="7">
        <f t="shared" si="1"/>
        <v>32</v>
      </c>
      <c r="D2485" s="6" t="str">
        <f t="array" ref="D2485">IFERROR(INDEX(user_table!$C$2:$C3686,MATCH(C2485,user_table!$B$2:$B3686,0)),"")
</f>
        <v>Ani Setiawan</v>
      </c>
      <c r="E2485" s="6" t="str">
        <f t="array" ref="E2485">IFERROR(INDEX(user_table!$E$2:$E3686,MATCH(C2485,user_table!$B$2:$B3686,0)),"")
</f>
        <v>6, 3</v>
      </c>
      <c r="F2485" s="6" t="str">
        <f t="shared" si="2"/>
        <v>1162132</v>
      </c>
      <c r="G2485" s="16">
        <v>2.0</v>
      </c>
      <c r="H2485" s="17">
        <v>45083.0</v>
      </c>
      <c r="I2485" s="18" t="s">
        <v>2439</v>
      </c>
    </row>
    <row r="2486">
      <c r="A2486" s="5" t="str">
        <f t="array" ref="A2486">INDEX(event_table!$A$2:$A$69, RANDBETWEEN(1, COUNTA(event_table!$A$2:$A$69)))</f>
        <v>119</v>
      </c>
      <c r="B2486" s="6">
        <f t="array" ref="B2486">IFERROR(INDEX(event_table!$E$1:$E3686,MATCH(A2486,event_table!$A$1:$A3686,0)),"")
</f>
        <v>1</v>
      </c>
      <c r="C2486" s="7">
        <f t="shared" si="1"/>
        <v>48</v>
      </c>
      <c r="D2486" s="6" t="str">
        <f t="array" ref="D2486">IFERROR(INDEX(user_table!$C$2:$C3686,MATCH(C2486,user_table!$B$2:$B3686,0)),"")
</f>
        <v>Maya Kusuma</v>
      </c>
      <c r="E2486" s="6" t="str">
        <f t="array" ref="E2486">IFERROR(INDEX(user_table!$E$2:$E3686,MATCH(C2486,user_table!$B$2:$B3686,0)),"")
</f>
        <v>2, 3</v>
      </c>
      <c r="F2486" s="6" t="str">
        <f t="shared" si="2"/>
        <v>1192148</v>
      </c>
      <c r="G2486" s="16">
        <v>2.0</v>
      </c>
      <c r="H2486" s="17">
        <v>45079.0</v>
      </c>
      <c r="I2486" s="18" t="s">
        <v>2440</v>
      </c>
    </row>
    <row r="2487">
      <c r="A2487" s="5" t="str">
        <f t="array" ref="A2487">INDEX(event_table!$A$2:$A$69, RANDBETWEEN(1, COUNTA(event_table!$A$2:$A$69)))</f>
        <v>1530</v>
      </c>
      <c r="B2487" s="6">
        <f t="array" ref="B2487">IFERROR(INDEX(event_table!$E$1:$E3686,MATCH(A2487,event_table!$A$1:$A3686,0)),"")
</f>
        <v>5</v>
      </c>
      <c r="C2487" s="7">
        <f t="shared" si="1"/>
        <v>30</v>
      </c>
      <c r="D2487" s="6" t="str">
        <f t="array" ref="D2487">IFERROR(INDEX(user_table!$C$2:$C3686,MATCH(C2487,user_table!$B$2:$B3686,0)),"")
</f>
        <v>Fajar Kurniawan</v>
      </c>
      <c r="E2487" s="6" t="str">
        <f t="array" ref="E2487">IFERROR(INDEX(user_table!$E$2:$E3686,MATCH(C2487,user_table!$B$2:$B3686,0)),"")
</f>
        <v>5, 3</v>
      </c>
      <c r="F2487" s="6" t="str">
        <f t="shared" si="2"/>
        <v>15301530</v>
      </c>
      <c r="G2487" s="16">
        <v>1.0</v>
      </c>
      <c r="H2487" s="17">
        <v>45197.0</v>
      </c>
      <c r="I2487" s="18" t="s">
        <v>2441</v>
      </c>
    </row>
    <row r="2488">
      <c r="A2488" s="5" t="str">
        <f t="array" ref="A2488">INDEX(event_table!$A$2:$A$69, RANDBETWEEN(1, COUNTA(event_table!$A$2:$A$69)))</f>
        <v>1529</v>
      </c>
      <c r="B2488" s="6">
        <f t="array" ref="B2488">IFERROR(INDEX(event_table!$E$1:$E3686,MATCH(A2488,event_table!$A$1:$A3686,0)),"")
</f>
        <v>5</v>
      </c>
      <c r="C2488" s="7">
        <f t="shared" si="1"/>
        <v>135</v>
      </c>
      <c r="D2488" s="6" t="str">
        <f t="array" ref="D2488">IFERROR(INDEX(user_table!$C$2:$C3686,MATCH(C2488,user_table!$B$2:$B3686,0)),"")
</f>
        <v>Sinta Hermawan</v>
      </c>
      <c r="E2488" s="6" t="str">
        <f t="array" ref="E2488">IFERROR(INDEX(user_table!$E$2:$E3686,MATCH(C2488,user_table!$B$2:$B3686,0)),"")
</f>
        <v>1, 5</v>
      </c>
      <c r="F2488" s="6" t="str">
        <f t="shared" si="2"/>
        <v>152915135</v>
      </c>
      <c r="G2488" s="16">
        <v>1.0</v>
      </c>
      <c r="H2488" s="17">
        <v>45219.0</v>
      </c>
      <c r="I2488" s="18" t="s">
        <v>2442</v>
      </c>
    </row>
    <row r="2489">
      <c r="A2489" s="5" t="str">
        <f t="array" ref="A2489">INDEX(event_table!$A$2:$A$69, RANDBETWEEN(1, COUNTA(event_table!$A$2:$A$69)))</f>
        <v>3166</v>
      </c>
      <c r="B2489" s="6">
        <f t="array" ref="B2489">IFERROR(INDEX(event_table!$E$1:$E3686,MATCH(A2489,event_table!$A$1:$A3686,0)),"")
</f>
        <v>1</v>
      </c>
      <c r="C2489" s="7">
        <f t="shared" si="1"/>
        <v>56</v>
      </c>
      <c r="D2489" s="6" t="str">
        <f t="array" ref="D2489">IFERROR(INDEX(user_table!$C$2:$C3686,MATCH(C2489,user_table!$B$2:$B3686,0)),"")
</f>
        <v>Desi Putri</v>
      </c>
      <c r="E2489" s="6" t="str">
        <f t="array" ref="E2489">IFERROR(INDEX(user_table!$E$2:$E3686,MATCH(C2489,user_table!$B$2:$B3686,0)),"")
</f>
        <v>1, 3</v>
      </c>
      <c r="F2489" s="6" t="str">
        <f t="shared" si="2"/>
        <v>31661156</v>
      </c>
      <c r="G2489" s="16">
        <v>1.0</v>
      </c>
      <c r="H2489" s="17">
        <v>45124.0</v>
      </c>
      <c r="I2489" s="18" t="s">
        <v>2443</v>
      </c>
    </row>
    <row r="2490">
      <c r="A2490" s="5" t="str">
        <f t="array" ref="A2490">INDEX(event_table!$A$2:$A$69, RANDBETWEEN(1, COUNTA(event_table!$A$2:$A$69)))</f>
        <v>117</v>
      </c>
      <c r="B2490" s="6">
        <f t="array" ref="B2490">IFERROR(INDEX(event_table!$E$1:$E3686,MATCH(A2490,event_table!$A$1:$A3686,0)),"")
</f>
        <v>1</v>
      </c>
      <c r="C2490" s="7">
        <f t="shared" si="1"/>
        <v>103</v>
      </c>
      <c r="D2490" s="6" t="str">
        <f t="array" ref="D2490">IFERROR(INDEX(user_table!$C$2:$C3686,MATCH(C2490,user_table!$B$2:$B3686,0)),"")
</f>
        <v>Hadi Sari</v>
      </c>
      <c r="E2490" s="6" t="str">
        <f t="array" ref="E2490">IFERROR(INDEX(user_table!$E$2:$E3686,MATCH(C2490,user_table!$B$2:$B3686,0)),"")
</f>
        <v>3, 1</v>
      </c>
      <c r="F2490" s="6" t="str">
        <f t="shared" si="2"/>
        <v>11711103</v>
      </c>
      <c r="G2490" s="16">
        <v>1.0</v>
      </c>
      <c r="H2490" s="17">
        <v>45260.0</v>
      </c>
      <c r="I2490" s="18" t="s">
        <v>2444</v>
      </c>
    </row>
    <row r="2491">
      <c r="A2491" s="5" t="str">
        <f t="array" ref="A2491">INDEX(event_table!$A$2:$A$69, RANDBETWEEN(1, COUNTA(event_table!$A$2:$A$69)))</f>
        <v>1335</v>
      </c>
      <c r="B2491" s="6">
        <f t="array" ref="B2491">IFERROR(INDEX(event_table!$E$1:$E3686,MATCH(A2491,event_table!$A$1:$A3686,0)),"")
</f>
        <v>3</v>
      </c>
      <c r="C2491" s="7">
        <f t="shared" si="1"/>
        <v>43</v>
      </c>
      <c r="D2491" s="6" t="str">
        <f t="array" ref="D2491">IFERROR(INDEX(user_table!$C$2:$C3686,MATCH(C2491,user_table!$B$2:$B3686,0)),"")
</f>
        <v>Lina Putri</v>
      </c>
      <c r="E2491" s="6" t="str">
        <f t="array" ref="E2491">IFERROR(INDEX(user_table!$E$2:$E3686,MATCH(C2491,user_table!$B$2:$B3686,0)),"")
</f>
        <v>1, 6</v>
      </c>
      <c r="F2491" s="6" t="str">
        <f t="shared" si="2"/>
        <v>13351343</v>
      </c>
      <c r="G2491" s="16">
        <v>1.0</v>
      </c>
      <c r="H2491" s="17">
        <v>45259.0</v>
      </c>
      <c r="I2491" s="18" t="s">
        <v>2445</v>
      </c>
    </row>
    <row r="2492">
      <c r="A2492" s="5" t="str">
        <f t="array" ref="A2492">INDEX(event_table!$A$2:$A$69, RANDBETWEEN(1, COUNTA(event_table!$A$2:$A$69)))</f>
        <v>3657</v>
      </c>
      <c r="B2492" s="6">
        <f t="array" ref="B2492">IFERROR(INDEX(event_table!$E$1:$E3686,MATCH(A2492,event_table!$A$1:$A3686,0)),"")
</f>
        <v>6</v>
      </c>
      <c r="C2492" s="7">
        <f t="shared" si="1"/>
        <v>82</v>
      </c>
      <c r="D2492" s="6" t="str">
        <f t="array" ref="D2492">IFERROR(INDEX(user_table!$C$2:$C3686,MATCH(C2492,user_table!$B$2:$B3686,0)),"")
</f>
        <v>Fandi Nurhayati</v>
      </c>
      <c r="E2492" s="6" t="str">
        <f t="array" ref="E2492">IFERROR(INDEX(user_table!$E$2:$E3686,MATCH(C2492,user_table!$B$2:$B3686,0)),"")
</f>
        <v>3, 2</v>
      </c>
      <c r="F2492" s="6" t="str">
        <f t="shared" si="2"/>
        <v>36571682</v>
      </c>
      <c r="G2492" s="16">
        <v>1.0</v>
      </c>
      <c r="H2492" s="17">
        <v>45240.0</v>
      </c>
      <c r="I2492" s="18" t="s">
        <v>2446</v>
      </c>
    </row>
    <row r="2493">
      <c r="A2493" s="5" t="str">
        <f t="array" ref="A2493">INDEX(event_table!$A$2:$A$69, RANDBETWEEN(1, COUNTA(event_table!$A$2:$A$69)))</f>
        <v>1212</v>
      </c>
      <c r="B2493" s="6">
        <f t="array" ref="B2493">IFERROR(INDEX(event_table!$E$1:$E3686,MATCH(A2493,event_table!$A$1:$A3686,0)),"")
</f>
        <v>2</v>
      </c>
      <c r="C2493" s="7">
        <f t="shared" si="1"/>
        <v>143</v>
      </c>
      <c r="D2493" s="6" t="str">
        <f t="array" ref="D2493">IFERROR(INDEX(user_table!$C$2:$C3686,MATCH(C2493,user_table!$B$2:$B3686,0)),"")
</f>
        <v>Agus Putri</v>
      </c>
      <c r="E2493" s="6" t="str">
        <f t="array" ref="E2493">IFERROR(INDEX(user_table!$E$2:$E3686,MATCH(C2493,user_table!$B$2:$B3686,0)),"")
</f>
        <v>3, 3</v>
      </c>
      <c r="F2493" s="6" t="str">
        <f t="shared" si="2"/>
        <v>121212143</v>
      </c>
      <c r="G2493" s="16">
        <v>1.0</v>
      </c>
      <c r="H2493" s="17">
        <v>45223.0</v>
      </c>
      <c r="I2493" s="18" t="s">
        <v>2447</v>
      </c>
    </row>
    <row r="2494">
      <c r="A2494" s="5" t="str">
        <f t="array" ref="A2494">INDEX(event_table!$A$2:$A$69, RANDBETWEEN(1, COUNTA(event_table!$A$2:$A$69)))</f>
        <v>1416</v>
      </c>
      <c r="B2494" s="6">
        <f t="array" ref="B2494">IFERROR(INDEX(event_table!$E$1:$E3686,MATCH(A2494,event_table!$A$1:$A3686,0)),"")
</f>
        <v>4</v>
      </c>
      <c r="C2494" s="7">
        <f t="shared" si="1"/>
        <v>48</v>
      </c>
      <c r="D2494" s="6" t="str">
        <f t="array" ref="D2494">IFERROR(INDEX(user_table!$C$2:$C3686,MATCH(C2494,user_table!$B$2:$B3686,0)),"")
</f>
        <v>Maya Kusuma</v>
      </c>
      <c r="E2494" s="6" t="str">
        <f t="array" ref="E2494">IFERROR(INDEX(user_table!$E$2:$E3686,MATCH(C2494,user_table!$B$2:$B3686,0)),"")
</f>
        <v>2, 3</v>
      </c>
      <c r="F2494" s="6" t="str">
        <f t="shared" si="2"/>
        <v>14161448</v>
      </c>
      <c r="G2494" s="16">
        <v>1.0</v>
      </c>
      <c r="H2494" s="17">
        <v>45168.0</v>
      </c>
      <c r="I2494" s="18" t="s">
        <v>2448</v>
      </c>
    </row>
    <row r="2495">
      <c r="A2495" s="5" t="str">
        <f t="array" ref="A2495">INDEX(event_table!$A$2:$A$69, RANDBETWEEN(1, COUNTA(event_table!$A$2:$A$69)))</f>
        <v>1528</v>
      </c>
      <c r="B2495" s="6">
        <f t="array" ref="B2495">IFERROR(INDEX(event_table!$E$1:$E3686,MATCH(A2495,event_table!$A$1:$A3686,0)),"")
</f>
        <v>5</v>
      </c>
      <c r="C2495" s="7">
        <f t="shared" si="1"/>
        <v>107</v>
      </c>
      <c r="D2495" s="6" t="str">
        <f t="array" ref="D2495">IFERROR(INDEX(user_table!$C$2:$C3686,MATCH(C2495,user_table!$B$2:$B3686,0)),"")
</f>
        <v>Citra Rahayu</v>
      </c>
      <c r="E2495" s="6" t="str">
        <f t="array" ref="E2495">IFERROR(INDEX(user_table!$E$2:$E3686,MATCH(C2495,user_table!$B$2:$B3686,0)),"")
</f>
        <v>1, 5</v>
      </c>
      <c r="F2495" s="6" t="str">
        <f t="shared" si="2"/>
        <v>152815107</v>
      </c>
      <c r="G2495" s="16">
        <v>1.0</v>
      </c>
      <c r="H2495" s="17">
        <v>45145.0</v>
      </c>
      <c r="I2495" s="18" t="s">
        <v>2449</v>
      </c>
    </row>
    <row r="2496">
      <c r="A2496" s="5" t="str">
        <f t="array" ref="A2496">INDEX(event_table!$A$2:$A$69, RANDBETWEEN(1, COUNTA(event_table!$A$2:$A$69)))</f>
        <v>3170</v>
      </c>
      <c r="B2496" s="6">
        <f t="array" ref="B2496">IFERROR(INDEX(event_table!$E$1:$E3686,MATCH(A2496,event_table!$A$1:$A3686,0)),"")
</f>
        <v>1</v>
      </c>
      <c r="C2496" s="7">
        <f t="shared" si="1"/>
        <v>25</v>
      </c>
      <c r="D2496" s="6" t="str">
        <f t="array" ref="D2496">IFERROR(INDEX(user_table!$C$2:$C3686,MATCH(C2496,user_table!$B$2:$B3686,0)),"")
</f>
        <v>Agus Hartono</v>
      </c>
      <c r="E2496" s="6" t="str">
        <f t="array" ref="E2496">IFERROR(INDEX(user_table!$E$2:$E3686,MATCH(C2496,user_table!$B$2:$B3686,0)),"")
</f>
        <v>6, 3</v>
      </c>
      <c r="F2496" s="6" t="str">
        <f t="shared" si="2"/>
        <v>31701125</v>
      </c>
      <c r="G2496" s="16">
        <v>1.0</v>
      </c>
      <c r="H2496" s="17">
        <v>45117.0</v>
      </c>
      <c r="I2496" s="18" t="s">
        <v>2450</v>
      </c>
    </row>
    <row r="2497">
      <c r="A2497" s="5" t="str">
        <f t="array" ref="A2497">INDEX(event_table!$A$2:$A$69, RANDBETWEEN(1, COUNTA(event_table!$A$2:$A$69)))</f>
        <v>1644</v>
      </c>
      <c r="B2497" s="6">
        <f t="array" ref="B2497">IFERROR(INDEX(event_table!$E$1:$E3686,MATCH(A2497,event_table!$A$1:$A3686,0)),"")
</f>
        <v>6</v>
      </c>
      <c r="C2497" s="7">
        <f t="shared" si="1"/>
        <v>145</v>
      </c>
      <c r="D2497" s="6" t="str">
        <f t="array" ref="D2497">IFERROR(INDEX(user_table!$C$2:$C3686,MATCH(C2497,user_table!$B$2:$B3686,0)),"")
</f>
        <v>Arif Nugroho</v>
      </c>
      <c r="E2497" s="6" t="str">
        <f t="array" ref="E2497">IFERROR(INDEX(user_table!$E$2:$E3686,MATCH(C2497,user_table!$B$2:$B3686,0)),"")
</f>
        <v>1, 4</v>
      </c>
      <c r="F2497" s="6" t="str">
        <f t="shared" si="2"/>
        <v>164416145</v>
      </c>
      <c r="G2497" s="16">
        <v>1.0</v>
      </c>
      <c r="H2497" s="17">
        <v>45092.0</v>
      </c>
      <c r="I2497" s="18" t="s">
        <v>2451</v>
      </c>
    </row>
    <row r="2498">
      <c r="A2498" s="5" t="str">
        <f t="array" ref="A2498">INDEX(event_table!$A$2:$A$69, RANDBETWEEN(1, COUNTA(event_table!$A$2:$A$69)))</f>
        <v>3164</v>
      </c>
      <c r="B2498" s="6">
        <f t="array" ref="B2498">IFERROR(INDEX(event_table!$E$1:$E3686,MATCH(A2498,event_table!$A$1:$A3686,0)),"")
</f>
        <v>1</v>
      </c>
      <c r="C2498" s="7">
        <f t="shared" si="1"/>
        <v>157</v>
      </c>
      <c r="D2498" s="6" t="str">
        <f t="array" ref="D2498">IFERROR(INDEX(user_table!$C$2:$C3686,MATCH(C2498,user_table!$B$2:$B3686,0)),"")
</f>
        <v>Ani Susanto</v>
      </c>
      <c r="E2498" s="6" t="str">
        <f t="array" ref="E2498">IFERROR(INDEX(user_table!$E$2:$E3686,MATCH(C2498,user_table!$B$2:$B3686,0)),"")
</f>
        <v>4, 1</v>
      </c>
      <c r="F2498" s="6" t="str">
        <f t="shared" si="2"/>
        <v>316411157</v>
      </c>
      <c r="G2498" s="16">
        <v>1.0</v>
      </c>
      <c r="H2498" s="17">
        <v>45083.0</v>
      </c>
      <c r="I2498" s="18" t="s">
        <v>2452</v>
      </c>
    </row>
    <row r="2499">
      <c r="A2499" s="5" t="str">
        <f t="array" ref="A2499">INDEX(event_table!$A$2:$A$69, RANDBETWEEN(1, COUNTA(event_table!$A$2:$A$69)))</f>
        <v>1333</v>
      </c>
      <c r="B2499" s="6">
        <f t="array" ref="B2499">IFERROR(INDEX(event_table!$E$1:$E3686,MATCH(A2499,event_table!$A$1:$A3686,0)),"")
</f>
        <v>3</v>
      </c>
      <c r="C2499" s="7">
        <f t="shared" si="1"/>
        <v>182</v>
      </c>
      <c r="D2499" s="6" t="str">
        <f t="array" ref="D2499">IFERROR(INDEX(user_table!$C$2:$C3686,MATCH(C2499,user_table!$B$2:$B3686,0)),"")
</f>
        <v>Siti Utami</v>
      </c>
      <c r="E2499" s="6" t="str">
        <f t="array" ref="E2499">IFERROR(INDEX(user_table!$E$2:$E3686,MATCH(C2499,user_table!$B$2:$B3686,0)),"")
</f>
        <v>5, 4</v>
      </c>
      <c r="F2499" s="6" t="str">
        <f t="shared" si="2"/>
        <v>133313182</v>
      </c>
      <c r="G2499" s="16">
        <v>1.0</v>
      </c>
      <c r="H2499" s="17">
        <v>45071.0</v>
      </c>
      <c r="I2499" s="18" t="s">
        <v>2453</v>
      </c>
    </row>
    <row r="2500">
      <c r="A2500" s="5" t="str">
        <f t="array" ref="A2500">INDEX(event_table!$A$2:$A$69, RANDBETWEEN(1, COUNTA(event_table!$A$2:$A$69)))</f>
        <v>114</v>
      </c>
      <c r="B2500" s="6">
        <f t="array" ref="B2500">IFERROR(INDEX(event_table!$E$1:$E3686,MATCH(A2500,event_table!$A$1:$A3686,0)),"")
</f>
        <v>1</v>
      </c>
      <c r="C2500" s="7">
        <f t="shared" si="1"/>
        <v>179</v>
      </c>
      <c r="D2500" s="6" t="str">
        <f t="array" ref="D2500">IFERROR(INDEX(user_table!$C$2:$C3686,MATCH(C2500,user_table!$B$2:$B3686,0)),"")
</f>
        <v>Andi Susanto</v>
      </c>
      <c r="E2500" s="6" t="str">
        <f t="array" ref="E2500">IFERROR(INDEX(user_table!$E$2:$E3686,MATCH(C2500,user_table!$B$2:$B3686,0)),"")
</f>
        <v>1, 6</v>
      </c>
      <c r="F2500" s="6" t="str">
        <f t="shared" si="2"/>
        <v>11411179</v>
      </c>
      <c r="G2500" s="16">
        <v>1.0</v>
      </c>
      <c r="H2500" s="17">
        <v>45064.0</v>
      </c>
      <c r="I2500" s="18" t="s">
        <v>2454</v>
      </c>
    </row>
    <row r="2501">
      <c r="A2501" s="5" t="str">
        <f t="array" ref="A2501">INDEX(event_table!$A$2:$A$69, RANDBETWEEN(1, COUNTA(event_table!$A$2:$A$69)))</f>
        <v>122</v>
      </c>
      <c r="B2501" s="6">
        <f t="array" ref="B2501">IFERROR(INDEX(event_table!$E$1:$E3686,MATCH(A2501,event_table!$A$1:$A3686,0)),"")
</f>
        <v>2</v>
      </c>
      <c r="C2501" s="7">
        <f t="shared" si="1"/>
        <v>182</v>
      </c>
      <c r="D2501" s="6" t="str">
        <f t="array" ref="D2501">IFERROR(INDEX(user_table!$C$2:$C3686,MATCH(C2501,user_table!$B$2:$B3686,0)),"")
</f>
        <v>Siti Utami</v>
      </c>
      <c r="E2501" s="6" t="str">
        <f t="array" ref="E2501">IFERROR(INDEX(user_table!$E$2:$E3686,MATCH(C2501,user_table!$B$2:$B3686,0)),"")
</f>
        <v>5, 4</v>
      </c>
      <c r="F2501" s="6" t="str">
        <f t="shared" si="2"/>
        <v>12212182</v>
      </c>
      <c r="G2501" s="16">
        <v>1.0</v>
      </c>
      <c r="H2501" s="17">
        <v>45036.0</v>
      </c>
      <c r="I2501" s="18" t="s">
        <v>2455</v>
      </c>
    </row>
    <row r="2502">
      <c r="A2502" s="5" t="str">
        <f t="array" ref="A2502">INDEX(event_table!$A$2:$A$69, RANDBETWEEN(1, COUNTA(event_table!$A$2:$A$69)))</f>
        <v>3356</v>
      </c>
      <c r="B2502" s="6">
        <f t="array" ref="B2502">IFERROR(INDEX(event_table!$E$1:$E3686,MATCH(A2502,event_table!$A$1:$A3686,0)),"")
</f>
        <v>3</v>
      </c>
      <c r="C2502" s="7">
        <f t="shared" si="1"/>
        <v>139</v>
      </c>
      <c r="D2502" s="6" t="str">
        <f t="array" ref="D2502">IFERROR(INDEX(user_table!$C$2:$C3686,MATCH(C2502,user_table!$B$2:$B3686,0)),"")
</f>
        <v>Sinta Kurniawan</v>
      </c>
      <c r="E2502" s="6" t="str">
        <f t="array" ref="E2502">IFERROR(INDEX(user_table!$E$2:$E3686,MATCH(C2502,user_table!$B$2:$B3686,0)),"")
</f>
        <v>4, 6</v>
      </c>
      <c r="F2502" s="6" t="str">
        <f t="shared" si="2"/>
        <v>335653139</v>
      </c>
      <c r="G2502" s="16">
        <v>5.0</v>
      </c>
      <c r="H2502" s="17">
        <v>44751.0</v>
      </c>
      <c r="I2502" s="18" t="s">
        <v>2456</v>
      </c>
    </row>
    <row r="2503">
      <c r="A2503" s="5" t="str">
        <f t="array" ref="A2503">INDEX(event_table!$A$2:$A$69, RANDBETWEEN(1, COUNTA(event_table!$A$2:$A$69)))</f>
        <v>1425</v>
      </c>
      <c r="B2503" s="6">
        <f t="array" ref="B2503">IFERROR(INDEX(event_table!$E$1:$E3686,MATCH(A2503,event_table!$A$1:$A3686,0)),"")
</f>
        <v>4</v>
      </c>
      <c r="C2503" s="7">
        <f t="shared" si="1"/>
        <v>155</v>
      </c>
      <c r="D2503" s="6" t="str">
        <f t="array" ref="D2503">IFERROR(INDEX(user_table!$C$2:$C3686,MATCH(C2503,user_table!$B$2:$B3686,0)),"")
</f>
        <v>Sinta Saputra</v>
      </c>
      <c r="E2503" s="6" t="str">
        <f t="array" ref="E2503">IFERROR(INDEX(user_table!$E$2:$E3686,MATCH(C2503,user_table!$B$2:$B3686,0)),"")
</f>
        <v>5, 2</v>
      </c>
      <c r="F2503" s="6" t="str">
        <f t="shared" si="2"/>
        <v>142554155</v>
      </c>
      <c r="G2503" s="16">
        <v>5.0</v>
      </c>
      <c r="H2503" s="17">
        <v>44731.0</v>
      </c>
      <c r="I2503" s="18" t="s">
        <v>2457</v>
      </c>
    </row>
    <row r="2504">
      <c r="A2504" s="5" t="str">
        <f t="array" ref="A2504">INDEX(event_table!$A$2:$A$69, RANDBETWEEN(1, COUNTA(event_table!$A$2:$A$69)))</f>
        <v>1332</v>
      </c>
      <c r="B2504" s="6">
        <f t="array" ref="B2504">IFERROR(INDEX(event_table!$E$1:$E3686,MATCH(A2504,event_table!$A$1:$A3686,0)),"")
</f>
        <v>3</v>
      </c>
      <c r="C2504" s="7">
        <f t="shared" si="1"/>
        <v>193</v>
      </c>
      <c r="D2504" s="6" t="str">
        <f t="array" ref="D2504">IFERROR(INDEX(user_table!$C$2:$C3686,MATCH(C2504,user_table!$B$2:$B3686,0)),"")
</f>
        <v>Dina Wijaya</v>
      </c>
      <c r="E2504" s="6" t="str">
        <f t="array" ref="E2504">IFERROR(INDEX(user_table!$E$2:$E3686,MATCH(C2504,user_table!$B$2:$B3686,0)),"")
</f>
        <v>4, 5</v>
      </c>
      <c r="F2504" s="6" t="str">
        <f t="shared" si="2"/>
        <v>133253193</v>
      </c>
      <c r="G2504" s="16">
        <v>5.0</v>
      </c>
      <c r="H2504" s="17">
        <v>44685.0</v>
      </c>
      <c r="I2504" s="18" t="s">
        <v>2458</v>
      </c>
    </row>
    <row r="2505">
      <c r="A2505" s="5" t="str">
        <f t="array" ref="A2505">INDEX(event_table!$A$2:$A$69, RANDBETWEEN(1, COUNTA(event_table!$A$2:$A$69)))</f>
        <v>114</v>
      </c>
      <c r="B2505" s="6">
        <f t="array" ref="B2505">IFERROR(INDEX(event_table!$E$1:$E3686,MATCH(A2505,event_table!$A$1:$A3686,0)),"")
</f>
        <v>1</v>
      </c>
      <c r="C2505" s="7">
        <f t="shared" si="1"/>
        <v>7</v>
      </c>
      <c r="D2505" s="6" t="str">
        <f t="array" ref="D2505">IFERROR(INDEX(user_table!$C$2:$C3686,MATCH(C2505,user_table!$B$2:$B3686,0)),"")
</f>
        <v>Maya Sari</v>
      </c>
      <c r="E2505" s="6" t="str">
        <f t="array" ref="E2505">IFERROR(INDEX(user_table!$E$2:$E3686,MATCH(C2505,user_table!$B$2:$B3686,0)),"")
</f>
        <v>5, 2</v>
      </c>
      <c r="F2505" s="6" t="str">
        <f t="shared" si="2"/>
        <v>114517</v>
      </c>
      <c r="G2505" s="16">
        <v>5.0</v>
      </c>
      <c r="H2505" s="17">
        <v>44928.0</v>
      </c>
      <c r="I2505" s="18" t="s">
        <v>2459</v>
      </c>
    </row>
    <row r="2506">
      <c r="A2506" s="5" t="str">
        <f t="array" ref="A2506">INDEX(event_table!$A$2:$A$69, RANDBETWEEN(1, COUNTA(event_table!$A$2:$A$69)))</f>
        <v>1418</v>
      </c>
      <c r="B2506" s="6">
        <f t="array" ref="B2506">IFERROR(INDEX(event_table!$E$1:$E3686,MATCH(A2506,event_table!$A$1:$A3686,0)),"")
</f>
        <v>4</v>
      </c>
      <c r="C2506" s="7">
        <f t="shared" si="1"/>
        <v>8</v>
      </c>
      <c r="D2506" s="6" t="str">
        <f t="array" ref="D2506">IFERROR(INDEX(user_table!$C$2:$C3686,MATCH(C2506,user_table!$B$2:$B3686,0)),"")
</f>
        <v>Bambang Kurniawan</v>
      </c>
      <c r="E2506" s="6" t="str">
        <f t="array" ref="E2506">IFERROR(INDEX(user_table!$E$2:$E3686,MATCH(C2506,user_table!$B$2:$B3686,0)),"")
</f>
        <v>2, 1</v>
      </c>
      <c r="F2506" s="6" t="str">
        <f t="shared" si="2"/>
        <v>1418548</v>
      </c>
      <c r="G2506" s="16">
        <v>5.0</v>
      </c>
      <c r="H2506" s="17">
        <v>44782.0</v>
      </c>
      <c r="I2506" s="18" t="s">
        <v>2460</v>
      </c>
    </row>
    <row r="2507">
      <c r="A2507" s="5" t="str">
        <f t="array" ref="A2507">INDEX(event_table!$A$2:$A$69, RANDBETWEEN(1, COUNTA(event_table!$A$2:$A$69)))</f>
        <v>3166</v>
      </c>
      <c r="B2507" s="6">
        <f t="array" ref="B2507">IFERROR(INDEX(event_table!$E$1:$E3686,MATCH(A2507,event_table!$A$1:$A3686,0)),"")
</f>
        <v>1</v>
      </c>
      <c r="C2507" s="7">
        <f t="shared" si="1"/>
        <v>27</v>
      </c>
      <c r="D2507" s="6" t="str">
        <f t="array" ref="D2507">IFERROR(INDEX(user_table!$C$2:$C3686,MATCH(C2507,user_table!$B$2:$B3686,0)),"")
</f>
        <v>Fandi Purnama</v>
      </c>
      <c r="E2507" s="6" t="str">
        <f t="array" ref="E2507">IFERROR(INDEX(user_table!$E$2:$E3686,MATCH(C2507,user_table!$B$2:$B3686,0)),"")
</f>
        <v>4, 6</v>
      </c>
      <c r="F2507" s="6" t="str">
        <f t="shared" si="2"/>
        <v>31665127</v>
      </c>
      <c r="G2507" s="16">
        <v>5.0</v>
      </c>
      <c r="H2507" s="17">
        <v>44781.0</v>
      </c>
      <c r="I2507" s="18" t="s">
        <v>2461</v>
      </c>
    </row>
    <row r="2508">
      <c r="A2508" s="5" t="str">
        <f t="array" ref="A2508">INDEX(event_table!$A$2:$A$69, RANDBETWEEN(1, COUNTA(event_table!$A$2:$A$69)))</f>
        <v>1528</v>
      </c>
      <c r="B2508" s="6">
        <f t="array" ref="B2508">IFERROR(INDEX(event_table!$E$1:$E3686,MATCH(A2508,event_table!$A$1:$A3686,0)),"")
</f>
        <v>5</v>
      </c>
      <c r="C2508" s="7">
        <f t="shared" si="1"/>
        <v>196</v>
      </c>
      <c r="D2508" s="6" t="str">
        <f t="array" ref="D2508">IFERROR(INDEX(user_table!$C$2:$C3686,MATCH(C2508,user_table!$B$2:$B3686,0)),"")
</f>
        <v>Dewi Susanto</v>
      </c>
      <c r="E2508" s="6" t="str">
        <f t="array" ref="E2508">IFERROR(INDEX(user_table!$E$2:$E3686,MATCH(C2508,user_table!$B$2:$B3686,0)),"")
</f>
        <v>2, 1</v>
      </c>
      <c r="F2508" s="6" t="str">
        <f t="shared" si="2"/>
        <v>152855196</v>
      </c>
      <c r="G2508" s="16">
        <v>5.0</v>
      </c>
      <c r="H2508" s="17">
        <v>44749.0</v>
      </c>
      <c r="I2508" s="18" t="s">
        <v>2462</v>
      </c>
    </row>
    <row r="2509">
      <c r="A2509" s="5" t="str">
        <f t="array" ref="A2509">INDEX(event_table!$A$2:$A$69, RANDBETWEEN(1, COUNTA(event_table!$A$2:$A$69)))</f>
        <v>1646</v>
      </c>
      <c r="B2509" s="6">
        <f t="array" ref="B2509">IFERROR(INDEX(event_table!$E$1:$E3686,MATCH(A2509,event_table!$A$1:$A3686,0)),"")
</f>
        <v>6</v>
      </c>
      <c r="C2509" s="7">
        <f t="shared" si="1"/>
        <v>27</v>
      </c>
      <c r="D2509" s="6" t="str">
        <f t="array" ref="D2509">IFERROR(INDEX(user_table!$C$2:$C3686,MATCH(C2509,user_table!$B$2:$B3686,0)),"")
</f>
        <v>Fandi Purnama</v>
      </c>
      <c r="E2509" s="6" t="str">
        <f t="array" ref="E2509">IFERROR(INDEX(user_table!$E$2:$E3686,MATCH(C2509,user_table!$B$2:$B3686,0)),"")
</f>
        <v>4, 6</v>
      </c>
      <c r="F2509" s="6" t="str">
        <f t="shared" si="2"/>
        <v>16465627</v>
      </c>
      <c r="G2509" s="16">
        <v>5.0</v>
      </c>
      <c r="H2509" s="17">
        <v>44740.0</v>
      </c>
      <c r="I2509" s="18" t="s">
        <v>2463</v>
      </c>
    </row>
    <row r="2510">
      <c r="A2510" s="5" t="str">
        <f t="array" ref="A2510">INDEX(event_table!$A$2:$A$69, RANDBETWEEN(1, COUNTA(event_table!$A$2:$A$69)))</f>
        <v>1333</v>
      </c>
      <c r="B2510" s="6">
        <f t="array" ref="B2510">IFERROR(INDEX(event_table!$E$1:$E3686,MATCH(A2510,event_table!$A$1:$A3686,0)),"")
</f>
        <v>3</v>
      </c>
      <c r="C2510" s="7">
        <f t="shared" si="1"/>
        <v>89</v>
      </c>
      <c r="D2510" s="6" t="str">
        <f t="array" ref="D2510">IFERROR(INDEX(user_table!$C$2:$C3686,MATCH(C2510,user_table!$B$2:$B3686,0)),"")
</f>
        <v>Hadi Wijaya</v>
      </c>
      <c r="E2510" s="6" t="str">
        <f t="array" ref="E2510">IFERROR(INDEX(user_table!$E$2:$E3686,MATCH(C2510,user_table!$B$2:$B3686,0)),"")
</f>
        <v>6, 4</v>
      </c>
      <c r="F2510" s="6" t="str">
        <f t="shared" si="2"/>
        <v>13335389</v>
      </c>
      <c r="G2510" s="16">
        <v>5.0</v>
      </c>
      <c r="H2510" s="17">
        <v>44703.0</v>
      </c>
      <c r="I2510" s="18" t="s">
        <v>2464</v>
      </c>
    </row>
    <row r="2511">
      <c r="A2511" s="5" t="str">
        <f t="array" ref="A2511">INDEX(event_table!$A$2:$A$69, RANDBETWEEN(1, COUNTA(event_table!$A$2:$A$69)))</f>
        <v>1650</v>
      </c>
      <c r="B2511" s="6">
        <f t="array" ref="B2511">IFERROR(INDEX(event_table!$E$1:$E3686,MATCH(A2511,event_table!$A$1:$A3686,0)),"")
</f>
        <v>6</v>
      </c>
      <c r="C2511" s="7">
        <f t="shared" si="1"/>
        <v>150</v>
      </c>
      <c r="D2511" s="6" t="str">
        <f t="array" ref="D2511">IFERROR(INDEX(user_table!$C$2:$C3686,MATCH(C2511,user_table!$B$2:$B3686,0)),"")
</f>
        <v>Dina Susanto</v>
      </c>
      <c r="E2511" s="6" t="str">
        <f t="array" ref="E2511">IFERROR(INDEX(user_table!$E$2:$E3686,MATCH(C2511,user_table!$B$2:$B3686,0)),"")
</f>
        <v>2, 6</v>
      </c>
      <c r="F2511" s="6" t="str">
        <f t="shared" si="2"/>
        <v>165046150</v>
      </c>
      <c r="G2511" s="16">
        <v>4.0</v>
      </c>
      <c r="H2511" s="17">
        <v>45094.0</v>
      </c>
      <c r="I2511" s="18" t="s">
        <v>2465</v>
      </c>
    </row>
    <row r="2512">
      <c r="A2512" s="5" t="str">
        <f t="array" ref="A2512">INDEX(event_table!$A$2:$A$69, RANDBETWEEN(1, COUNTA(event_table!$A$2:$A$69)))</f>
        <v>1423</v>
      </c>
      <c r="B2512" s="6">
        <f t="array" ref="B2512">IFERROR(INDEX(event_table!$E$1:$E3686,MATCH(A2512,event_table!$A$1:$A3686,0)),"")
</f>
        <v>4</v>
      </c>
      <c r="C2512" s="7">
        <f t="shared" si="1"/>
        <v>89</v>
      </c>
      <c r="D2512" s="6" t="str">
        <f t="array" ref="D2512">IFERROR(INDEX(user_table!$C$2:$C3686,MATCH(C2512,user_table!$B$2:$B3686,0)),"")
</f>
        <v>Hadi Wijaya</v>
      </c>
      <c r="E2512" s="6" t="str">
        <f t="array" ref="E2512">IFERROR(INDEX(user_table!$E$2:$E3686,MATCH(C2512,user_table!$B$2:$B3686,0)),"")
</f>
        <v>6, 4</v>
      </c>
      <c r="F2512" s="6" t="str">
        <f t="shared" si="2"/>
        <v>14234489</v>
      </c>
      <c r="G2512" s="16">
        <v>4.0</v>
      </c>
      <c r="H2512" s="17">
        <v>44775.0</v>
      </c>
      <c r="I2512" s="18" t="s">
        <v>2466</v>
      </c>
    </row>
    <row r="2513">
      <c r="A2513" s="5" t="str">
        <f t="array" ref="A2513">INDEX(event_table!$A$2:$A$69, RANDBETWEEN(1, COUNTA(event_table!$A$2:$A$69)))</f>
        <v>3169</v>
      </c>
      <c r="B2513" s="6">
        <f t="array" ref="B2513">IFERROR(INDEX(event_table!$E$1:$E3686,MATCH(A2513,event_table!$A$1:$A3686,0)),"")
</f>
        <v>1</v>
      </c>
      <c r="C2513" s="7">
        <f t="shared" si="1"/>
        <v>39</v>
      </c>
      <c r="D2513" s="6" t="str">
        <f t="array" ref="D2513">IFERROR(INDEX(user_table!$C$2:$C3686,MATCH(C2513,user_table!$B$2:$B3686,0)),"")
</f>
        <v>Desi Utami</v>
      </c>
      <c r="E2513" s="6" t="str">
        <f t="array" ref="E2513">IFERROR(INDEX(user_table!$E$2:$E3686,MATCH(C2513,user_table!$B$2:$B3686,0)),"")
</f>
        <v>3, 1</v>
      </c>
      <c r="F2513" s="6" t="str">
        <f t="shared" si="2"/>
        <v>31694139</v>
      </c>
      <c r="G2513" s="16">
        <v>4.0</v>
      </c>
      <c r="H2513" s="17">
        <v>44732.0</v>
      </c>
      <c r="I2513" s="18" t="s">
        <v>2467</v>
      </c>
    </row>
    <row r="2514">
      <c r="A2514" s="5" t="str">
        <f t="array" ref="A2514">INDEX(event_table!$A$2:$A$69, RANDBETWEEN(1, COUNTA(event_table!$A$2:$A$69)))</f>
        <v>1114</v>
      </c>
      <c r="B2514" s="6">
        <f t="array" ref="B2514">IFERROR(INDEX(event_table!$E$1:$E3686,MATCH(A2514,event_table!$A$1:$A3686,0)),"")
</f>
        <v>1</v>
      </c>
      <c r="C2514" s="7">
        <f t="shared" si="1"/>
        <v>75</v>
      </c>
      <c r="D2514" s="6" t="str">
        <f t="array" ref="D2514">IFERROR(INDEX(user_table!$C$2:$C3686,MATCH(C2514,user_table!$B$2:$B3686,0)),"")
</f>
        <v>Citra Sari</v>
      </c>
      <c r="E2514" s="6" t="str">
        <f t="array" ref="E2514">IFERROR(INDEX(user_table!$E$2:$E3686,MATCH(C2514,user_table!$B$2:$B3686,0)),"")
</f>
        <v>2, 5</v>
      </c>
      <c r="F2514" s="6" t="str">
        <f t="shared" si="2"/>
        <v>11144175</v>
      </c>
      <c r="G2514" s="16">
        <v>4.0</v>
      </c>
      <c r="H2514" s="17">
        <v>44925.0</v>
      </c>
      <c r="I2514" s="18" t="s">
        <v>2468</v>
      </c>
    </row>
    <row r="2515">
      <c r="A2515" s="5" t="str">
        <f t="array" ref="A2515">INDEX(event_table!$A$2:$A$69, RANDBETWEEN(1, COUNTA(event_table!$A$2:$A$69)))</f>
        <v>1313</v>
      </c>
      <c r="B2515" s="6">
        <f t="array" ref="B2515">IFERROR(INDEX(event_table!$E$1:$E3686,MATCH(A2515,event_table!$A$1:$A3686,0)),"")
</f>
        <v>3</v>
      </c>
      <c r="C2515" s="7">
        <f t="shared" si="1"/>
        <v>127</v>
      </c>
      <c r="D2515" s="6" t="str">
        <f t="array" ref="D2515">IFERROR(INDEX(user_table!$C$2:$C3686,MATCH(C2515,user_table!$B$2:$B3686,0)),"")
</f>
        <v>Sinta Wijaya</v>
      </c>
      <c r="E2515" s="6" t="str">
        <f t="array" ref="E2515">IFERROR(INDEX(user_table!$E$2:$E3686,MATCH(C2515,user_table!$B$2:$B3686,0)),"")
</f>
        <v>6, 4</v>
      </c>
      <c r="F2515" s="6" t="str">
        <f t="shared" si="2"/>
        <v>131343127</v>
      </c>
      <c r="G2515" s="16">
        <v>4.0</v>
      </c>
      <c r="H2515" s="17">
        <v>44748.0</v>
      </c>
      <c r="I2515" s="18" t="s">
        <v>2469</v>
      </c>
    </row>
    <row r="2516">
      <c r="A2516" s="5" t="str">
        <f t="array" ref="A2516">INDEX(event_table!$A$2:$A$69, RANDBETWEEN(1, COUNTA(event_table!$A$2:$A$69)))</f>
        <v>3165</v>
      </c>
      <c r="B2516" s="6">
        <f t="array" ref="B2516">IFERROR(INDEX(event_table!$E$1:$E3686,MATCH(A2516,event_table!$A$1:$A3686,0)),"")
</f>
        <v>1</v>
      </c>
      <c r="C2516" s="7">
        <f t="shared" si="1"/>
        <v>28</v>
      </c>
      <c r="D2516" s="6" t="str">
        <f t="array" ref="D2516">IFERROR(INDEX(user_table!$C$2:$C3686,MATCH(C2516,user_table!$B$2:$B3686,0)),"")
</f>
        <v>Fandi Putri</v>
      </c>
      <c r="E2516" s="6" t="str">
        <f t="array" ref="E2516">IFERROR(INDEX(user_table!$E$2:$E3686,MATCH(C2516,user_table!$B$2:$B3686,0)),"")
</f>
        <v>5, 1</v>
      </c>
      <c r="F2516" s="6" t="str">
        <f t="shared" si="2"/>
        <v>31653128</v>
      </c>
      <c r="G2516" s="16">
        <v>3.0</v>
      </c>
      <c r="H2516" s="17">
        <v>45205.0</v>
      </c>
      <c r="I2516" s="18" t="s">
        <v>2470</v>
      </c>
    </row>
    <row r="2517">
      <c r="A2517" s="5" t="str">
        <f t="array" ref="A2517">INDEX(event_table!$A$2:$A$69, RANDBETWEEN(1, COUNTA(event_table!$A$2:$A$69)))</f>
        <v>1528</v>
      </c>
      <c r="B2517" s="6">
        <f t="array" ref="B2517">IFERROR(INDEX(event_table!$E$1:$E3686,MATCH(A2517,event_table!$A$1:$A3686,0)),"")
</f>
        <v>5</v>
      </c>
      <c r="C2517" s="7">
        <f t="shared" si="1"/>
        <v>109</v>
      </c>
      <c r="D2517" s="6" t="str">
        <f t="array" ref="D2517">IFERROR(INDEX(user_table!$C$2:$C3686,MATCH(C2517,user_table!$B$2:$B3686,0)),"")
</f>
        <v>Ani Sari</v>
      </c>
      <c r="E2517" s="6" t="str">
        <f t="array" ref="E2517">IFERROR(INDEX(user_table!$E$2:$E3686,MATCH(C2517,user_table!$B$2:$B3686,0)),"")
</f>
        <v>4, 5</v>
      </c>
      <c r="F2517" s="6" t="str">
        <f t="shared" si="2"/>
        <v>152835109</v>
      </c>
      <c r="G2517" s="16">
        <v>3.0</v>
      </c>
      <c r="H2517" s="17">
        <v>45193.0</v>
      </c>
      <c r="I2517" s="18" t="s">
        <v>2471</v>
      </c>
    </row>
    <row r="2518">
      <c r="A2518" s="5" t="str">
        <f t="array" ref="A2518">INDEX(event_table!$A$2:$A$69, RANDBETWEEN(1, COUNTA(event_table!$A$2:$A$69)))</f>
        <v>3658</v>
      </c>
      <c r="B2518" s="6">
        <f t="array" ref="B2518">IFERROR(INDEX(event_table!$E$1:$E3686,MATCH(A2518,event_table!$A$1:$A3686,0)),"")
</f>
        <v>6</v>
      </c>
      <c r="C2518" s="7">
        <f t="shared" si="1"/>
        <v>86</v>
      </c>
      <c r="D2518" s="6" t="str">
        <f t="array" ref="D2518">IFERROR(INDEX(user_table!$C$2:$C3686,MATCH(C2518,user_table!$B$2:$B3686,0)),"")
</f>
        <v>Lina Santoso</v>
      </c>
      <c r="E2518" s="6" t="str">
        <f t="array" ref="E2518">IFERROR(INDEX(user_table!$E$2:$E3686,MATCH(C2518,user_table!$B$2:$B3686,0)),"")
</f>
        <v>4, 3</v>
      </c>
      <c r="F2518" s="6" t="str">
        <f t="shared" si="2"/>
        <v>36583686</v>
      </c>
      <c r="G2518" s="16">
        <v>3.0</v>
      </c>
      <c r="H2518" s="17">
        <v>45156.0</v>
      </c>
      <c r="I2518" s="18" t="s">
        <v>2472</v>
      </c>
    </row>
    <row r="2519">
      <c r="A2519" s="5" t="str">
        <f t="array" ref="A2519">INDEX(event_table!$A$2:$A$69, RANDBETWEEN(1, COUNTA(event_table!$A$2:$A$69)))</f>
        <v>119</v>
      </c>
      <c r="B2519" s="6">
        <f t="array" ref="B2519">IFERROR(INDEX(event_table!$E$1:$E3686,MATCH(A2519,event_table!$A$1:$A3686,0)),"")
</f>
        <v>1</v>
      </c>
      <c r="C2519" s="7">
        <f t="shared" si="1"/>
        <v>148</v>
      </c>
      <c r="D2519" s="6" t="str">
        <f t="array" ref="D2519">IFERROR(INDEX(user_table!$C$2:$C3686,MATCH(C2519,user_table!$B$2:$B3686,0)),"")
</f>
        <v>Fajar Setiawan</v>
      </c>
      <c r="E2519" s="6" t="str">
        <f t="array" ref="E2519">IFERROR(INDEX(user_table!$E$2:$E3686,MATCH(C2519,user_table!$B$2:$B3686,0)),"")
</f>
        <v>6, 4</v>
      </c>
      <c r="F2519" s="6" t="str">
        <f t="shared" si="2"/>
        <v>11931148</v>
      </c>
      <c r="G2519" s="16">
        <v>3.0</v>
      </c>
      <c r="H2519" s="17">
        <v>45152.0</v>
      </c>
      <c r="I2519" s="18" t="s">
        <v>2473</v>
      </c>
    </row>
    <row r="2520">
      <c r="A2520" s="5" t="str">
        <f t="array" ref="A2520">INDEX(event_table!$A$2:$A$69, RANDBETWEEN(1, COUNTA(event_table!$A$2:$A$69)))</f>
        <v>1313</v>
      </c>
      <c r="B2520" s="6">
        <f t="array" ref="B2520">IFERROR(INDEX(event_table!$E$1:$E3686,MATCH(A2520,event_table!$A$1:$A3686,0)),"")
</f>
        <v>3</v>
      </c>
      <c r="C2520" s="7">
        <f t="shared" si="1"/>
        <v>14</v>
      </c>
      <c r="D2520" s="6" t="str">
        <f t="array" ref="D2520">IFERROR(INDEX(user_table!$C$2:$C3686,MATCH(C2520,user_table!$B$2:$B3686,0)),"")
</f>
        <v>Ani Purnama</v>
      </c>
      <c r="E2520" s="6" t="str">
        <f t="array" ref="E2520">IFERROR(INDEX(user_table!$E$2:$E3686,MATCH(C2520,user_table!$B$2:$B3686,0)),"")
</f>
        <v>6, 2</v>
      </c>
      <c r="F2520" s="6" t="str">
        <f t="shared" si="2"/>
        <v>13133314</v>
      </c>
      <c r="G2520" s="16">
        <v>3.0</v>
      </c>
      <c r="H2520" s="17">
        <v>45117.0</v>
      </c>
      <c r="I2520" s="18" t="s">
        <v>2474</v>
      </c>
    </row>
    <row r="2521">
      <c r="A2521" s="5" t="str">
        <f t="array" ref="A2521">INDEX(event_table!$A$2:$A$69, RANDBETWEEN(1, COUNTA(event_table!$A$2:$A$69)))</f>
        <v>1424</v>
      </c>
      <c r="B2521" s="6">
        <f t="array" ref="B2521">IFERROR(INDEX(event_table!$E$1:$E3686,MATCH(A2521,event_table!$A$1:$A3686,0)),"")
</f>
        <v>4</v>
      </c>
      <c r="C2521" s="7">
        <f t="shared" si="1"/>
        <v>68</v>
      </c>
      <c r="D2521" s="6" t="str">
        <f t="array" ref="D2521">IFERROR(INDEX(user_table!$C$2:$C3686,MATCH(C2521,user_table!$B$2:$B3686,0)),"")
</f>
        <v>Wahyu Wijaya</v>
      </c>
      <c r="E2521" s="6" t="str">
        <f t="array" ref="E2521">IFERROR(INDEX(user_table!$E$2:$E3686,MATCH(C2521,user_table!$B$2:$B3686,0)),"")
</f>
        <v>4, 6</v>
      </c>
      <c r="F2521" s="6" t="str">
        <f t="shared" si="2"/>
        <v>14242468</v>
      </c>
      <c r="G2521" s="16">
        <v>2.0</v>
      </c>
      <c r="H2521" s="17">
        <v>44850.0</v>
      </c>
      <c r="I2521" s="18" t="s">
        <v>2475</v>
      </c>
    </row>
    <row r="2522">
      <c r="A2522" s="5" t="str">
        <f t="array" ref="A2522">INDEX(event_table!$A$2:$A$69, RANDBETWEEN(1, COUNTA(event_table!$A$2:$A$69)))</f>
        <v>3658</v>
      </c>
      <c r="B2522" s="6">
        <f t="array" ref="B2522">IFERROR(INDEX(event_table!$E$1:$E3686,MATCH(A2522,event_table!$A$1:$A3686,0)),"")
</f>
        <v>6</v>
      </c>
      <c r="C2522" s="7">
        <f t="shared" si="1"/>
        <v>189</v>
      </c>
      <c r="D2522" s="6" t="str">
        <f t="array" ref="D2522">IFERROR(INDEX(user_table!$C$2:$C3686,MATCH(C2522,user_table!$B$2:$B3686,0)),"")
</f>
        <v>Arif Putri</v>
      </c>
      <c r="E2522" s="6" t="str">
        <f t="array" ref="E2522">IFERROR(INDEX(user_table!$E$2:$E3686,MATCH(C2522,user_table!$B$2:$B3686,0)),"")
</f>
        <v>4, 2</v>
      </c>
      <c r="F2522" s="6" t="str">
        <f t="shared" si="2"/>
        <v>365826189</v>
      </c>
      <c r="G2522" s="16">
        <v>2.0</v>
      </c>
      <c r="H2522" s="17">
        <v>45137.0</v>
      </c>
      <c r="I2522" s="18" t="s">
        <v>2476</v>
      </c>
    </row>
    <row r="2523">
      <c r="A2523" s="5" t="str">
        <f t="array" ref="A2523">INDEX(event_table!$A$2:$A$69, RANDBETWEEN(1, COUNTA(event_table!$A$2:$A$69)))</f>
        <v>116</v>
      </c>
      <c r="B2523" s="6">
        <f t="array" ref="B2523">IFERROR(INDEX(event_table!$E$1:$E3686,MATCH(A2523,event_table!$A$1:$A3686,0)),"")
</f>
        <v>1</v>
      </c>
      <c r="C2523" s="7">
        <f t="shared" si="1"/>
        <v>96</v>
      </c>
      <c r="D2523" s="6" t="str">
        <f t="array" ref="D2523">IFERROR(INDEX(user_table!$C$2:$C3686,MATCH(C2523,user_table!$B$2:$B3686,0)),"")
</f>
        <v>Budi Sari</v>
      </c>
      <c r="E2523" s="6" t="str">
        <f t="array" ref="E2523">IFERROR(INDEX(user_table!$E$2:$E3686,MATCH(C2523,user_table!$B$2:$B3686,0)),"")
</f>
        <v>3, 2</v>
      </c>
      <c r="F2523" s="6" t="str">
        <f t="shared" si="2"/>
        <v>1162196</v>
      </c>
      <c r="G2523" s="16">
        <v>2.0</v>
      </c>
      <c r="H2523" s="17">
        <v>45013.0</v>
      </c>
      <c r="I2523" s="18" t="s">
        <v>2477</v>
      </c>
    </row>
    <row r="2524">
      <c r="A2524" s="5" t="str">
        <f t="array" ref="A2524">INDEX(event_table!$A$2:$A$69, RANDBETWEEN(1, COUNTA(event_table!$A$2:$A$69)))</f>
        <v>1553</v>
      </c>
      <c r="B2524" s="6">
        <f t="array" ref="B2524">IFERROR(INDEX(event_table!$E$1:$E3686,MATCH(A2524,event_table!$A$1:$A3686,0)),"")
</f>
        <v>5</v>
      </c>
      <c r="C2524" s="7">
        <f t="shared" si="1"/>
        <v>35</v>
      </c>
      <c r="D2524" s="6" t="str">
        <f t="array" ref="D2524">IFERROR(INDEX(user_table!$C$2:$C3686,MATCH(C2524,user_table!$B$2:$B3686,0)),"")
</f>
        <v>Maya Nugroho</v>
      </c>
      <c r="E2524" s="6" t="str">
        <f t="array" ref="E2524">IFERROR(INDEX(user_table!$E$2:$E3686,MATCH(C2524,user_table!$B$2:$B3686,0)),"")
</f>
        <v>6, 2</v>
      </c>
      <c r="F2524" s="6" t="str">
        <f t="shared" si="2"/>
        <v>15532535</v>
      </c>
      <c r="G2524" s="16">
        <v>2.0</v>
      </c>
      <c r="H2524" s="17">
        <v>45061.0</v>
      </c>
      <c r="I2524" s="18" t="s">
        <v>2478</v>
      </c>
    </row>
    <row r="2525">
      <c r="A2525" s="5" t="str">
        <f t="array" ref="A2525">INDEX(event_table!$A$2:$A$69, RANDBETWEEN(1, COUNTA(event_table!$A$2:$A$69)))</f>
        <v>1313</v>
      </c>
      <c r="B2525" s="6">
        <f t="array" ref="B2525">IFERROR(INDEX(event_table!$E$1:$E3686,MATCH(A2525,event_table!$A$1:$A3686,0)),"")
</f>
        <v>3</v>
      </c>
      <c r="C2525" s="7">
        <f t="shared" si="1"/>
        <v>198</v>
      </c>
      <c r="D2525" s="6" t="str">
        <f t="array" ref="D2525">IFERROR(INDEX(user_table!$C$2:$C3686,MATCH(C2525,user_table!$B$2:$B3686,0)),"")
</f>
        <v>Siti Nugroho</v>
      </c>
      <c r="E2525" s="6" t="str">
        <f t="array" ref="E2525">IFERROR(INDEX(user_table!$E$2:$E3686,MATCH(C2525,user_table!$B$2:$B3686,0)),"")
</f>
        <v>5, 2</v>
      </c>
      <c r="F2525" s="6" t="str">
        <f t="shared" si="2"/>
        <v>131313198</v>
      </c>
      <c r="G2525" s="16">
        <v>1.0</v>
      </c>
      <c r="H2525" s="17">
        <v>45183.0</v>
      </c>
      <c r="I2525" s="18" t="s">
        <v>2479</v>
      </c>
    </row>
    <row r="2526">
      <c r="A2526" s="5" t="str">
        <f t="array" ref="A2526">INDEX(event_table!$A$2:$A$69, RANDBETWEEN(1, COUNTA(event_table!$A$2:$A$69)))</f>
        <v>3455</v>
      </c>
      <c r="B2526" s="6">
        <f t="array" ref="B2526">IFERROR(INDEX(event_table!$E$1:$E3686,MATCH(A2526,event_table!$A$1:$A3686,0)),"")
</f>
        <v>4</v>
      </c>
      <c r="C2526" s="7">
        <f t="shared" si="1"/>
        <v>93</v>
      </c>
      <c r="D2526" s="6" t="str">
        <f t="array" ref="D2526">IFERROR(INDEX(user_table!$C$2:$C3686,MATCH(C2526,user_table!$B$2:$B3686,0)),"")
</f>
        <v>Hadi Putri</v>
      </c>
      <c r="E2526" s="6" t="str">
        <f t="array" ref="E2526">IFERROR(INDEX(user_table!$E$2:$E3686,MATCH(C2526,user_table!$B$2:$B3686,0)),"")
</f>
        <v>5, 6</v>
      </c>
      <c r="F2526" s="6" t="str">
        <f t="shared" si="2"/>
        <v>34551493</v>
      </c>
      <c r="G2526" s="16">
        <v>1.0</v>
      </c>
      <c r="H2526" s="17">
        <v>45265.0</v>
      </c>
      <c r="I2526" s="18" t="s">
        <v>2480</v>
      </c>
    </row>
    <row r="2527">
      <c r="A2527" s="5" t="str">
        <f t="array" ref="A2527">INDEX(event_table!$A$2:$A$69, RANDBETWEEN(1, COUNTA(event_table!$A$2:$A$69)))</f>
        <v>1427</v>
      </c>
      <c r="B2527" s="6">
        <f t="array" ref="B2527">IFERROR(INDEX(event_table!$E$1:$E3686,MATCH(A2527,event_table!$A$1:$A3686,0)),"")
</f>
        <v>4</v>
      </c>
      <c r="C2527" s="7">
        <f t="shared" si="1"/>
        <v>33</v>
      </c>
      <c r="D2527" s="6" t="str">
        <f t="array" ref="D2527">IFERROR(INDEX(user_table!$C$2:$C3686,MATCH(C2527,user_table!$B$2:$B3686,0)),"")
</f>
        <v>Dewi Wijaya</v>
      </c>
      <c r="E2527" s="6" t="str">
        <f t="array" ref="E2527">IFERROR(INDEX(user_table!$E$2:$E3686,MATCH(C2527,user_table!$B$2:$B3686,0)),"")
</f>
        <v>4, 2</v>
      </c>
      <c r="F2527" s="6" t="str">
        <f t="shared" si="2"/>
        <v>14271433</v>
      </c>
      <c r="G2527" s="16">
        <v>1.0</v>
      </c>
      <c r="H2527" s="17">
        <v>45218.0</v>
      </c>
      <c r="I2527" s="18" t="s">
        <v>2481</v>
      </c>
    </row>
    <row r="2528">
      <c r="A2528" s="5" t="str">
        <f t="array" ref="A2528">INDEX(event_table!$A$2:$A$69, RANDBETWEEN(1, COUNTA(event_table!$A$2:$A$69)))</f>
        <v>1333</v>
      </c>
      <c r="B2528" s="6">
        <f t="array" ref="B2528">IFERROR(INDEX(event_table!$E$1:$E3686,MATCH(A2528,event_table!$A$1:$A3686,0)),"")
</f>
        <v>3</v>
      </c>
      <c r="C2528" s="7">
        <f t="shared" si="1"/>
        <v>14</v>
      </c>
      <c r="D2528" s="6" t="str">
        <f t="array" ref="D2528">IFERROR(INDEX(user_table!$C$2:$C3686,MATCH(C2528,user_table!$B$2:$B3686,0)),"")
</f>
        <v>Ani Purnama</v>
      </c>
      <c r="E2528" s="6" t="str">
        <f t="array" ref="E2528">IFERROR(INDEX(user_table!$E$2:$E3686,MATCH(C2528,user_table!$B$2:$B3686,0)),"")
</f>
        <v>6, 2</v>
      </c>
      <c r="F2528" s="6" t="str">
        <f t="shared" si="2"/>
        <v>13331314</v>
      </c>
      <c r="G2528" s="16">
        <v>1.0</v>
      </c>
      <c r="H2528" s="17">
        <v>45143.0</v>
      </c>
      <c r="I2528" s="18" t="s">
        <v>2482</v>
      </c>
    </row>
    <row r="2529">
      <c r="A2529" s="5" t="str">
        <f t="array" ref="A2529">INDEX(event_table!$A$2:$A$69, RANDBETWEEN(1, COUNTA(event_table!$A$2:$A$69)))</f>
        <v>1642</v>
      </c>
      <c r="B2529" s="6">
        <f t="array" ref="B2529">IFERROR(INDEX(event_table!$E$1:$E3686,MATCH(A2529,event_table!$A$1:$A3686,0)),"")
</f>
        <v>6</v>
      </c>
      <c r="C2529" s="7">
        <f t="shared" si="1"/>
        <v>195</v>
      </c>
      <c r="D2529" s="6" t="str">
        <f t="array" ref="D2529">IFERROR(INDEX(user_table!$C$2:$C3686,MATCH(C2529,user_table!$B$2:$B3686,0)),"")
</f>
        <v>Rudi Purnama</v>
      </c>
      <c r="E2529" s="6" t="str">
        <f t="array" ref="E2529">IFERROR(INDEX(user_table!$E$2:$E3686,MATCH(C2529,user_table!$B$2:$B3686,0)),"")
</f>
        <v>2, 4</v>
      </c>
      <c r="F2529" s="6" t="str">
        <f t="shared" si="2"/>
        <v>164216195</v>
      </c>
      <c r="G2529" s="16">
        <v>1.0</v>
      </c>
      <c r="H2529" s="17">
        <v>45143.0</v>
      </c>
      <c r="I2529" s="18" t="s">
        <v>2483</v>
      </c>
    </row>
    <row r="2530">
      <c r="A2530" s="5" t="str">
        <f t="array" ref="A2530">INDEX(event_table!$A$2:$A$69, RANDBETWEEN(1, COUNTA(event_table!$A$2:$A$69)))</f>
        <v>1646</v>
      </c>
      <c r="B2530" s="6">
        <f t="array" ref="B2530">IFERROR(INDEX(event_table!$E$1:$E3686,MATCH(A2530,event_table!$A$1:$A3686,0)),"")
</f>
        <v>6</v>
      </c>
      <c r="C2530" s="7">
        <f t="shared" si="1"/>
        <v>71</v>
      </c>
      <c r="D2530" s="6" t="str">
        <f t="array" ref="D2530">IFERROR(INDEX(user_table!$C$2:$C3686,MATCH(C2530,user_table!$B$2:$B3686,0)),"")
</f>
        <v>Hadi Putri</v>
      </c>
      <c r="E2530" s="6" t="str">
        <f t="array" ref="E2530">IFERROR(INDEX(user_table!$E$2:$E3686,MATCH(C2530,user_table!$B$2:$B3686,0)),"")
</f>
        <v>3, 3</v>
      </c>
      <c r="F2530" s="6" t="str">
        <f t="shared" si="2"/>
        <v>16461671</v>
      </c>
      <c r="G2530" s="16">
        <v>1.0</v>
      </c>
      <c r="H2530" s="17">
        <v>45143.0</v>
      </c>
      <c r="I2530" s="18" t="s">
        <v>2484</v>
      </c>
    </row>
    <row r="2531">
      <c r="A2531" s="5" t="str">
        <f t="array" ref="A2531">INDEX(event_table!$A$2:$A$69, RANDBETWEEN(1, COUNTA(event_table!$A$2:$A$69)))</f>
        <v>1645</v>
      </c>
      <c r="B2531" s="6">
        <f t="array" ref="B2531">IFERROR(INDEX(event_table!$E$1:$E3686,MATCH(A2531,event_table!$A$1:$A3686,0)),"")
</f>
        <v>6</v>
      </c>
      <c r="C2531" s="7">
        <f t="shared" si="1"/>
        <v>128</v>
      </c>
      <c r="D2531" s="6" t="str">
        <f t="array" ref="D2531">IFERROR(INDEX(user_table!$C$2:$C3686,MATCH(C2531,user_table!$B$2:$B3686,0)),"")
</f>
        <v>Bambang Utami</v>
      </c>
      <c r="E2531" s="6" t="str">
        <f t="array" ref="E2531">IFERROR(INDEX(user_table!$E$2:$E3686,MATCH(C2531,user_table!$B$2:$B3686,0)),"")
</f>
        <v>3, 6</v>
      </c>
      <c r="F2531" s="6" t="str">
        <f t="shared" si="2"/>
        <v>164516128</v>
      </c>
      <c r="G2531" s="16">
        <v>1.0</v>
      </c>
      <c r="H2531" s="17">
        <v>45143.0</v>
      </c>
      <c r="I2531" s="18" t="s">
        <v>2485</v>
      </c>
    </row>
    <row r="2532">
      <c r="A2532" s="5" t="str">
        <f t="array" ref="A2532">INDEX(event_table!$A$2:$A$69, RANDBETWEEN(1, COUNTA(event_table!$A$2:$A$69)))</f>
        <v>113</v>
      </c>
      <c r="B2532" s="6">
        <f t="array" ref="B2532">IFERROR(INDEX(event_table!$E$1:$E3686,MATCH(A2532,event_table!$A$1:$A3686,0)),"")
</f>
        <v>1</v>
      </c>
      <c r="C2532" s="7">
        <f t="shared" si="1"/>
        <v>137</v>
      </c>
      <c r="D2532" s="6" t="str">
        <f t="array" ref="D2532">IFERROR(INDEX(user_table!$C$2:$C3686,MATCH(C2532,user_table!$B$2:$B3686,0)),"")
</f>
        <v>Dina Pratama</v>
      </c>
      <c r="E2532" s="6" t="str">
        <f t="array" ref="E2532">IFERROR(INDEX(user_table!$E$2:$E3686,MATCH(C2532,user_table!$B$2:$B3686,0)),"")
</f>
        <v>4, 4</v>
      </c>
      <c r="F2532" s="6" t="str">
        <f t="shared" si="2"/>
        <v>11311137</v>
      </c>
      <c r="G2532" s="16">
        <v>1.0</v>
      </c>
      <c r="H2532" s="17">
        <v>45034.0</v>
      </c>
      <c r="I2532" s="18" t="s">
        <v>2486</v>
      </c>
    </row>
    <row r="2533">
      <c r="A2533" s="5" t="str">
        <f t="array" ref="A2533">INDEX(event_table!$A$2:$A$69, RANDBETWEEN(1, COUNTA(event_table!$A$2:$A$69)))</f>
        <v>3356</v>
      </c>
      <c r="B2533" s="6">
        <f t="array" ref="B2533">IFERROR(INDEX(event_table!$E$1:$E3686,MATCH(A2533,event_table!$A$1:$A3686,0)),"")
</f>
        <v>3</v>
      </c>
      <c r="C2533" s="7">
        <f t="shared" si="1"/>
        <v>147</v>
      </c>
      <c r="D2533" s="6" t="str">
        <f t="array" ref="D2533">IFERROR(INDEX(user_table!$C$2:$C3686,MATCH(C2533,user_table!$B$2:$B3686,0)),"")
</f>
        <v>Fajar Saputra</v>
      </c>
      <c r="E2533" s="6" t="str">
        <f t="array" ref="E2533">IFERROR(INDEX(user_table!$E$2:$E3686,MATCH(C2533,user_table!$B$2:$B3686,0)),"")
</f>
        <v>6, 2</v>
      </c>
      <c r="F2533" s="6" t="str">
        <f t="shared" si="2"/>
        <v>335613147</v>
      </c>
      <c r="G2533" s="16">
        <v>1.0</v>
      </c>
      <c r="H2533" s="17">
        <v>45027.0</v>
      </c>
      <c r="I2533" s="18" t="s">
        <v>2487</v>
      </c>
    </row>
    <row r="2534">
      <c r="A2534" s="5" t="str">
        <f t="array" ref="A2534">INDEX(event_table!$A$2:$A$69, RANDBETWEEN(1, COUNTA(event_table!$A$2:$A$69)))</f>
        <v>1425</v>
      </c>
      <c r="B2534" s="6">
        <f t="array" ref="B2534">IFERROR(INDEX(event_table!$E$1:$E3686,MATCH(A2534,event_table!$A$1:$A3686,0)),"")
</f>
        <v>4</v>
      </c>
      <c r="C2534" s="7">
        <f t="shared" si="1"/>
        <v>4</v>
      </c>
      <c r="D2534" s="6" t="str">
        <f t="array" ref="D2534">IFERROR(INDEX(user_table!$C$2:$C3686,MATCH(C2534,user_table!$B$2:$B3686,0)),"")
</f>
        <v>Dina Utami</v>
      </c>
      <c r="E2534" s="6" t="str">
        <f t="array" ref="E2534">IFERROR(INDEX(user_table!$E$2:$E3686,MATCH(C2534,user_table!$B$2:$B3686,0)),"")
</f>
        <v>6, 2</v>
      </c>
      <c r="F2534" s="6" t="str">
        <f t="shared" si="2"/>
        <v>1425144</v>
      </c>
      <c r="G2534" s="16">
        <v>1.0</v>
      </c>
      <c r="H2534" s="17">
        <v>45020.0</v>
      </c>
      <c r="I2534" s="18" t="s">
        <v>1172</v>
      </c>
    </row>
    <row r="2535">
      <c r="A2535" s="5" t="str">
        <f t="array" ref="A2535">INDEX(event_table!$A$2:$A$69, RANDBETWEEN(1, COUNTA(event_table!$A$2:$A$69)))</f>
        <v>1420</v>
      </c>
      <c r="B2535" s="6">
        <f t="array" ref="B2535">IFERROR(INDEX(event_table!$E$1:$E3686,MATCH(A2535,event_table!$A$1:$A3686,0)),"")
</f>
        <v>4</v>
      </c>
      <c r="C2535" s="7">
        <f t="shared" si="1"/>
        <v>114</v>
      </c>
      <c r="D2535" s="6" t="str">
        <f t="array" ref="D2535">IFERROR(INDEX(user_table!$C$2:$C3686,MATCH(C2535,user_table!$B$2:$B3686,0)),"")
</f>
        <v>Ani Sari</v>
      </c>
      <c r="E2535" s="6" t="str">
        <f t="array" ref="E2535">IFERROR(INDEX(user_table!$E$2:$E3686,MATCH(C2535,user_table!$B$2:$B3686,0)),"")
</f>
        <v>4, 3</v>
      </c>
      <c r="F2535" s="6" t="str">
        <f t="shared" si="2"/>
        <v>142054114</v>
      </c>
      <c r="G2535" s="16">
        <v>5.0</v>
      </c>
      <c r="H2535" s="17">
        <v>44747.0</v>
      </c>
      <c r="I2535" s="18" t="s">
        <v>2488</v>
      </c>
    </row>
    <row r="2536">
      <c r="A2536" s="5" t="str">
        <f t="array" ref="A2536">INDEX(event_table!$A$2:$A$69, RANDBETWEEN(1, COUNTA(event_table!$A$2:$A$69)))</f>
        <v>1652</v>
      </c>
      <c r="B2536" s="6">
        <f t="array" ref="B2536">IFERROR(INDEX(event_table!$E$1:$E3686,MATCH(A2536,event_table!$A$1:$A3686,0)),"")
</f>
        <v>6</v>
      </c>
      <c r="C2536" s="7">
        <f t="shared" si="1"/>
        <v>154</v>
      </c>
      <c r="D2536" s="6" t="str">
        <f t="array" ref="D2536">IFERROR(INDEX(user_table!$C$2:$C3686,MATCH(C2536,user_table!$B$2:$B3686,0)),"")
</f>
        <v>Dian Nurhayati</v>
      </c>
      <c r="E2536" s="6" t="str">
        <f t="array" ref="E2536">IFERROR(INDEX(user_table!$E$2:$E3686,MATCH(C2536,user_table!$B$2:$B3686,0)),"")
</f>
        <v>5, 3</v>
      </c>
      <c r="F2536" s="6" t="str">
        <f t="shared" si="2"/>
        <v>165256154</v>
      </c>
      <c r="G2536" s="16">
        <v>5.0</v>
      </c>
      <c r="H2536" s="17">
        <v>44738.0</v>
      </c>
      <c r="I2536" s="18" t="s">
        <v>2489</v>
      </c>
    </row>
    <row r="2537">
      <c r="A2537" s="5" t="str">
        <f t="array" ref="A2537">INDEX(event_table!$A$2:$A$69, RANDBETWEEN(1, COUNTA(event_table!$A$2:$A$69)))</f>
        <v>115</v>
      </c>
      <c r="B2537" s="6">
        <f t="array" ref="B2537">IFERROR(INDEX(event_table!$E$1:$E3686,MATCH(A2537,event_table!$A$1:$A3686,0)),"")
</f>
        <v>1</v>
      </c>
      <c r="C2537" s="7">
        <f t="shared" si="1"/>
        <v>75</v>
      </c>
      <c r="D2537" s="6" t="str">
        <f t="array" ref="D2537">IFERROR(INDEX(user_table!$C$2:$C3686,MATCH(C2537,user_table!$B$2:$B3686,0)),"")
</f>
        <v>Citra Sari</v>
      </c>
      <c r="E2537" s="6" t="str">
        <f t="array" ref="E2537">IFERROR(INDEX(user_table!$E$2:$E3686,MATCH(C2537,user_table!$B$2:$B3686,0)),"")
</f>
        <v>2, 5</v>
      </c>
      <c r="F2537" s="6" t="str">
        <f t="shared" si="2"/>
        <v>1155175</v>
      </c>
      <c r="G2537" s="16">
        <v>5.0</v>
      </c>
      <c r="H2537" s="17">
        <v>44708.0</v>
      </c>
      <c r="I2537" s="18" t="s">
        <v>2490</v>
      </c>
    </row>
    <row r="2538">
      <c r="A2538" s="5" t="str">
        <f t="array" ref="A2538">INDEX(event_table!$A$2:$A$69, RANDBETWEEN(1, COUNTA(event_table!$A$2:$A$69)))</f>
        <v>3164</v>
      </c>
      <c r="B2538" s="6">
        <f t="array" ref="B2538">IFERROR(INDEX(event_table!$E$1:$E3686,MATCH(A2538,event_table!$A$1:$A3686,0)),"")
</f>
        <v>1</v>
      </c>
      <c r="C2538" s="7">
        <f t="shared" si="1"/>
        <v>199</v>
      </c>
      <c r="D2538" s="6" t="str">
        <f t="array" ref="D2538">IFERROR(INDEX(user_table!$C$2:$C3686,MATCH(C2538,user_table!$B$2:$B3686,0)),"")
</f>
        <v>Rudi Putri</v>
      </c>
      <c r="E2538" s="6" t="str">
        <f t="array" ref="E2538">IFERROR(INDEX(user_table!$E$2:$E3686,MATCH(C2538,user_table!$B$2:$B3686,0)),"")
</f>
        <v>2, 1</v>
      </c>
      <c r="F2538" s="6" t="str">
        <f t="shared" si="2"/>
        <v>316451199</v>
      </c>
      <c r="G2538" s="16">
        <v>5.0</v>
      </c>
      <c r="H2538" s="17">
        <v>44688.0</v>
      </c>
      <c r="I2538" s="18" t="s">
        <v>2491</v>
      </c>
    </row>
    <row r="2539">
      <c r="A2539" s="5" t="str">
        <f t="array" ref="A2539">INDEX(event_table!$A$2:$A$69, RANDBETWEEN(1, COUNTA(event_table!$A$2:$A$69)))</f>
        <v>122</v>
      </c>
      <c r="B2539" s="6">
        <f t="array" ref="B2539">IFERROR(INDEX(event_table!$E$1:$E3686,MATCH(A2539,event_table!$A$1:$A3686,0)),"")
</f>
        <v>2</v>
      </c>
      <c r="C2539" s="7">
        <f t="shared" si="1"/>
        <v>92</v>
      </c>
      <c r="D2539" s="6" t="str">
        <f t="array" ref="D2539">IFERROR(INDEX(user_table!$C$2:$C3686,MATCH(C2539,user_table!$B$2:$B3686,0)),"")
</f>
        <v>Andi Susanto</v>
      </c>
      <c r="E2539" s="6" t="str">
        <f t="array" ref="E2539">IFERROR(INDEX(user_table!$E$2:$E3686,MATCH(C2539,user_table!$B$2:$B3686,0)),"")
</f>
        <v>4, 4</v>
      </c>
      <c r="F2539" s="6" t="str">
        <f t="shared" si="2"/>
        <v>1225292</v>
      </c>
      <c r="G2539" s="16">
        <v>5.0</v>
      </c>
      <c r="H2539" s="17">
        <v>45158.0</v>
      </c>
      <c r="I2539" s="18" t="s">
        <v>2492</v>
      </c>
    </row>
    <row r="2540">
      <c r="A2540" s="5" t="str">
        <f t="array" ref="A2540">INDEX(event_table!$A$2:$A$69, RANDBETWEEN(1, COUNTA(event_table!$A$2:$A$69)))</f>
        <v>3164</v>
      </c>
      <c r="B2540" s="6">
        <f t="array" ref="B2540">IFERROR(INDEX(event_table!$E$1:$E3686,MATCH(A2540,event_table!$A$1:$A3686,0)),"")
</f>
        <v>1</v>
      </c>
      <c r="C2540" s="7">
        <f t="shared" si="1"/>
        <v>199</v>
      </c>
      <c r="D2540" s="6" t="str">
        <f t="array" ref="D2540">IFERROR(INDEX(user_table!$C$2:$C3686,MATCH(C2540,user_table!$B$2:$B3686,0)),"")
</f>
        <v>Rudi Putri</v>
      </c>
      <c r="E2540" s="6" t="str">
        <f t="array" ref="E2540">IFERROR(INDEX(user_table!$E$2:$E3686,MATCH(C2540,user_table!$B$2:$B3686,0)),"")
</f>
        <v>2, 1</v>
      </c>
      <c r="F2540" s="6" t="str">
        <f t="shared" si="2"/>
        <v>316451199</v>
      </c>
      <c r="G2540" s="16">
        <v>5.0</v>
      </c>
      <c r="H2540" s="17">
        <v>44768.0</v>
      </c>
      <c r="I2540" s="18" t="s">
        <v>2493</v>
      </c>
    </row>
    <row r="2541">
      <c r="A2541" s="5" t="str">
        <f t="array" ref="A2541">INDEX(event_table!$A$2:$A$69, RANDBETWEEN(1, COUNTA(event_table!$A$2:$A$69)))</f>
        <v>122</v>
      </c>
      <c r="B2541" s="6">
        <f t="array" ref="B2541">IFERROR(INDEX(event_table!$E$1:$E3686,MATCH(A2541,event_table!$A$1:$A3686,0)),"")
</f>
        <v>2</v>
      </c>
      <c r="C2541" s="7">
        <f t="shared" si="1"/>
        <v>148</v>
      </c>
      <c r="D2541" s="6" t="str">
        <f t="array" ref="D2541">IFERROR(INDEX(user_table!$C$2:$C3686,MATCH(C2541,user_table!$B$2:$B3686,0)),"")
</f>
        <v>Fajar Setiawan</v>
      </c>
      <c r="E2541" s="6" t="str">
        <f t="array" ref="E2541">IFERROR(INDEX(user_table!$E$2:$E3686,MATCH(C2541,user_table!$B$2:$B3686,0)),"")
</f>
        <v>6, 4</v>
      </c>
      <c r="F2541" s="6" t="str">
        <f t="shared" si="2"/>
        <v>12252148</v>
      </c>
      <c r="G2541" s="16">
        <v>5.0</v>
      </c>
      <c r="H2541" s="17">
        <v>44768.0</v>
      </c>
      <c r="I2541" s="18" t="s">
        <v>2494</v>
      </c>
    </row>
    <row r="2542">
      <c r="A2542" s="5" t="str">
        <f t="array" ref="A2542">INDEX(event_table!$A$2:$A$69, RANDBETWEEN(1, COUNTA(event_table!$A$2:$A$69)))</f>
        <v>116</v>
      </c>
      <c r="B2542" s="6">
        <f t="array" ref="B2542">IFERROR(INDEX(event_table!$E$1:$E3686,MATCH(A2542,event_table!$A$1:$A3686,0)),"")
</f>
        <v>1</v>
      </c>
      <c r="C2542" s="7">
        <f t="shared" si="1"/>
        <v>107</v>
      </c>
      <c r="D2542" s="6" t="str">
        <f t="array" ref="D2542">IFERROR(INDEX(user_table!$C$2:$C3686,MATCH(C2542,user_table!$B$2:$B3686,0)),"")
</f>
        <v>Citra Rahayu</v>
      </c>
      <c r="E2542" s="6" t="str">
        <f t="array" ref="E2542">IFERROR(INDEX(user_table!$E$2:$E3686,MATCH(C2542,user_table!$B$2:$B3686,0)),"")
</f>
        <v>1, 5</v>
      </c>
      <c r="F2542" s="6" t="str">
        <f t="shared" si="2"/>
        <v>11651107</v>
      </c>
      <c r="G2542" s="16">
        <v>5.0</v>
      </c>
      <c r="H2542" s="17">
        <v>44748.0</v>
      </c>
      <c r="I2542" s="18" t="s">
        <v>2495</v>
      </c>
    </row>
    <row r="2543">
      <c r="A2543" s="5" t="str">
        <f t="array" ref="A2543">INDEX(event_table!$A$2:$A$69, RANDBETWEEN(1, COUNTA(event_table!$A$2:$A$69)))</f>
        <v>1645</v>
      </c>
      <c r="B2543" s="6">
        <f t="array" ref="B2543">IFERROR(INDEX(event_table!$E$1:$E3686,MATCH(A2543,event_table!$A$1:$A3686,0)),"")
</f>
        <v>6</v>
      </c>
      <c r="C2543" s="7">
        <f t="shared" si="1"/>
        <v>45</v>
      </c>
      <c r="D2543" s="6" t="str">
        <f t="array" ref="D2543">IFERROR(INDEX(user_table!$C$2:$C3686,MATCH(C2543,user_table!$B$2:$B3686,0)),"")
</f>
        <v>Siti Kurniawan</v>
      </c>
      <c r="E2543" s="6" t="str">
        <f t="array" ref="E2543">IFERROR(INDEX(user_table!$E$2:$E3686,MATCH(C2543,user_table!$B$2:$B3686,0)),"")
</f>
        <v>1, 1</v>
      </c>
      <c r="F2543" s="6" t="str">
        <f t="shared" si="2"/>
        <v>16455645</v>
      </c>
      <c r="G2543" s="16">
        <v>5.0</v>
      </c>
      <c r="H2543" s="17">
        <v>44703.0</v>
      </c>
      <c r="I2543" s="18" t="s">
        <v>2496</v>
      </c>
    </row>
    <row r="2544">
      <c r="A2544" s="5" t="str">
        <f t="array" ref="A2544">INDEX(event_table!$A$2:$A$69, RANDBETWEEN(1, COUNTA(event_table!$A$2:$A$69)))</f>
        <v>1529</v>
      </c>
      <c r="B2544" s="6">
        <f t="array" ref="B2544">IFERROR(INDEX(event_table!$E$1:$E3686,MATCH(A2544,event_table!$A$1:$A3686,0)),"")
</f>
        <v>5</v>
      </c>
      <c r="C2544" s="7">
        <f t="shared" si="1"/>
        <v>89</v>
      </c>
      <c r="D2544" s="6" t="str">
        <f t="array" ref="D2544">IFERROR(INDEX(user_table!$C$2:$C3686,MATCH(C2544,user_table!$B$2:$B3686,0)),"")
</f>
        <v>Hadi Wijaya</v>
      </c>
      <c r="E2544" s="6" t="str">
        <f t="array" ref="E2544">IFERROR(INDEX(user_table!$E$2:$E3686,MATCH(C2544,user_table!$B$2:$B3686,0)),"")
</f>
        <v>6, 4</v>
      </c>
      <c r="F2544" s="6" t="str">
        <f t="shared" si="2"/>
        <v>15295589</v>
      </c>
      <c r="G2544" s="16">
        <v>5.0</v>
      </c>
      <c r="H2544" s="17">
        <v>44680.0</v>
      </c>
      <c r="I2544" s="18" t="s">
        <v>2497</v>
      </c>
    </row>
    <row r="2545">
      <c r="A2545" s="5" t="str">
        <f t="array" ref="A2545">INDEX(event_table!$A$2:$A$69, RANDBETWEEN(1, COUNTA(event_table!$A$2:$A$69)))</f>
        <v>1519</v>
      </c>
      <c r="B2545" s="6">
        <f t="array" ref="B2545">IFERROR(INDEX(event_table!$E$1:$E3686,MATCH(A2545,event_table!$A$1:$A3686,0)),"")
</f>
        <v>5</v>
      </c>
      <c r="C2545" s="7">
        <f t="shared" si="1"/>
        <v>11</v>
      </c>
      <c r="D2545" s="6" t="str">
        <f t="array" ref="D2545">IFERROR(INDEX(user_table!$C$2:$C3686,MATCH(C2545,user_table!$B$2:$B3686,0)),"")
</f>
        <v>Arif Sari</v>
      </c>
      <c r="E2545" s="6" t="str">
        <f t="array" ref="E2545">IFERROR(INDEX(user_table!$E$2:$E3686,MATCH(C2545,user_table!$B$2:$B3686,0)),"")
</f>
        <v>5, 2</v>
      </c>
      <c r="F2545" s="6" t="str">
        <f t="shared" si="2"/>
        <v>15194511</v>
      </c>
      <c r="G2545" s="16">
        <v>4.0</v>
      </c>
      <c r="H2545" s="17">
        <v>45069.0</v>
      </c>
      <c r="I2545" s="18" t="s">
        <v>2498</v>
      </c>
    </row>
    <row r="2546">
      <c r="A2546" s="5" t="str">
        <f t="array" ref="A2546">INDEX(event_table!$A$2:$A$69, RANDBETWEEN(1, COUNTA(event_table!$A$2:$A$69)))</f>
        <v>3169</v>
      </c>
      <c r="B2546" s="6">
        <f t="array" ref="B2546">IFERROR(INDEX(event_table!$E$1:$E3686,MATCH(A2546,event_table!$A$1:$A3686,0)),"")
</f>
        <v>1</v>
      </c>
      <c r="C2546" s="7">
        <f t="shared" si="1"/>
        <v>200</v>
      </c>
      <c r="D2546" s="6" t="str">
        <f t="array" ref="D2546">IFERROR(INDEX(user_table!$C$2:$C3686,MATCH(C2546,user_table!$B$2:$B3686,0)),"")
</f>
        <v>Dina Susanto</v>
      </c>
      <c r="E2546" s="6" t="str">
        <f t="array" ref="E2546">IFERROR(INDEX(user_table!$E$2:$E3686,MATCH(C2546,user_table!$B$2:$B3686,0)),"")
</f>
        <v>5, 4</v>
      </c>
      <c r="F2546" s="6" t="str">
        <f t="shared" si="2"/>
        <v>316941200</v>
      </c>
      <c r="G2546" s="16">
        <v>4.0</v>
      </c>
      <c r="H2546" s="17">
        <v>44686.0</v>
      </c>
      <c r="I2546" s="18" t="s">
        <v>2499</v>
      </c>
    </row>
    <row r="2547">
      <c r="A2547" s="5" t="str">
        <f t="array" ref="A2547">INDEX(event_table!$A$2:$A$69, RANDBETWEEN(1, COUNTA(event_table!$A$2:$A$69)))</f>
        <v>1644</v>
      </c>
      <c r="B2547" s="6">
        <f t="array" ref="B2547">IFERROR(INDEX(event_table!$E$1:$E3686,MATCH(A2547,event_table!$A$1:$A3686,0)),"")
</f>
        <v>6</v>
      </c>
      <c r="C2547" s="7">
        <f t="shared" si="1"/>
        <v>98</v>
      </c>
      <c r="D2547" s="6" t="str">
        <f t="array" ref="D2547">IFERROR(INDEX(user_table!$C$2:$C3686,MATCH(C2547,user_table!$B$2:$B3686,0)),"")
</f>
        <v>Agus Hidayat</v>
      </c>
      <c r="E2547" s="6" t="str">
        <f t="array" ref="E2547">IFERROR(INDEX(user_table!$E$2:$E3686,MATCH(C2547,user_table!$B$2:$B3686,0)),"")
</f>
        <v>3, 6</v>
      </c>
      <c r="F2547" s="6" t="str">
        <f t="shared" si="2"/>
        <v>16444698</v>
      </c>
      <c r="G2547" s="16">
        <v>4.0</v>
      </c>
      <c r="H2547" s="17">
        <v>44730.0</v>
      </c>
      <c r="I2547" s="18" t="s">
        <v>2500</v>
      </c>
    </row>
    <row r="2548">
      <c r="A2548" s="5" t="str">
        <f t="array" ref="A2548">INDEX(event_table!$A$2:$A$69, RANDBETWEEN(1, COUNTA(event_table!$A$2:$A$69)))</f>
        <v>1645</v>
      </c>
      <c r="B2548" s="6">
        <f t="array" ref="B2548">IFERROR(INDEX(event_table!$E$1:$E3686,MATCH(A2548,event_table!$A$1:$A3686,0)),"")
</f>
        <v>6</v>
      </c>
      <c r="C2548" s="7">
        <f t="shared" si="1"/>
        <v>28</v>
      </c>
      <c r="D2548" s="6" t="str">
        <f t="array" ref="D2548">IFERROR(INDEX(user_table!$C$2:$C3686,MATCH(C2548,user_table!$B$2:$B3686,0)),"")
</f>
        <v>Fandi Putri</v>
      </c>
      <c r="E2548" s="6" t="str">
        <f t="array" ref="E2548">IFERROR(INDEX(user_table!$E$2:$E3686,MATCH(C2548,user_table!$B$2:$B3686,0)),"")
</f>
        <v>5, 1</v>
      </c>
      <c r="F2548" s="6" t="str">
        <f t="shared" si="2"/>
        <v>16454628</v>
      </c>
      <c r="G2548" s="16">
        <v>4.0</v>
      </c>
      <c r="H2548" s="17">
        <v>44726.0</v>
      </c>
      <c r="I2548" s="18" t="s">
        <v>2501</v>
      </c>
    </row>
    <row r="2549">
      <c r="A2549" s="5" t="str">
        <f t="array" ref="A2549">INDEX(event_table!$A$2:$A$69, RANDBETWEEN(1, COUNTA(event_table!$A$2:$A$69)))</f>
        <v>1110</v>
      </c>
      <c r="B2549" s="6">
        <f t="array" ref="B2549">IFERROR(INDEX(event_table!$E$1:$E3686,MATCH(A2549,event_table!$A$1:$A3686,0)),"")
</f>
        <v>1</v>
      </c>
      <c r="C2549" s="7">
        <f t="shared" si="1"/>
        <v>127</v>
      </c>
      <c r="D2549" s="6" t="str">
        <f t="array" ref="D2549">IFERROR(INDEX(user_table!$C$2:$C3686,MATCH(C2549,user_table!$B$2:$B3686,0)),"")
</f>
        <v>Sinta Wijaya</v>
      </c>
      <c r="E2549" s="6" t="str">
        <f t="array" ref="E2549">IFERROR(INDEX(user_table!$E$2:$E3686,MATCH(C2549,user_table!$B$2:$B3686,0)),"")
</f>
        <v>6, 4</v>
      </c>
      <c r="F2549" s="6" t="str">
        <f t="shared" si="2"/>
        <v>111031127</v>
      </c>
      <c r="G2549" s="16">
        <v>3.0</v>
      </c>
      <c r="H2549" s="17">
        <v>44935.0</v>
      </c>
      <c r="I2549" s="18" t="s">
        <v>2502</v>
      </c>
    </row>
    <row r="2550">
      <c r="A2550" s="5" t="str">
        <f t="array" ref="A2550">INDEX(event_table!$A$2:$A$69, RANDBETWEEN(1, COUNTA(event_table!$A$2:$A$69)))</f>
        <v>111</v>
      </c>
      <c r="B2550" s="6">
        <f t="array" ref="B2550">IFERROR(INDEX(event_table!$E$1:$E3686,MATCH(A2550,event_table!$A$1:$A3686,0)),"")
</f>
        <v>1</v>
      </c>
      <c r="C2550" s="7">
        <f t="shared" si="1"/>
        <v>191</v>
      </c>
      <c r="D2550" s="6" t="str">
        <f t="array" ref="D2550">IFERROR(INDEX(user_table!$C$2:$C3686,MATCH(C2550,user_table!$B$2:$B3686,0)),"")
</f>
        <v>Rudi Hermawan</v>
      </c>
      <c r="E2550" s="6" t="str">
        <f t="array" ref="E2550">IFERROR(INDEX(user_table!$E$2:$E3686,MATCH(C2550,user_table!$B$2:$B3686,0)),"")
</f>
        <v>5, 6</v>
      </c>
      <c r="F2550" s="6" t="str">
        <f t="shared" si="2"/>
        <v>11131191</v>
      </c>
      <c r="G2550" s="16">
        <v>3.0</v>
      </c>
      <c r="H2550" s="17">
        <v>45266.0</v>
      </c>
      <c r="I2550" s="18" t="s">
        <v>2503</v>
      </c>
    </row>
    <row r="2551">
      <c r="A2551" s="5" t="str">
        <f t="array" ref="A2551">INDEX(event_table!$A$2:$A$69, RANDBETWEEN(1, COUNTA(event_table!$A$2:$A$69)))</f>
        <v>1420</v>
      </c>
      <c r="B2551" s="6">
        <f t="array" ref="B2551">IFERROR(INDEX(event_table!$E$1:$E3686,MATCH(A2551,event_table!$A$1:$A3686,0)),"")
</f>
        <v>4</v>
      </c>
      <c r="C2551" s="7">
        <f t="shared" si="1"/>
        <v>168</v>
      </c>
      <c r="D2551" s="6" t="str">
        <f t="array" ref="D2551">IFERROR(INDEX(user_table!$C$2:$C3686,MATCH(C2551,user_table!$B$2:$B3686,0)),"")
</f>
        <v>Lina Kurniawan</v>
      </c>
      <c r="E2551" s="6" t="str">
        <f t="array" ref="E2551">IFERROR(INDEX(user_table!$E$2:$E3686,MATCH(C2551,user_table!$B$2:$B3686,0)),"")
</f>
        <v>2, 2</v>
      </c>
      <c r="F2551" s="6" t="str">
        <f t="shared" si="2"/>
        <v>142034168</v>
      </c>
      <c r="G2551" s="16">
        <v>3.0</v>
      </c>
      <c r="H2551" s="17">
        <v>45224.0</v>
      </c>
      <c r="I2551" s="18" t="s">
        <v>2504</v>
      </c>
    </row>
    <row r="2552">
      <c r="A2552" s="5" t="str">
        <f t="array" ref="A2552">INDEX(event_table!$A$2:$A$69, RANDBETWEEN(1, COUNTA(event_table!$A$2:$A$69)))</f>
        <v>1647</v>
      </c>
      <c r="B2552" s="6">
        <f t="array" ref="B2552">IFERROR(INDEX(event_table!$E$1:$E3686,MATCH(A2552,event_table!$A$1:$A3686,0)),"")
</f>
        <v>6</v>
      </c>
      <c r="C2552" s="7">
        <f t="shared" si="1"/>
        <v>81</v>
      </c>
      <c r="D2552" s="6" t="str">
        <f t="array" ref="D2552">IFERROR(INDEX(user_table!$C$2:$C3686,MATCH(C2552,user_table!$B$2:$B3686,0)),"")
</f>
        <v>Lina Rahayu</v>
      </c>
      <c r="E2552" s="6" t="str">
        <f t="array" ref="E2552">IFERROR(INDEX(user_table!$E$2:$E3686,MATCH(C2552,user_table!$B$2:$B3686,0)),"")
</f>
        <v>2, 1</v>
      </c>
      <c r="F2552" s="6" t="str">
        <f t="shared" si="2"/>
        <v>16473681</v>
      </c>
      <c r="G2552" s="16">
        <v>3.0</v>
      </c>
      <c r="H2552" s="17">
        <v>45222.0</v>
      </c>
      <c r="I2552" s="18" t="s">
        <v>2505</v>
      </c>
    </row>
    <row r="2553">
      <c r="A2553" s="5" t="str">
        <f t="array" ref="A2553">INDEX(event_table!$A$2:$A$69, RANDBETWEEN(1, COUNTA(event_table!$A$2:$A$69)))</f>
        <v>1530</v>
      </c>
      <c r="B2553" s="6">
        <f t="array" ref="B2553">IFERROR(INDEX(event_table!$E$1:$E3686,MATCH(A2553,event_table!$A$1:$A3686,0)),"")
</f>
        <v>5</v>
      </c>
      <c r="C2553" s="7">
        <f t="shared" si="1"/>
        <v>102</v>
      </c>
      <c r="D2553" s="6" t="str">
        <f t="array" ref="D2553">IFERROR(INDEX(user_table!$C$2:$C3686,MATCH(C2553,user_table!$B$2:$B3686,0)),"")
</f>
        <v>Lina Nurhayati</v>
      </c>
      <c r="E2553" s="6" t="str">
        <f t="array" ref="E2553">IFERROR(INDEX(user_table!$E$2:$E3686,MATCH(C2553,user_table!$B$2:$B3686,0)),"")
</f>
        <v>1, 2</v>
      </c>
      <c r="F2553" s="6" t="str">
        <f t="shared" si="2"/>
        <v>153035102</v>
      </c>
      <c r="G2553" s="16">
        <v>3.0</v>
      </c>
      <c r="H2553" s="17">
        <v>45206.0</v>
      </c>
      <c r="I2553" s="18" t="s">
        <v>2506</v>
      </c>
    </row>
    <row r="2554">
      <c r="A2554" s="5" t="str">
        <f t="array" ref="A2554">INDEX(event_table!$A$2:$A$69, RANDBETWEEN(1, COUNTA(event_table!$A$2:$A$69)))</f>
        <v>114</v>
      </c>
      <c r="B2554" s="6">
        <f t="array" ref="B2554">IFERROR(INDEX(event_table!$E$1:$E3686,MATCH(A2554,event_table!$A$1:$A3686,0)),"")
</f>
        <v>1</v>
      </c>
      <c r="C2554" s="7">
        <f t="shared" si="1"/>
        <v>110</v>
      </c>
      <c r="D2554" s="6" t="str">
        <f t="array" ref="D2554">IFERROR(INDEX(user_table!$C$2:$C3686,MATCH(C2554,user_table!$B$2:$B3686,0)),"")
</f>
        <v>Fajar Wijaya</v>
      </c>
      <c r="E2554" s="6" t="str">
        <f t="array" ref="E2554">IFERROR(INDEX(user_table!$E$2:$E3686,MATCH(C2554,user_table!$B$2:$B3686,0)),"")
</f>
        <v>3, 6</v>
      </c>
      <c r="F2554" s="6" t="str">
        <f t="shared" si="2"/>
        <v>11421110</v>
      </c>
      <c r="G2554" s="16">
        <v>2.0</v>
      </c>
      <c r="H2554" s="17">
        <v>45028.0</v>
      </c>
      <c r="I2554" s="18" t="s">
        <v>2507</v>
      </c>
    </row>
    <row r="2555">
      <c r="A2555" s="5" t="str">
        <f t="array" ref="A2555">INDEX(event_table!$A$2:$A$69, RANDBETWEEN(1, COUNTA(event_table!$A$2:$A$69)))</f>
        <v>118</v>
      </c>
      <c r="B2555" s="6">
        <f t="array" ref="B2555">IFERROR(INDEX(event_table!$E$1:$E3686,MATCH(A2555,event_table!$A$1:$A3686,0)),"")
</f>
        <v>1</v>
      </c>
      <c r="C2555" s="7">
        <f t="shared" si="1"/>
        <v>74</v>
      </c>
      <c r="D2555" s="6" t="str">
        <f t="array" ref="D2555">IFERROR(INDEX(user_table!$C$2:$C3686,MATCH(C2555,user_table!$B$2:$B3686,0)),"")
</f>
        <v>Arif Purnama</v>
      </c>
      <c r="E2555" s="6" t="str">
        <f t="array" ref="E2555">IFERROR(INDEX(user_table!$E$2:$E3686,MATCH(C2555,user_table!$B$2:$B3686,0)),"")
</f>
        <v>3, 2</v>
      </c>
      <c r="F2555" s="6" t="str">
        <f t="shared" si="2"/>
        <v>1182174</v>
      </c>
      <c r="G2555" s="16">
        <v>2.0</v>
      </c>
      <c r="H2555" s="17">
        <v>44965.0</v>
      </c>
      <c r="I2555" s="18" t="s">
        <v>2508</v>
      </c>
    </row>
    <row r="2556">
      <c r="A2556" s="5" t="str">
        <f t="array" ref="A2556">INDEX(event_table!$A$2:$A$69, RANDBETWEEN(1, COUNTA(event_table!$A$2:$A$69)))</f>
        <v>1417</v>
      </c>
      <c r="B2556" s="6">
        <f t="array" ref="B2556">IFERROR(INDEX(event_table!$E$1:$E3686,MATCH(A2556,event_table!$A$1:$A3686,0)),"")
</f>
        <v>4</v>
      </c>
      <c r="C2556" s="7">
        <f t="shared" si="1"/>
        <v>155</v>
      </c>
      <c r="D2556" s="6" t="str">
        <f t="array" ref="D2556">IFERROR(INDEX(user_table!$C$2:$C3686,MATCH(C2556,user_table!$B$2:$B3686,0)),"")
</f>
        <v>Sinta Saputra</v>
      </c>
      <c r="E2556" s="6" t="str">
        <f t="array" ref="E2556">IFERROR(INDEX(user_table!$E$2:$E3686,MATCH(C2556,user_table!$B$2:$B3686,0)),"")
</f>
        <v>5, 2</v>
      </c>
      <c r="F2556" s="6" t="str">
        <f t="shared" si="2"/>
        <v>141724155</v>
      </c>
      <c r="G2556" s="16">
        <v>2.0</v>
      </c>
      <c r="H2556" s="17">
        <v>44774.0</v>
      </c>
      <c r="I2556" s="18" t="s">
        <v>2509</v>
      </c>
    </row>
    <row r="2557">
      <c r="A2557" s="5" t="str">
        <f t="array" ref="A2557">INDEX(event_table!$A$2:$A$69, RANDBETWEEN(1, COUNTA(event_table!$A$2:$A$69)))</f>
        <v>3167</v>
      </c>
      <c r="B2557" s="6">
        <f t="array" ref="B2557">IFERROR(INDEX(event_table!$E$1:$E3686,MATCH(A2557,event_table!$A$1:$A3686,0)),"")
</f>
        <v>1</v>
      </c>
      <c r="C2557" s="7">
        <f t="shared" si="1"/>
        <v>109</v>
      </c>
      <c r="D2557" s="6" t="str">
        <f t="array" ref="D2557">IFERROR(INDEX(user_table!$C$2:$C3686,MATCH(C2557,user_table!$B$2:$B3686,0)),"")
</f>
        <v>Ani Sari</v>
      </c>
      <c r="E2557" s="6" t="str">
        <f t="array" ref="E2557">IFERROR(INDEX(user_table!$E$2:$E3686,MATCH(C2557,user_table!$B$2:$B3686,0)),"")
</f>
        <v>4, 5</v>
      </c>
      <c r="F2557" s="6" t="str">
        <f t="shared" si="2"/>
        <v>316721109</v>
      </c>
      <c r="G2557" s="16">
        <v>2.0</v>
      </c>
      <c r="H2557" s="17">
        <v>44722.0</v>
      </c>
      <c r="I2557" s="18" t="s">
        <v>2510</v>
      </c>
    </row>
    <row r="2558">
      <c r="A2558" s="5" t="str">
        <f t="array" ref="A2558">INDEX(event_table!$A$2:$A$69, RANDBETWEEN(1, COUNTA(event_table!$A$2:$A$69)))</f>
        <v>1423</v>
      </c>
      <c r="B2558" s="6">
        <f t="array" ref="B2558">IFERROR(INDEX(event_table!$E$1:$E3686,MATCH(A2558,event_table!$A$1:$A3686,0)),"")
</f>
        <v>4</v>
      </c>
      <c r="C2558" s="7">
        <f t="shared" si="1"/>
        <v>70</v>
      </c>
      <c r="D2558" s="6" t="str">
        <f t="array" ref="D2558">IFERROR(INDEX(user_table!$C$2:$C3686,MATCH(C2558,user_table!$B$2:$B3686,0)),"")
</f>
        <v>Fandi Hadiwijaya</v>
      </c>
      <c r="E2558" s="6" t="str">
        <f t="array" ref="E2558">IFERROR(INDEX(user_table!$E$2:$E3686,MATCH(C2558,user_table!$B$2:$B3686,0)),"")
</f>
        <v>1, 4</v>
      </c>
      <c r="F2558" s="6" t="str">
        <f t="shared" si="2"/>
        <v>14232470</v>
      </c>
      <c r="G2558" s="16">
        <v>2.0</v>
      </c>
      <c r="H2558" s="17">
        <v>44688.0</v>
      </c>
      <c r="I2558" s="18" t="s">
        <v>2511</v>
      </c>
    </row>
    <row r="2559">
      <c r="A2559" s="5" t="str">
        <f t="array" ref="A2559">INDEX(event_table!$A$2:$A$69, RANDBETWEEN(1, COUNTA(event_table!$A$2:$A$69)))</f>
        <v>1652</v>
      </c>
      <c r="B2559" s="6">
        <f t="array" ref="B2559">IFERROR(INDEX(event_table!$E$1:$E3686,MATCH(A2559,event_table!$A$1:$A3686,0)),"")
</f>
        <v>6</v>
      </c>
      <c r="C2559" s="7">
        <f t="shared" si="1"/>
        <v>74</v>
      </c>
      <c r="D2559" s="6" t="str">
        <f t="array" ref="D2559">IFERROR(INDEX(user_table!$C$2:$C3686,MATCH(C2559,user_table!$B$2:$B3686,0)),"")
</f>
        <v>Arif Purnama</v>
      </c>
      <c r="E2559" s="6" t="str">
        <f t="array" ref="E2559">IFERROR(INDEX(user_table!$E$2:$E3686,MATCH(C2559,user_table!$B$2:$B3686,0)),"")
</f>
        <v>3, 2</v>
      </c>
      <c r="F2559" s="6" t="str">
        <f t="shared" si="2"/>
        <v>16522674</v>
      </c>
      <c r="G2559" s="16">
        <v>2.0</v>
      </c>
      <c r="H2559" s="17">
        <v>44573.0</v>
      </c>
      <c r="I2559" s="18" t="s">
        <v>2512</v>
      </c>
    </row>
    <row r="2560">
      <c r="A2560" s="5" t="str">
        <f t="array" ref="A2560">INDEX(event_table!$A$2:$A$69, RANDBETWEEN(1, COUNTA(event_table!$A$2:$A$69)))</f>
        <v>1332</v>
      </c>
      <c r="B2560" s="6">
        <f t="array" ref="B2560">IFERROR(INDEX(event_table!$E$1:$E3686,MATCH(A2560,event_table!$A$1:$A3686,0)),"")
</f>
        <v>3</v>
      </c>
      <c r="C2560" s="7">
        <f t="shared" si="1"/>
        <v>61</v>
      </c>
      <c r="D2560" s="6" t="str">
        <f t="array" ref="D2560">IFERROR(INDEX(user_table!$C$2:$C3686,MATCH(C2560,user_table!$B$2:$B3686,0)),"")
</f>
        <v>Agus Setiawan</v>
      </c>
      <c r="E2560" s="6" t="str">
        <f t="array" ref="E2560">IFERROR(INDEX(user_table!$E$2:$E3686,MATCH(C2560,user_table!$B$2:$B3686,0)),"")
</f>
        <v>4, 5</v>
      </c>
      <c r="F2560" s="6" t="str">
        <f t="shared" si="2"/>
        <v>13322361</v>
      </c>
      <c r="G2560" s="16">
        <v>2.0</v>
      </c>
      <c r="H2560" s="17">
        <v>45261.0</v>
      </c>
      <c r="I2560" s="18" t="s">
        <v>2513</v>
      </c>
    </row>
    <row r="2561">
      <c r="A2561" s="5" t="str">
        <f t="array" ref="A2561">INDEX(event_table!$A$2:$A$69, RANDBETWEEN(1, COUNTA(event_table!$A$2:$A$69)))</f>
        <v>1643</v>
      </c>
      <c r="B2561" s="6">
        <f t="array" ref="B2561">IFERROR(INDEX(event_table!$E$1:$E3686,MATCH(A2561,event_table!$A$1:$A3686,0)),"")
</f>
        <v>6</v>
      </c>
      <c r="C2561" s="7">
        <f t="shared" si="1"/>
        <v>114</v>
      </c>
      <c r="D2561" s="6" t="str">
        <f t="array" ref="D2561">IFERROR(INDEX(user_table!$C$2:$C3686,MATCH(C2561,user_table!$B$2:$B3686,0)),"")
</f>
        <v>Ani Sari</v>
      </c>
      <c r="E2561" s="6" t="str">
        <f t="array" ref="E2561">IFERROR(INDEX(user_table!$E$2:$E3686,MATCH(C2561,user_table!$B$2:$B3686,0)),"")
</f>
        <v>4, 3</v>
      </c>
      <c r="F2561" s="6" t="str">
        <f t="shared" si="2"/>
        <v>164326114</v>
      </c>
      <c r="G2561" s="16">
        <v>2.0</v>
      </c>
      <c r="H2561" s="17">
        <v>45156.0</v>
      </c>
      <c r="I2561" s="18" t="s">
        <v>2514</v>
      </c>
    </row>
    <row r="2562">
      <c r="A2562" s="5" t="str">
        <f t="array" ref="A2562">INDEX(event_table!$A$2:$A$69, RANDBETWEEN(1, COUNTA(event_table!$A$2:$A$69)))</f>
        <v>3162</v>
      </c>
      <c r="B2562" s="6">
        <f t="array" ref="B2562">IFERROR(INDEX(event_table!$E$1:$E3686,MATCH(A2562,event_table!$A$1:$A3686,0)),"")
</f>
        <v>1</v>
      </c>
      <c r="C2562" s="7">
        <f t="shared" si="1"/>
        <v>132</v>
      </c>
      <c r="D2562" s="6" t="str">
        <f t="array" ref="D2562">IFERROR(INDEX(user_table!$C$2:$C3686,MATCH(C2562,user_table!$B$2:$B3686,0)),"")
</f>
        <v>Joko Hartono</v>
      </c>
      <c r="E2562" s="6" t="str">
        <f t="array" ref="E2562">IFERROR(INDEX(user_table!$E$2:$E3686,MATCH(C2562,user_table!$B$2:$B3686,0)),"")
</f>
        <v>1, 3</v>
      </c>
      <c r="F2562" s="6" t="str">
        <f t="shared" si="2"/>
        <v>316221132</v>
      </c>
      <c r="G2562" s="16">
        <v>2.0</v>
      </c>
      <c r="H2562" s="17">
        <v>45083.0</v>
      </c>
      <c r="I2562" s="18" t="s">
        <v>2515</v>
      </c>
    </row>
    <row r="2563">
      <c r="A2563" s="5" t="str">
        <f t="array" ref="A2563">INDEX(event_table!$A$2:$A$69, RANDBETWEEN(1, COUNTA(event_table!$A$2:$A$69)))</f>
        <v>111</v>
      </c>
      <c r="B2563" s="6">
        <f t="array" ref="B2563">IFERROR(INDEX(event_table!$E$1:$E3686,MATCH(A2563,event_table!$A$1:$A3686,0)),"")
</f>
        <v>1</v>
      </c>
      <c r="C2563" s="7">
        <f t="shared" si="1"/>
        <v>151</v>
      </c>
      <c r="D2563" s="6" t="str">
        <f t="array" ref="D2563">IFERROR(INDEX(user_table!$C$2:$C3686,MATCH(C2563,user_table!$B$2:$B3686,0)),"")
</f>
        <v>Maya Hidayat</v>
      </c>
      <c r="E2563" s="6" t="str">
        <f t="array" ref="E2563">IFERROR(INDEX(user_table!$E$2:$E3686,MATCH(C2563,user_table!$B$2:$B3686,0)),"")
</f>
        <v>2, 3</v>
      </c>
      <c r="F2563" s="6" t="str">
        <f t="shared" si="2"/>
        <v>11121151</v>
      </c>
      <c r="G2563" s="16">
        <v>2.0</v>
      </c>
      <c r="H2563" s="17">
        <v>45066.0</v>
      </c>
      <c r="I2563" s="18" t="s">
        <v>2516</v>
      </c>
    </row>
    <row r="2564">
      <c r="A2564" s="5" t="str">
        <f t="array" ref="A2564">INDEX(event_table!$A$2:$A$69, RANDBETWEEN(1, COUNTA(event_table!$A$2:$A$69)))</f>
        <v>1417</v>
      </c>
      <c r="B2564" s="6">
        <f t="array" ref="B2564">IFERROR(INDEX(event_table!$E$1:$E3686,MATCH(A2564,event_table!$A$1:$A3686,0)),"")
</f>
        <v>4</v>
      </c>
      <c r="C2564" s="7">
        <f t="shared" si="1"/>
        <v>41</v>
      </c>
      <c r="D2564" s="6" t="str">
        <f t="array" ref="D2564">IFERROR(INDEX(user_table!$C$2:$C3686,MATCH(C2564,user_table!$B$2:$B3686,0)),"")
</f>
        <v>Wahyu Susanto</v>
      </c>
      <c r="E2564" s="6" t="str">
        <f t="array" ref="E2564">IFERROR(INDEX(user_table!$E$2:$E3686,MATCH(C2564,user_table!$B$2:$B3686,0)),"")
</f>
        <v>5, 4</v>
      </c>
      <c r="F2564" s="6" t="str">
        <f t="shared" si="2"/>
        <v>14171441</v>
      </c>
      <c r="G2564" s="16">
        <v>1.0</v>
      </c>
      <c r="H2564" s="17">
        <v>45223.0</v>
      </c>
      <c r="I2564" s="18" t="s">
        <v>2517</v>
      </c>
    </row>
    <row r="2565">
      <c r="A2565" s="5" t="str">
        <f t="array" ref="A2565">INDEX(event_table!$A$2:$A$69, RANDBETWEEN(1, COUNTA(event_table!$A$2:$A$69)))</f>
        <v>1420</v>
      </c>
      <c r="B2565" s="6">
        <f t="array" ref="B2565">IFERROR(INDEX(event_table!$E$1:$E3686,MATCH(A2565,event_table!$A$1:$A3686,0)),"")
</f>
        <v>4</v>
      </c>
      <c r="C2565" s="7">
        <f t="shared" si="1"/>
        <v>82</v>
      </c>
      <c r="D2565" s="6" t="str">
        <f t="array" ref="D2565">IFERROR(INDEX(user_table!$C$2:$C3686,MATCH(C2565,user_table!$B$2:$B3686,0)),"")
</f>
        <v>Fandi Nurhayati</v>
      </c>
      <c r="E2565" s="6" t="str">
        <f t="array" ref="E2565">IFERROR(INDEX(user_table!$E$2:$E3686,MATCH(C2565,user_table!$B$2:$B3686,0)),"")
</f>
        <v>3, 2</v>
      </c>
      <c r="F2565" s="6" t="str">
        <f t="shared" si="2"/>
        <v>14201482</v>
      </c>
      <c r="G2565" s="16">
        <v>1.0</v>
      </c>
      <c r="H2565" s="17">
        <v>45246.0</v>
      </c>
      <c r="I2565" s="18" t="s">
        <v>2518</v>
      </c>
    </row>
    <row r="2566">
      <c r="A2566" s="5" t="str">
        <f t="array" ref="A2566">INDEX(event_table!$A$2:$A$69, RANDBETWEEN(1, COUNTA(event_table!$A$2:$A$69)))</f>
        <v>1215</v>
      </c>
      <c r="B2566" s="6">
        <f t="array" ref="B2566">IFERROR(INDEX(event_table!$E$1:$E3686,MATCH(A2566,event_table!$A$1:$A3686,0)),"")
</f>
        <v>2</v>
      </c>
      <c r="C2566" s="7">
        <f t="shared" si="1"/>
        <v>182</v>
      </c>
      <c r="D2566" s="6" t="str">
        <f t="array" ref="D2566">IFERROR(INDEX(user_table!$C$2:$C3686,MATCH(C2566,user_table!$B$2:$B3686,0)),"")
</f>
        <v>Siti Utami</v>
      </c>
      <c r="E2566" s="6" t="str">
        <f t="array" ref="E2566">IFERROR(INDEX(user_table!$E$2:$E3686,MATCH(C2566,user_table!$B$2:$B3686,0)),"")
</f>
        <v>5, 4</v>
      </c>
      <c r="F2566" s="6" t="str">
        <f t="shared" si="2"/>
        <v>121512182</v>
      </c>
      <c r="G2566" s="16">
        <v>1.0</v>
      </c>
      <c r="H2566" s="17">
        <v>45232.0</v>
      </c>
      <c r="I2566" s="18" t="s">
        <v>2519</v>
      </c>
    </row>
    <row r="2567">
      <c r="A2567" s="5" t="str">
        <f t="array" ref="A2567">INDEX(event_table!$A$2:$A$69, RANDBETWEEN(1, COUNTA(event_table!$A$2:$A$69)))</f>
        <v>111</v>
      </c>
      <c r="B2567" s="6">
        <f t="array" ref="B2567">IFERROR(INDEX(event_table!$E$1:$E3686,MATCH(A2567,event_table!$A$1:$A3686,0)),"")
</f>
        <v>1</v>
      </c>
      <c r="C2567" s="7">
        <f t="shared" si="1"/>
        <v>173</v>
      </c>
      <c r="D2567" s="6" t="str">
        <f t="array" ref="D2567">IFERROR(INDEX(user_table!$C$2:$C3686,MATCH(C2567,user_table!$B$2:$B3686,0)),"")
</f>
        <v>Fajar Putri</v>
      </c>
      <c r="E2567" s="6" t="str">
        <f t="array" ref="E2567">IFERROR(INDEX(user_table!$E$2:$E3686,MATCH(C2567,user_table!$B$2:$B3686,0)),"")
</f>
        <v>2, 6</v>
      </c>
      <c r="F2567" s="6" t="str">
        <f t="shared" si="2"/>
        <v>11111173</v>
      </c>
      <c r="G2567" s="16">
        <v>1.0</v>
      </c>
      <c r="H2567" s="17">
        <v>45201.0</v>
      </c>
      <c r="I2567" s="18" t="s">
        <v>2520</v>
      </c>
    </row>
    <row r="2568">
      <c r="A2568" s="5" t="str">
        <f t="array" ref="A2568">INDEX(event_table!$A$2:$A$69, RANDBETWEEN(1, COUNTA(event_table!$A$2:$A$69)))</f>
        <v>1313</v>
      </c>
      <c r="B2568" s="6">
        <f t="array" ref="B2568">IFERROR(INDEX(event_table!$E$1:$E3686,MATCH(A2568,event_table!$A$1:$A3686,0)),"")
</f>
        <v>3</v>
      </c>
      <c r="C2568" s="7">
        <f t="shared" si="1"/>
        <v>184</v>
      </c>
      <c r="D2568" s="6" t="str">
        <f t="array" ref="D2568">IFERROR(INDEX(user_table!$C$2:$C3686,MATCH(C2568,user_table!$B$2:$B3686,0)),"")
</f>
        <v>Dewi Hadiwijaya</v>
      </c>
      <c r="E2568" s="6" t="str">
        <f t="array" ref="E2568">IFERROR(INDEX(user_table!$E$2:$E3686,MATCH(C2568,user_table!$B$2:$B3686,0)),"")
</f>
        <v>2, 1</v>
      </c>
      <c r="F2568" s="6" t="str">
        <f t="shared" si="2"/>
        <v>131313184</v>
      </c>
      <c r="G2568" s="16">
        <v>1.0</v>
      </c>
      <c r="H2568" s="17">
        <v>45155.0</v>
      </c>
      <c r="I2568" s="18" t="s">
        <v>2521</v>
      </c>
    </row>
    <row r="2569">
      <c r="A2569" s="5" t="str">
        <f t="array" ref="A2569">INDEX(event_table!$A$2:$A$69, RANDBETWEEN(1, COUNTA(event_table!$A$2:$A$69)))</f>
        <v>117</v>
      </c>
      <c r="B2569" s="6">
        <f t="array" ref="B2569">IFERROR(INDEX(event_table!$E$1:$E3686,MATCH(A2569,event_table!$A$1:$A3686,0)),"")
</f>
        <v>1</v>
      </c>
      <c r="C2569" s="7">
        <f t="shared" si="1"/>
        <v>17</v>
      </c>
      <c r="D2569" s="6" t="str">
        <f t="array" ref="D2569">IFERROR(INDEX(user_table!$C$2:$C3686,MATCH(C2569,user_table!$B$2:$B3686,0)),"")
</f>
        <v>Fajar Wijaya</v>
      </c>
      <c r="E2569" s="6" t="str">
        <f t="array" ref="E2569">IFERROR(INDEX(user_table!$E$2:$E3686,MATCH(C2569,user_table!$B$2:$B3686,0)),"")
</f>
        <v>1, 1</v>
      </c>
      <c r="F2569" s="6" t="str">
        <f t="shared" si="2"/>
        <v>1171117</v>
      </c>
      <c r="G2569" s="16">
        <v>1.0</v>
      </c>
      <c r="H2569" s="17">
        <v>45152.0</v>
      </c>
      <c r="I2569" s="18" t="s">
        <v>2522</v>
      </c>
    </row>
    <row r="2570">
      <c r="A2570" s="5" t="str">
        <f t="array" ref="A2570">INDEX(event_table!$A$2:$A$69, RANDBETWEEN(1, COUNTA(event_table!$A$2:$A$69)))</f>
        <v>1652</v>
      </c>
      <c r="B2570" s="6">
        <f t="array" ref="B2570">IFERROR(INDEX(event_table!$E$1:$E3686,MATCH(A2570,event_table!$A$1:$A3686,0)),"")
</f>
        <v>6</v>
      </c>
      <c r="C2570" s="7">
        <f t="shared" si="1"/>
        <v>142</v>
      </c>
      <c r="D2570" s="6" t="str">
        <f t="array" ref="D2570">IFERROR(INDEX(user_table!$C$2:$C3686,MATCH(C2570,user_table!$B$2:$B3686,0)),"")
</f>
        <v>Siti Rahayu</v>
      </c>
      <c r="E2570" s="6" t="str">
        <f t="array" ref="E2570">IFERROR(INDEX(user_table!$E$2:$E3686,MATCH(C2570,user_table!$B$2:$B3686,0)),"")
</f>
        <v>6, 3</v>
      </c>
      <c r="F2570" s="6" t="str">
        <f t="shared" si="2"/>
        <v>165216142</v>
      </c>
      <c r="G2570" s="16">
        <v>1.0</v>
      </c>
      <c r="H2570" s="17">
        <v>45143.0</v>
      </c>
      <c r="I2570" s="18" t="s">
        <v>2523</v>
      </c>
    </row>
    <row r="2571">
      <c r="A2571" s="5" t="str">
        <f t="array" ref="A2571">INDEX(event_table!$A$2:$A$69, RANDBETWEEN(1, COUNTA(event_table!$A$2:$A$69)))</f>
        <v>1638</v>
      </c>
      <c r="B2571" s="6">
        <f t="array" ref="B2571">IFERROR(INDEX(event_table!$E$1:$E3686,MATCH(A2571,event_table!$A$1:$A3686,0)),"")
</f>
        <v>6</v>
      </c>
      <c r="C2571" s="7">
        <f t="shared" si="1"/>
        <v>103</v>
      </c>
      <c r="D2571" s="6" t="str">
        <f t="array" ref="D2571">IFERROR(INDEX(user_table!$C$2:$C3686,MATCH(C2571,user_table!$B$2:$B3686,0)),"")
</f>
        <v>Hadi Sari</v>
      </c>
      <c r="E2571" s="6" t="str">
        <f t="array" ref="E2571">IFERROR(INDEX(user_table!$E$2:$E3686,MATCH(C2571,user_table!$B$2:$B3686,0)),"")
</f>
        <v>3, 1</v>
      </c>
      <c r="F2571" s="6" t="str">
        <f t="shared" si="2"/>
        <v>163816103</v>
      </c>
      <c r="G2571" s="16">
        <v>1.0</v>
      </c>
      <c r="H2571" s="17">
        <v>45082.0</v>
      </c>
      <c r="I2571" s="18" t="s">
        <v>2524</v>
      </c>
    </row>
    <row r="2572">
      <c r="A2572" s="5" t="str">
        <f t="array" ref="A2572">INDEX(event_table!$A$2:$A$69, RANDBETWEEN(1, COUNTA(event_table!$A$2:$A$69)))</f>
        <v>1333</v>
      </c>
      <c r="B2572" s="6">
        <f t="array" ref="B2572">IFERROR(INDEX(event_table!$E$1:$E3686,MATCH(A2572,event_table!$A$1:$A3686,0)),"")
</f>
        <v>3</v>
      </c>
      <c r="C2572" s="7">
        <f t="shared" si="1"/>
        <v>161</v>
      </c>
      <c r="D2572" s="6" t="str">
        <f t="array" ref="D2572">IFERROR(INDEX(user_table!$C$2:$C3686,MATCH(C2572,user_table!$B$2:$B3686,0)),"")
</f>
        <v>Lina Nugroho</v>
      </c>
      <c r="E2572" s="6" t="str">
        <f t="array" ref="E2572">IFERROR(INDEX(user_table!$E$2:$E3686,MATCH(C2572,user_table!$B$2:$B3686,0)),"")
</f>
        <v>6, 5</v>
      </c>
      <c r="F2572" s="6" t="str">
        <f t="shared" si="2"/>
        <v>133313161</v>
      </c>
      <c r="G2572" s="16">
        <v>1.0</v>
      </c>
      <c r="H2572" s="17">
        <v>45067.0</v>
      </c>
      <c r="I2572" s="18" t="s">
        <v>2525</v>
      </c>
    </row>
    <row r="2573">
      <c r="A2573" s="5" t="str">
        <f t="array" ref="A2573">INDEX(event_table!$A$2:$A$69, RANDBETWEEN(1, COUNTA(event_table!$A$2:$A$69)))</f>
        <v>3166</v>
      </c>
      <c r="B2573" s="6">
        <f t="array" ref="B2573">IFERROR(INDEX(event_table!$E$1:$E3686,MATCH(A2573,event_table!$A$1:$A3686,0)),"")
</f>
        <v>1</v>
      </c>
      <c r="C2573" s="7">
        <f t="shared" si="1"/>
        <v>101</v>
      </c>
      <c r="D2573" s="6" t="str">
        <f t="array" ref="D2573">IFERROR(INDEX(user_table!$C$2:$C3686,MATCH(C2573,user_table!$B$2:$B3686,0)),"")
</f>
        <v>Maya Hadiwijaya</v>
      </c>
      <c r="E2573" s="6" t="str">
        <f t="array" ref="E2573">IFERROR(INDEX(user_table!$E$2:$E3686,MATCH(C2573,user_table!$B$2:$B3686,0)),"")
</f>
        <v>5, 4</v>
      </c>
      <c r="F2573" s="6" t="str">
        <f t="shared" si="2"/>
        <v>316611101</v>
      </c>
      <c r="G2573" s="16">
        <v>1.0</v>
      </c>
      <c r="H2573" s="17">
        <v>45029.0</v>
      </c>
      <c r="I2573" s="18" t="s">
        <v>2526</v>
      </c>
    </row>
    <row r="2574">
      <c r="A2574" s="5" t="str">
        <f t="array" ref="A2574">INDEX(event_table!$A$2:$A$69, RANDBETWEEN(1, COUNTA(event_table!$A$2:$A$69)))</f>
        <v>1636</v>
      </c>
      <c r="B2574" s="6">
        <f t="array" ref="B2574">IFERROR(INDEX(event_table!$E$1:$E3686,MATCH(A2574,event_table!$A$1:$A3686,0)),"")
</f>
        <v>6</v>
      </c>
      <c r="C2574" s="7">
        <f t="shared" si="1"/>
        <v>137</v>
      </c>
      <c r="D2574" s="6" t="str">
        <f t="array" ref="D2574">IFERROR(INDEX(user_table!$C$2:$C3686,MATCH(C2574,user_table!$B$2:$B3686,0)),"")
</f>
        <v>Dina Pratama</v>
      </c>
      <c r="E2574" s="6" t="str">
        <f t="array" ref="E2574">IFERROR(INDEX(user_table!$E$2:$E3686,MATCH(C2574,user_table!$B$2:$B3686,0)),"")
</f>
        <v>4, 4</v>
      </c>
      <c r="F2574" s="6" t="str">
        <f t="shared" si="2"/>
        <v>163656137</v>
      </c>
      <c r="G2574" s="16">
        <v>5.0</v>
      </c>
      <c r="H2574" s="17">
        <v>44748.0</v>
      </c>
      <c r="I2574" s="18" t="s">
        <v>2527</v>
      </c>
    </row>
    <row r="2575">
      <c r="A2575" s="5" t="str">
        <f t="array" ref="A2575">INDEX(event_table!$A$2:$A$69, RANDBETWEEN(1, COUNTA(event_table!$A$2:$A$69)))</f>
        <v>1424</v>
      </c>
      <c r="B2575" s="6">
        <f t="array" ref="B2575">IFERROR(INDEX(event_table!$E$1:$E3686,MATCH(A2575,event_table!$A$1:$A3686,0)),"")
</f>
        <v>4</v>
      </c>
      <c r="C2575" s="7">
        <f t="shared" si="1"/>
        <v>178</v>
      </c>
      <c r="D2575" s="6" t="str">
        <f t="array" ref="D2575">IFERROR(INDEX(user_table!$C$2:$C3686,MATCH(C2575,user_table!$B$2:$B3686,0)),"")
</f>
        <v>Dewi Hidayat</v>
      </c>
      <c r="E2575" s="6" t="str">
        <f t="array" ref="E2575">IFERROR(INDEX(user_table!$E$2:$E3686,MATCH(C2575,user_table!$B$2:$B3686,0)),"")
</f>
        <v>3, 2</v>
      </c>
      <c r="F2575" s="6" t="str">
        <f t="shared" si="2"/>
        <v>142454178</v>
      </c>
      <c r="G2575" s="16">
        <v>5.0</v>
      </c>
      <c r="H2575" s="17">
        <v>44743.0</v>
      </c>
      <c r="I2575" s="18" t="s">
        <v>2528</v>
      </c>
    </row>
    <row r="2576">
      <c r="A2576" s="5" t="str">
        <f t="array" ref="A2576">INDEX(event_table!$A$2:$A$69, RANDBETWEEN(1, COUNTA(event_table!$A$2:$A$69)))</f>
        <v>3168</v>
      </c>
      <c r="B2576" s="6">
        <f t="array" ref="B2576">IFERROR(INDEX(event_table!$E$1:$E3686,MATCH(A2576,event_table!$A$1:$A3686,0)),"")
</f>
        <v>1</v>
      </c>
      <c r="C2576" s="7">
        <f t="shared" si="1"/>
        <v>186</v>
      </c>
      <c r="D2576" s="6" t="str">
        <f t="array" ref="D2576">IFERROR(INDEX(user_table!$C$2:$C3686,MATCH(C2576,user_table!$B$2:$B3686,0)),"")
</f>
        <v>Budi Wijaya</v>
      </c>
      <c r="E2576" s="6" t="str">
        <f t="array" ref="E2576">IFERROR(INDEX(user_table!$E$2:$E3686,MATCH(C2576,user_table!$B$2:$B3686,0)),"")
</f>
        <v>1, 4</v>
      </c>
      <c r="F2576" s="6" t="str">
        <f t="shared" si="2"/>
        <v>316851186</v>
      </c>
      <c r="G2576" s="16">
        <v>5.0</v>
      </c>
      <c r="H2576" s="17">
        <v>44740.0</v>
      </c>
      <c r="I2576" s="18" t="s">
        <v>2529</v>
      </c>
    </row>
    <row r="2577">
      <c r="A2577" s="5" t="str">
        <f t="array" ref="A2577">INDEX(event_table!$A$2:$A$69, RANDBETWEEN(1, COUNTA(event_table!$A$2:$A$69)))</f>
        <v>3166</v>
      </c>
      <c r="B2577" s="6">
        <f t="array" ref="B2577">IFERROR(INDEX(event_table!$E$1:$E3686,MATCH(A2577,event_table!$A$1:$A3686,0)),"")
</f>
        <v>1</v>
      </c>
      <c r="C2577" s="7">
        <f t="shared" si="1"/>
        <v>165</v>
      </c>
      <c r="D2577" s="6" t="str">
        <f t="array" ref="D2577">IFERROR(INDEX(user_table!$C$2:$C3686,MATCH(C2577,user_table!$B$2:$B3686,0)),"")
</f>
        <v>Agus Pratama</v>
      </c>
      <c r="E2577" s="6" t="str">
        <f t="array" ref="E2577">IFERROR(INDEX(user_table!$E$2:$E3686,MATCH(C2577,user_table!$B$2:$B3686,0)),"")
</f>
        <v>6, 2</v>
      </c>
      <c r="F2577" s="6" t="str">
        <f t="shared" si="2"/>
        <v>316651165</v>
      </c>
      <c r="G2577" s="16">
        <v>5.0</v>
      </c>
      <c r="H2577" s="17">
        <v>44725.0</v>
      </c>
      <c r="I2577" s="18" t="s">
        <v>2530</v>
      </c>
    </row>
    <row r="2578">
      <c r="A2578" s="5" t="str">
        <f t="array" ref="A2578">INDEX(event_table!$A$2:$A$69, RANDBETWEEN(1, COUNTA(event_table!$A$2:$A$69)))</f>
        <v>1424</v>
      </c>
      <c r="B2578" s="6">
        <f t="array" ref="B2578">IFERROR(INDEX(event_table!$E$1:$E3686,MATCH(A2578,event_table!$A$1:$A3686,0)),"")
</f>
        <v>4</v>
      </c>
      <c r="C2578" s="7">
        <f t="shared" si="1"/>
        <v>69</v>
      </c>
      <c r="D2578" s="6" t="str">
        <f t="array" ref="D2578">IFERROR(INDEX(user_table!$C$2:$C3686,MATCH(C2578,user_table!$B$2:$B3686,0)),"")
</f>
        <v>Citra Rahayu</v>
      </c>
      <c r="E2578" s="6" t="str">
        <f t="array" ref="E2578">IFERROR(INDEX(user_table!$E$2:$E3686,MATCH(C2578,user_table!$B$2:$B3686,0)),"")
</f>
        <v>5, 5</v>
      </c>
      <c r="F2578" s="6" t="str">
        <f t="shared" si="2"/>
        <v>14245469</v>
      </c>
      <c r="G2578" s="16">
        <v>5.0</v>
      </c>
      <c r="H2578" s="17">
        <v>44708.0</v>
      </c>
      <c r="I2578" s="18" t="s">
        <v>2531</v>
      </c>
    </row>
    <row r="2579">
      <c r="A2579" s="5" t="str">
        <f t="array" ref="A2579">INDEX(event_table!$A$2:$A$69, RANDBETWEEN(1, COUNTA(event_table!$A$2:$A$69)))</f>
        <v>1110</v>
      </c>
      <c r="B2579" s="6">
        <f t="array" ref="B2579">IFERROR(INDEX(event_table!$E$1:$E3686,MATCH(A2579,event_table!$A$1:$A3686,0)),"")
</f>
        <v>1</v>
      </c>
      <c r="C2579" s="7">
        <f t="shared" si="1"/>
        <v>133</v>
      </c>
      <c r="D2579" s="6" t="str">
        <f t="array" ref="D2579">IFERROR(INDEX(user_table!$C$2:$C3686,MATCH(C2579,user_table!$B$2:$B3686,0)),"")
</f>
        <v>Dewi Sari</v>
      </c>
      <c r="E2579" s="6" t="str">
        <f t="array" ref="E2579">IFERROR(INDEX(user_table!$E$2:$E3686,MATCH(C2579,user_table!$B$2:$B3686,0)),"")
</f>
        <v>6, 5</v>
      </c>
      <c r="F2579" s="6" t="str">
        <f t="shared" si="2"/>
        <v>111051133</v>
      </c>
      <c r="G2579" s="16">
        <v>5.0</v>
      </c>
      <c r="H2579" s="17">
        <v>44697.0</v>
      </c>
      <c r="I2579" s="18" t="s">
        <v>2532</v>
      </c>
    </row>
    <row r="2580">
      <c r="A2580" s="5" t="str">
        <f t="array" ref="A2580">INDEX(event_table!$A$2:$A$69, RANDBETWEEN(1, COUNTA(event_table!$A$2:$A$69)))</f>
        <v>1531</v>
      </c>
      <c r="B2580" s="6">
        <f t="array" ref="B2580">IFERROR(INDEX(event_table!$E$1:$E3686,MATCH(A2580,event_table!$A$1:$A3686,0)),"")
</f>
        <v>5</v>
      </c>
      <c r="C2580" s="7">
        <f t="shared" si="1"/>
        <v>114</v>
      </c>
      <c r="D2580" s="6" t="str">
        <f t="array" ref="D2580">IFERROR(INDEX(user_table!$C$2:$C3686,MATCH(C2580,user_table!$B$2:$B3686,0)),"")
</f>
        <v>Ani Sari</v>
      </c>
      <c r="E2580" s="6" t="str">
        <f t="array" ref="E2580">IFERROR(INDEX(user_table!$E$2:$E3686,MATCH(C2580,user_table!$B$2:$B3686,0)),"")
</f>
        <v>4, 3</v>
      </c>
      <c r="F2580" s="6" t="str">
        <f t="shared" si="2"/>
        <v>153155114</v>
      </c>
      <c r="G2580" s="16">
        <v>5.0</v>
      </c>
      <c r="H2580" s="17">
        <v>44696.0</v>
      </c>
      <c r="I2580" s="18" t="s">
        <v>2533</v>
      </c>
    </row>
    <row r="2581">
      <c r="A2581" s="5" t="str">
        <f t="array" ref="A2581">INDEX(event_table!$A$2:$A$69, RANDBETWEEN(1, COUNTA(event_table!$A$2:$A$69)))</f>
        <v>1215</v>
      </c>
      <c r="B2581" s="6">
        <f t="array" ref="B2581">IFERROR(INDEX(event_table!$E$1:$E3686,MATCH(A2581,event_table!$A$1:$A3686,0)),"")
</f>
        <v>2</v>
      </c>
      <c r="C2581" s="7">
        <f t="shared" si="1"/>
        <v>53</v>
      </c>
      <c r="D2581" s="6" t="str">
        <f t="array" ref="D2581">IFERROR(INDEX(user_table!$C$2:$C3686,MATCH(C2581,user_table!$B$2:$B3686,0)),"")
</f>
        <v>Wahyu Santoso</v>
      </c>
      <c r="E2581" s="6" t="str">
        <f t="array" ref="E2581">IFERROR(INDEX(user_table!$E$2:$E3686,MATCH(C2581,user_table!$B$2:$B3686,0)),"")
</f>
        <v>4, 5</v>
      </c>
      <c r="F2581" s="6" t="str">
        <f t="shared" si="2"/>
        <v>12155253</v>
      </c>
      <c r="G2581" s="16">
        <v>5.0</v>
      </c>
      <c r="H2581" s="17">
        <v>44692.0</v>
      </c>
      <c r="I2581" s="18" t="s">
        <v>2534</v>
      </c>
    </row>
    <row r="2582">
      <c r="A2582" s="5" t="str">
        <f t="array" ref="A2582">INDEX(event_table!$A$2:$A$69, RANDBETWEEN(1, COUNTA(event_table!$A$2:$A$69)))</f>
        <v>1334</v>
      </c>
      <c r="B2582" s="6">
        <f t="array" ref="B2582">IFERROR(INDEX(event_table!$E$1:$E3686,MATCH(A2582,event_table!$A$1:$A3686,0)),"")
</f>
        <v>3</v>
      </c>
      <c r="C2582" s="7">
        <f t="shared" si="1"/>
        <v>165</v>
      </c>
      <c r="D2582" s="6" t="str">
        <f t="array" ref="D2582">IFERROR(INDEX(user_table!$C$2:$C3686,MATCH(C2582,user_table!$B$2:$B3686,0)),"")
</f>
        <v>Agus Pratama</v>
      </c>
      <c r="E2582" s="6" t="str">
        <f t="array" ref="E2582">IFERROR(INDEX(user_table!$E$2:$E3686,MATCH(C2582,user_table!$B$2:$B3686,0)),"")
</f>
        <v>6, 2</v>
      </c>
      <c r="F2582" s="6" t="str">
        <f t="shared" si="2"/>
        <v>133453165</v>
      </c>
      <c r="G2582" s="16">
        <v>5.0</v>
      </c>
      <c r="H2582" s="17">
        <v>44689.0</v>
      </c>
      <c r="I2582" s="18" t="s">
        <v>2535</v>
      </c>
    </row>
    <row r="2583">
      <c r="A2583" s="5" t="str">
        <f t="array" ref="A2583">INDEX(event_table!$A$2:$A$69, RANDBETWEEN(1, COUNTA(event_table!$A$2:$A$69)))</f>
        <v>1215</v>
      </c>
      <c r="B2583" s="6">
        <f t="array" ref="B2583">IFERROR(INDEX(event_table!$E$1:$E3686,MATCH(A2583,event_table!$A$1:$A3686,0)),"")
</f>
        <v>2</v>
      </c>
      <c r="C2583" s="7">
        <f t="shared" si="1"/>
        <v>182</v>
      </c>
      <c r="D2583" s="6" t="str">
        <f t="array" ref="D2583">IFERROR(INDEX(user_table!$C$2:$C3686,MATCH(C2583,user_table!$B$2:$B3686,0)),"")
</f>
        <v>Siti Utami</v>
      </c>
      <c r="E2583" s="6" t="str">
        <f t="array" ref="E2583">IFERROR(INDEX(user_table!$E$2:$E3686,MATCH(C2583,user_table!$B$2:$B3686,0)),"")
</f>
        <v>5, 4</v>
      </c>
      <c r="F2583" s="6" t="str">
        <f t="shared" si="2"/>
        <v>121552182</v>
      </c>
      <c r="G2583" s="16">
        <v>5.0</v>
      </c>
      <c r="H2583" s="17">
        <v>44681.0</v>
      </c>
      <c r="I2583" s="18" t="s">
        <v>2536</v>
      </c>
    </row>
    <row r="2584">
      <c r="A2584" s="5" t="str">
        <f t="array" ref="A2584">INDEX(event_table!$A$2:$A$69, RANDBETWEEN(1, COUNTA(event_table!$A$2:$A$69)))</f>
        <v>1531</v>
      </c>
      <c r="B2584" s="6">
        <f t="array" ref="B2584">IFERROR(INDEX(event_table!$E$1:$E3686,MATCH(A2584,event_table!$A$1:$A3686,0)),"")
</f>
        <v>5</v>
      </c>
      <c r="C2584" s="7">
        <f t="shared" si="1"/>
        <v>82</v>
      </c>
      <c r="D2584" s="6" t="str">
        <f t="array" ref="D2584">IFERROR(INDEX(user_table!$C$2:$C3686,MATCH(C2584,user_table!$B$2:$B3686,0)),"")
</f>
        <v>Fandi Nurhayati</v>
      </c>
      <c r="E2584" s="6" t="str">
        <f t="array" ref="E2584">IFERROR(INDEX(user_table!$E$2:$E3686,MATCH(C2584,user_table!$B$2:$B3686,0)),"")
</f>
        <v>3, 2</v>
      </c>
      <c r="F2584" s="6" t="str">
        <f t="shared" si="2"/>
        <v>15315582</v>
      </c>
      <c r="G2584" s="16">
        <v>5.0</v>
      </c>
      <c r="H2584" s="17">
        <v>45153.0</v>
      </c>
      <c r="I2584" s="18" t="s">
        <v>2537</v>
      </c>
    </row>
    <row r="2585">
      <c r="A2585" s="5" t="str">
        <f t="array" ref="A2585">INDEX(event_table!$A$2:$A$69, RANDBETWEEN(1, COUNTA(event_table!$A$2:$A$69)))</f>
        <v>117</v>
      </c>
      <c r="B2585" s="6">
        <f t="array" ref="B2585">IFERROR(INDEX(event_table!$E$1:$E3686,MATCH(A2585,event_table!$A$1:$A3686,0)),"")
</f>
        <v>1</v>
      </c>
      <c r="C2585" s="7">
        <f t="shared" si="1"/>
        <v>151</v>
      </c>
      <c r="D2585" s="6" t="str">
        <f t="array" ref="D2585">IFERROR(INDEX(user_table!$C$2:$C3686,MATCH(C2585,user_table!$B$2:$B3686,0)),"")
</f>
        <v>Maya Hidayat</v>
      </c>
      <c r="E2585" s="6" t="str">
        <f t="array" ref="E2585">IFERROR(INDEX(user_table!$E$2:$E3686,MATCH(C2585,user_table!$B$2:$B3686,0)),"")
</f>
        <v>2, 3</v>
      </c>
      <c r="F2585" s="6" t="str">
        <f t="shared" si="2"/>
        <v>11751151</v>
      </c>
      <c r="G2585" s="16">
        <v>5.0</v>
      </c>
      <c r="H2585" s="17">
        <v>44951.0</v>
      </c>
      <c r="I2585" s="18" t="s">
        <v>2538</v>
      </c>
    </row>
    <row r="2586">
      <c r="A2586" s="5" t="str">
        <f t="array" ref="A2586">INDEX(event_table!$A$2:$A$69, RANDBETWEEN(1, COUNTA(event_table!$A$2:$A$69)))</f>
        <v>1332</v>
      </c>
      <c r="B2586" s="6">
        <f t="array" ref="B2586">IFERROR(INDEX(event_table!$E$1:$E3686,MATCH(A2586,event_table!$A$1:$A3686,0)),"")
</f>
        <v>3</v>
      </c>
      <c r="C2586" s="7">
        <f t="shared" si="1"/>
        <v>101</v>
      </c>
      <c r="D2586" s="6" t="str">
        <f t="array" ref="D2586">IFERROR(INDEX(user_table!$C$2:$C3686,MATCH(C2586,user_table!$B$2:$B3686,0)),"")
</f>
        <v>Maya Hadiwijaya</v>
      </c>
      <c r="E2586" s="6" t="str">
        <f t="array" ref="E2586">IFERROR(INDEX(user_table!$E$2:$E3686,MATCH(C2586,user_table!$B$2:$B3686,0)),"")
</f>
        <v>5, 4</v>
      </c>
      <c r="F2586" s="6" t="str">
        <f t="shared" si="2"/>
        <v>133253101</v>
      </c>
      <c r="G2586" s="16">
        <v>5.0</v>
      </c>
      <c r="H2586" s="17">
        <v>44851.0</v>
      </c>
      <c r="I2586" s="18" t="s">
        <v>2539</v>
      </c>
    </row>
    <row r="2587">
      <c r="A2587" s="5" t="str">
        <f t="array" ref="A2587">INDEX(event_table!$A$2:$A$69, RANDBETWEEN(1, COUNTA(event_table!$A$2:$A$69)))</f>
        <v>3659</v>
      </c>
      <c r="B2587" s="6">
        <f t="array" ref="B2587">IFERROR(INDEX(event_table!$E$1:$E3686,MATCH(A2587,event_table!$A$1:$A3686,0)),"")
</f>
        <v>6</v>
      </c>
      <c r="C2587" s="7">
        <f t="shared" si="1"/>
        <v>153</v>
      </c>
      <c r="D2587" s="6" t="str">
        <f t="array" ref="D2587">IFERROR(INDEX(user_table!$C$2:$C3686,MATCH(C2587,user_table!$B$2:$B3686,0)),"")
</f>
        <v>Budi Hartono</v>
      </c>
      <c r="E2587" s="6" t="str">
        <f t="array" ref="E2587">IFERROR(INDEX(user_table!$E$2:$E3686,MATCH(C2587,user_table!$B$2:$B3686,0)),"")
</f>
        <v>5, 2</v>
      </c>
      <c r="F2587" s="6" t="str">
        <f t="shared" si="2"/>
        <v>365956153</v>
      </c>
      <c r="G2587" s="16">
        <v>5.0</v>
      </c>
      <c r="H2587" s="17">
        <v>44844.0</v>
      </c>
      <c r="I2587" s="18" t="s">
        <v>2418</v>
      </c>
    </row>
    <row r="2588">
      <c r="A2588" s="5" t="str">
        <f t="array" ref="A2588">INDEX(event_table!$A$2:$A$69, RANDBETWEEN(1, COUNTA(event_table!$A$2:$A$69)))</f>
        <v>1645</v>
      </c>
      <c r="B2588" s="6">
        <f t="array" ref="B2588">IFERROR(INDEX(event_table!$E$1:$E3686,MATCH(A2588,event_table!$A$1:$A3686,0)),"")
</f>
        <v>6</v>
      </c>
      <c r="C2588" s="7">
        <f t="shared" si="1"/>
        <v>116</v>
      </c>
      <c r="D2588" s="6" t="str">
        <f t="array" ref="D2588">IFERROR(INDEX(user_table!$C$2:$C3686,MATCH(C2588,user_table!$B$2:$B3686,0)),"")
</f>
        <v>Fandi Hartono</v>
      </c>
      <c r="E2588" s="6" t="str">
        <f t="array" ref="E2588">IFERROR(INDEX(user_table!$E$2:$E3686,MATCH(C2588,user_table!$B$2:$B3686,0)),"")
</f>
        <v>2, 1</v>
      </c>
      <c r="F2588" s="6" t="str">
        <f t="shared" si="2"/>
        <v>164556116</v>
      </c>
      <c r="G2588" s="16">
        <v>5.0</v>
      </c>
      <c r="H2588" s="17">
        <v>44803.0</v>
      </c>
      <c r="I2588" s="18" t="s">
        <v>2540</v>
      </c>
    </row>
    <row r="2589">
      <c r="A2589" s="5" t="str">
        <f t="array" ref="A2589">INDEX(event_table!$A$2:$A$69, RANDBETWEEN(1, COUNTA(event_table!$A$2:$A$69)))</f>
        <v>1531</v>
      </c>
      <c r="B2589" s="6">
        <f t="array" ref="B2589">IFERROR(INDEX(event_table!$E$1:$E3686,MATCH(A2589,event_table!$A$1:$A3686,0)),"")
</f>
        <v>5</v>
      </c>
      <c r="C2589" s="7">
        <f t="shared" si="1"/>
        <v>127</v>
      </c>
      <c r="D2589" s="6" t="str">
        <f t="array" ref="D2589">IFERROR(INDEX(user_table!$C$2:$C3686,MATCH(C2589,user_table!$B$2:$B3686,0)),"")
</f>
        <v>Sinta Wijaya</v>
      </c>
      <c r="E2589" s="6" t="str">
        <f t="array" ref="E2589">IFERROR(INDEX(user_table!$E$2:$E3686,MATCH(C2589,user_table!$B$2:$B3686,0)),"")
</f>
        <v>6, 4</v>
      </c>
      <c r="F2589" s="6" t="str">
        <f t="shared" si="2"/>
        <v>153145127</v>
      </c>
      <c r="G2589" s="16">
        <v>4.0</v>
      </c>
      <c r="H2589" s="17">
        <v>45250.0</v>
      </c>
      <c r="I2589" s="18" t="s">
        <v>2541</v>
      </c>
    </row>
    <row r="2590">
      <c r="A2590" s="5" t="str">
        <f t="array" ref="A2590">INDEX(event_table!$A$2:$A$69, RANDBETWEEN(1, COUNTA(event_table!$A$2:$A$69)))</f>
        <v>1531</v>
      </c>
      <c r="B2590" s="6">
        <f t="array" ref="B2590">IFERROR(INDEX(event_table!$E$1:$E3686,MATCH(A2590,event_table!$A$1:$A3686,0)),"")
</f>
        <v>5</v>
      </c>
      <c r="C2590" s="7">
        <f t="shared" si="1"/>
        <v>35</v>
      </c>
      <c r="D2590" s="6" t="str">
        <f t="array" ref="D2590">IFERROR(INDEX(user_table!$C$2:$C3686,MATCH(C2590,user_table!$B$2:$B3686,0)),"")
</f>
        <v>Maya Nugroho</v>
      </c>
      <c r="E2590" s="6" t="str">
        <f t="array" ref="E2590">IFERROR(INDEX(user_table!$E$2:$E3686,MATCH(C2590,user_table!$B$2:$B3686,0)),"")
</f>
        <v>6, 2</v>
      </c>
      <c r="F2590" s="6" t="str">
        <f t="shared" si="2"/>
        <v>15314535</v>
      </c>
      <c r="G2590" s="16">
        <v>4.0</v>
      </c>
      <c r="H2590" s="17">
        <v>44926.0</v>
      </c>
      <c r="I2590" s="18" t="s">
        <v>2542</v>
      </c>
    </row>
    <row r="2591">
      <c r="A2591" s="5" t="str">
        <f t="array" ref="A2591">INDEX(event_table!$A$2:$A$69, RANDBETWEEN(1, COUNTA(event_table!$A$2:$A$69)))</f>
        <v>3169</v>
      </c>
      <c r="B2591" s="6">
        <f t="array" ref="B2591">IFERROR(INDEX(event_table!$E$1:$E3686,MATCH(A2591,event_table!$A$1:$A3686,0)),"")
</f>
        <v>1</v>
      </c>
      <c r="C2591" s="7">
        <f t="shared" si="1"/>
        <v>132</v>
      </c>
      <c r="D2591" s="6" t="str">
        <f t="array" ref="D2591">IFERROR(INDEX(user_table!$C$2:$C3686,MATCH(C2591,user_table!$B$2:$B3686,0)),"")
</f>
        <v>Joko Hartono</v>
      </c>
      <c r="E2591" s="6" t="str">
        <f t="array" ref="E2591">IFERROR(INDEX(user_table!$E$2:$E3686,MATCH(C2591,user_table!$B$2:$B3686,0)),"")
</f>
        <v>1, 3</v>
      </c>
      <c r="F2591" s="6" t="str">
        <f t="shared" si="2"/>
        <v>316941132</v>
      </c>
      <c r="G2591" s="16">
        <v>4.0</v>
      </c>
      <c r="H2591" s="17">
        <v>44923.0</v>
      </c>
      <c r="I2591" s="18" t="s">
        <v>2543</v>
      </c>
    </row>
    <row r="2592">
      <c r="A2592" s="5" t="str">
        <f t="array" ref="A2592">INDEX(event_table!$A$2:$A$69, RANDBETWEEN(1, COUNTA(event_table!$A$2:$A$69)))</f>
        <v>1526</v>
      </c>
      <c r="B2592" s="6">
        <f t="array" ref="B2592">IFERROR(INDEX(event_table!$E$1:$E3686,MATCH(A2592,event_table!$A$1:$A3686,0)),"")
</f>
        <v>5</v>
      </c>
      <c r="C2592" s="7">
        <f t="shared" si="1"/>
        <v>20</v>
      </c>
      <c r="D2592" s="6" t="str">
        <f t="array" ref="D2592">IFERROR(INDEX(user_table!$C$2:$C3686,MATCH(C2592,user_table!$B$2:$B3686,0)),"")
</f>
        <v>Arif Septiani</v>
      </c>
      <c r="E2592" s="6" t="str">
        <f t="array" ref="E2592">IFERROR(INDEX(user_table!$E$2:$E3686,MATCH(C2592,user_table!$B$2:$B3686,0)),"")
</f>
        <v>6, 3</v>
      </c>
      <c r="F2592" s="6" t="str">
        <f t="shared" si="2"/>
        <v>15264520</v>
      </c>
      <c r="G2592" s="16">
        <v>4.0</v>
      </c>
      <c r="H2592" s="17">
        <v>44751.0</v>
      </c>
      <c r="I2592" s="18" t="s">
        <v>2544</v>
      </c>
    </row>
    <row r="2593">
      <c r="A2593" s="5" t="str">
        <f t="array" ref="A2593">INDEX(event_table!$A$2:$A$69, RANDBETWEEN(1, COUNTA(event_table!$A$2:$A$69)))</f>
        <v>1421</v>
      </c>
      <c r="B2593" s="6">
        <f t="array" ref="B2593">IFERROR(INDEX(event_table!$E$1:$E3686,MATCH(A2593,event_table!$A$1:$A3686,0)),"")
</f>
        <v>4</v>
      </c>
      <c r="C2593" s="7">
        <f t="shared" si="1"/>
        <v>25</v>
      </c>
      <c r="D2593" s="6" t="str">
        <f t="array" ref="D2593">IFERROR(INDEX(user_table!$C$2:$C3686,MATCH(C2593,user_table!$B$2:$B3686,0)),"")
</f>
        <v>Agus Hartono</v>
      </c>
      <c r="E2593" s="6" t="str">
        <f t="array" ref="E2593">IFERROR(INDEX(user_table!$E$2:$E3686,MATCH(C2593,user_table!$B$2:$B3686,0)),"")
</f>
        <v>6, 3</v>
      </c>
      <c r="F2593" s="6" t="str">
        <f t="shared" si="2"/>
        <v>14214425</v>
      </c>
      <c r="G2593" s="16">
        <v>4.0</v>
      </c>
      <c r="H2593" s="17">
        <v>45092.0</v>
      </c>
      <c r="I2593" s="18" t="s">
        <v>2545</v>
      </c>
    </row>
    <row r="2594">
      <c r="A2594" s="5" t="str">
        <f t="array" ref="A2594">INDEX(event_table!$A$2:$A$69, RANDBETWEEN(1, COUNTA(event_table!$A$2:$A$69)))</f>
        <v>115</v>
      </c>
      <c r="B2594" s="6">
        <f t="array" ref="B2594">IFERROR(INDEX(event_table!$E$1:$E3686,MATCH(A2594,event_table!$A$1:$A3686,0)),"")
</f>
        <v>1</v>
      </c>
      <c r="C2594" s="7">
        <f t="shared" si="1"/>
        <v>132</v>
      </c>
      <c r="D2594" s="6" t="str">
        <f t="array" ref="D2594">IFERROR(INDEX(user_table!$C$2:$C3686,MATCH(C2594,user_table!$B$2:$B3686,0)),"")
</f>
        <v>Joko Hartono</v>
      </c>
      <c r="E2594" s="6" t="str">
        <f t="array" ref="E2594">IFERROR(INDEX(user_table!$E$2:$E3686,MATCH(C2594,user_table!$B$2:$B3686,0)),"")
</f>
        <v>1, 3</v>
      </c>
      <c r="F2594" s="6" t="str">
        <f t="shared" si="2"/>
        <v>11541132</v>
      </c>
      <c r="G2594" s="16">
        <v>4.0</v>
      </c>
      <c r="H2594" s="17">
        <v>44753.0</v>
      </c>
      <c r="I2594" s="18" t="s">
        <v>2546</v>
      </c>
    </row>
    <row r="2595">
      <c r="A2595" s="5" t="str">
        <f t="array" ref="A2595">INDEX(event_table!$A$2:$A$69, RANDBETWEEN(1, COUNTA(event_table!$A$2:$A$69)))</f>
        <v>1646</v>
      </c>
      <c r="B2595" s="6">
        <f t="array" ref="B2595">IFERROR(INDEX(event_table!$E$1:$E3686,MATCH(A2595,event_table!$A$1:$A3686,0)),"")
</f>
        <v>6</v>
      </c>
      <c r="C2595" s="7">
        <f t="shared" si="1"/>
        <v>146</v>
      </c>
      <c r="D2595" s="6" t="str">
        <f t="array" ref="D2595">IFERROR(INDEX(user_table!$C$2:$C3686,MATCH(C2595,user_table!$B$2:$B3686,0)),"")
</f>
        <v>Rudi Susanto</v>
      </c>
      <c r="E2595" s="6" t="str">
        <f t="array" ref="E2595">IFERROR(INDEX(user_table!$E$2:$E3686,MATCH(C2595,user_table!$B$2:$B3686,0)),"")
</f>
        <v>6, 1</v>
      </c>
      <c r="F2595" s="6" t="str">
        <f t="shared" si="2"/>
        <v>164646146</v>
      </c>
      <c r="G2595" s="16">
        <v>4.0</v>
      </c>
      <c r="H2595" s="17">
        <v>45090.0</v>
      </c>
      <c r="I2595" s="18" t="s">
        <v>2547</v>
      </c>
    </row>
    <row r="2596">
      <c r="A2596" s="5" t="str">
        <f t="array" ref="A2596">INDEX(event_table!$A$2:$A$69, RANDBETWEEN(1, COUNTA(event_table!$A$2:$A$69)))</f>
        <v>1423</v>
      </c>
      <c r="B2596" s="6">
        <f t="array" ref="B2596">IFERROR(INDEX(event_table!$E$1:$E3686,MATCH(A2596,event_table!$A$1:$A3686,0)),"")
</f>
        <v>4</v>
      </c>
      <c r="C2596" s="7">
        <f t="shared" si="1"/>
        <v>121</v>
      </c>
      <c r="D2596" s="6" t="str">
        <f t="array" ref="D2596">IFERROR(INDEX(user_table!$C$2:$C3686,MATCH(C2596,user_table!$B$2:$B3686,0)),"")
</f>
        <v>Wahyu Saputra</v>
      </c>
      <c r="E2596" s="6" t="str">
        <f t="array" ref="E2596">IFERROR(INDEX(user_table!$E$2:$E3686,MATCH(C2596,user_table!$B$2:$B3686,0)),"")
</f>
        <v>6, 3</v>
      </c>
      <c r="F2596" s="6" t="str">
        <f t="shared" si="2"/>
        <v>142344121</v>
      </c>
      <c r="G2596" s="16">
        <v>4.0</v>
      </c>
      <c r="H2596" s="17">
        <v>44779.0</v>
      </c>
      <c r="I2596" s="18" t="s">
        <v>2548</v>
      </c>
    </row>
    <row r="2597">
      <c r="A2597" s="5" t="str">
        <f t="array" ref="A2597">INDEX(event_table!$A$2:$A$69, RANDBETWEEN(1, COUNTA(event_table!$A$2:$A$69)))</f>
        <v>1647</v>
      </c>
      <c r="B2597" s="6">
        <f t="array" ref="B2597">IFERROR(INDEX(event_table!$E$1:$E3686,MATCH(A2597,event_table!$A$1:$A3686,0)),"")
</f>
        <v>6</v>
      </c>
      <c r="C2597" s="7">
        <f t="shared" si="1"/>
        <v>103</v>
      </c>
      <c r="D2597" s="6" t="str">
        <f t="array" ref="D2597">IFERROR(INDEX(user_table!$C$2:$C3686,MATCH(C2597,user_table!$B$2:$B3686,0)),"")
</f>
        <v>Hadi Sari</v>
      </c>
      <c r="E2597" s="6" t="str">
        <f t="array" ref="E2597">IFERROR(INDEX(user_table!$E$2:$E3686,MATCH(C2597,user_table!$B$2:$B3686,0)),"")
</f>
        <v>3, 1</v>
      </c>
      <c r="F2597" s="6" t="str">
        <f t="shared" si="2"/>
        <v>164746103</v>
      </c>
      <c r="G2597" s="16">
        <v>4.0</v>
      </c>
      <c r="H2597" s="17">
        <v>44764.0</v>
      </c>
      <c r="I2597" s="18" t="s">
        <v>2549</v>
      </c>
    </row>
    <row r="2598">
      <c r="A2598" s="5" t="str">
        <f t="array" ref="A2598">INDEX(event_table!$A$2:$A$69, RANDBETWEEN(1, COUNTA(event_table!$A$2:$A$69)))</f>
        <v>1110</v>
      </c>
      <c r="B2598" s="6">
        <f t="array" ref="B2598">IFERROR(INDEX(event_table!$E$1:$E3686,MATCH(A2598,event_table!$A$1:$A3686,0)),"")
</f>
        <v>1</v>
      </c>
      <c r="C2598" s="7">
        <f t="shared" si="1"/>
        <v>99</v>
      </c>
      <c r="D2598" s="6" t="str">
        <f t="array" ref="D2598">IFERROR(INDEX(user_table!$C$2:$C3686,MATCH(C2598,user_table!$B$2:$B3686,0)),"")
</f>
        <v>Maya Nugroho</v>
      </c>
      <c r="E2598" s="6" t="str">
        <f t="array" ref="E2598">IFERROR(INDEX(user_table!$E$2:$E3686,MATCH(C2598,user_table!$B$2:$B3686,0)),"")
</f>
        <v>6, 1</v>
      </c>
      <c r="F2598" s="6" t="str">
        <f t="shared" si="2"/>
        <v>11103199</v>
      </c>
      <c r="G2598" s="16">
        <v>3.0</v>
      </c>
      <c r="H2598" s="17">
        <v>45113.0</v>
      </c>
      <c r="I2598" s="18" t="s">
        <v>2343</v>
      </c>
    </row>
    <row r="2599">
      <c r="A2599" s="5" t="str">
        <f t="array" ref="A2599">INDEX(event_table!$A$2:$A$69, RANDBETWEEN(1, COUNTA(event_table!$A$2:$A$69)))</f>
        <v>1423</v>
      </c>
      <c r="B2599" s="6">
        <f t="array" ref="B2599">IFERROR(INDEX(event_table!$E$1:$E3686,MATCH(A2599,event_table!$A$1:$A3686,0)),"")
</f>
        <v>4</v>
      </c>
      <c r="C2599" s="7">
        <f t="shared" si="1"/>
        <v>100</v>
      </c>
      <c r="D2599" s="6" t="str">
        <f t="array" ref="D2599">IFERROR(INDEX(user_table!$C$2:$C3686,MATCH(C2599,user_table!$B$2:$B3686,0)),"")
</f>
        <v>Lina Rahayu</v>
      </c>
      <c r="E2599" s="6" t="str">
        <f t="array" ref="E2599">IFERROR(INDEX(user_table!$E$2:$E3686,MATCH(C2599,user_table!$B$2:$B3686,0)),"")
</f>
        <v>6, 2</v>
      </c>
      <c r="F2599" s="6" t="str">
        <f t="shared" si="2"/>
        <v>142324100</v>
      </c>
      <c r="G2599" s="16">
        <v>2.0</v>
      </c>
      <c r="H2599" s="17">
        <v>44900.0</v>
      </c>
      <c r="I2599" s="18" t="s">
        <v>2550</v>
      </c>
    </row>
    <row r="2600">
      <c r="A2600" s="5" t="str">
        <f t="array" ref="A2600">INDEX(event_table!$A$2:$A$69, RANDBETWEEN(1, COUNTA(event_table!$A$2:$A$69)))</f>
        <v>1640</v>
      </c>
      <c r="B2600" s="6">
        <f t="array" ref="B2600">IFERROR(INDEX(event_table!$E$1:$E3686,MATCH(A2600,event_table!$A$1:$A3686,0)),"")
</f>
        <v>6</v>
      </c>
      <c r="C2600" s="7">
        <f t="shared" si="1"/>
        <v>125</v>
      </c>
      <c r="D2600" s="6" t="str">
        <f t="array" ref="D2600">IFERROR(INDEX(user_table!$C$2:$C3686,MATCH(C2600,user_table!$B$2:$B3686,0)),"")
</f>
        <v>Fandi Hidayat</v>
      </c>
      <c r="E2600" s="6" t="str">
        <f t="array" ref="E2600">IFERROR(INDEX(user_table!$E$2:$E3686,MATCH(C2600,user_table!$B$2:$B3686,0)),"")
</f>
        <v>5, 2</v>
      </c>
      <c r="F2600" s="6" t="str">
        <f t="shared" si="2"/>
        <v>164026125</v>
      </c>
      <c r="G2600" s="16">
        <v>2.0</v>
      </c>
      <c r="H2600" s="17">
        <v>44350.0</v>
      </c>
      <c r="I2600" s="18" t="s">
        <v>2551</v>
      </c>
    </row>
    <row r="2601">
      <c r="A2601" s="5" t="str">
        <f t="array" ref="A2601">INDEX(event_table!$A$2:$A$69, RANDBETWEEN(1, COUNTA(event_table!$A$2:$A$69)))</f>
        <v>1640</v>
      </c>
      <c r="B2601" s="6">
        <f t="array" ref="B2601">IFERROR(INDEX(event_table!$E$1:$E3686,MATCH(A2601,event_table!$A$1:$A3686,0)),"")
</f>
        <v>6</v>
      </c>
      <c r="C2601" s="7">
        <f t="shared" si="1"/>
        <v>197</v>
      </c>
      <c r="D2601" s="6" t="str">
        <f t="array" ref="D2601">IFERROR(INDEX(user_table!$C$2:$C3686,MATCH(C2601,user_table!$B$2:$B3686,0)),"")
</f>
        <v>Dian Sari</v>
      </c>
      <c r="E2601" s="6" t="str">
        <f t="array" ref="E2601">IFERROR(INDEX(user_table!$E$2:$E3686,MATCH(C2601,user_table!$B$2:$B3686,0)),"")
</f>
        <v>6, 3</v>
      </c>
      <c r="F2601" s="6" t="str">
        <f t="shared" si="2"/>
        <v>164026197</v>
      </c>
      <c r="G2601" s="16">
        <v>2.0</v>
      </c>
      <c r="H2601" s="17">
        <v>44343.0</v>
      </c>
      <c r="I2601" s="18" t="s">
        <v>1283</v>
      </c>
    </row>
    <row r="2602">
      <c r="A2602" s="5" t="str">
        <f t="array" ref="A2602">INDEX(event_table!$A$2:$A$69, RANDBETWEEN(1, COUNTA(event_table!$A$2:$A$69)))</f>
        <v>1427</v>
      </c>
      <c r="B2602" s="6">
        <f t="array" ref="B2602">IFERROR(INDEX(event_table!$E$1:$E3686,MATCH(A2602,event_table!$A$1:$A3686,0)),"")
</f>
        <v>4</v>
      </c>
      <c r="C2602" s="7">
        <f t="shared" si="1"/>
        <v>125</v>
      </c>
      <c r="D2602" s="6" t="str">
        <f t="array" ref="D2602">IFERROR(INDEX(user_table!$C$2:$C3686,MATCH(C2602,user_table!$B$2:$B3686,0)),"")
</f>
        <v>Fandi Hidayat</v>
      </c>
      <c r="E2602" s="6" t="str">
        <f t="array" ref="E2602">IFERROR(INDEX(user_table!$E$2:$E3686,MATCH(C2602,user_table!$B$2:$B3686,0)),"")
</f>
        <v>5, 2</v>
      </c>
      <c r="F2602" s="6" t="str">
        <f t="shared" si="2"/>
        <v>142724125</v>
      </c>
      <c r="G2602" s="16">
        <v>2.0</v>
      </c>
      <c r="H2602" s="17">
        <v>45257.0</v>
      </c>
      <c r="I2602" s="18" t="s">
        <v>2552</v>
      </c>
    </row>
    <row r="2603">
      <c r="A2603" s="5" t="str">
        <f t="array" ref="A2603">INDEX(event_table!$A$2:$A$69, RANDBETWEEN(1, COUNTA(event_table!$A$2:$A$69)))</f>
        <v>3356</v>
      </c>
      <c r="B2603" s="6">
        <f t="array" ref="B2603">IFERROR(INDEX(event_table!$E$1:$E3686,MATCH(A2603,event_table!$A$1:$A3686,0)),"")
</f>
        <v>3</v>
      </c>
      <c r="C2603" s="7">
        <f t="shared" si="1"/>
        <v>67</v>
      </c>
      <c r="D2603" s="6" t="str">
        <f t="array" ref="D2603">IFERROR(INDEX(user_table!$C$2:$C3686,MATCH(C2603,user_table!$B$2:$B3686,0)),"")
</f>
        <v>Joko Pratama</v>
      </c>
      <c r="E2603" s="6" t="str">
        <f t="array" ref="E2603">IFERROR(INDEX(user_table!$E$2:$E3686,MATCH(C2603,user_table!$B$2:$B3686,0)),"")
</f>
        <v>1, 3</v>
      </c>
      <c r="F2603" s="6" t="str">
        <f t="shared" si="2"/>
        <v>33562367</v>
      </c>
      <c r="G2603" s="16">
        <v>2.0</v>
      </c>
      <c r="H2603" s="17">
        <v>45236.0</v>
      </c>
      <c r="I2603" s="18" t="s">
        <v>40</v>
      </c>
    </row>
    <row r="2604">
      <c r="A2604" s="5" t="str">
        <f t="array" ref="A2604">INDEX(event_table!$A$2:$A$69, RANDBETWEEN(1, COUNTA(event_table!$A$2:$A$69)))</f>
        <v>3162</v>
      </c>
      <c r="B2604" s="6">
        <f t="array" ref="B2604">IFERROR(INDEX(event_table!$E$1:$E3686,MATCH(A2604,event_table!$A$1:$A3686,0)),"")
</f>
        <v>1</v>
      </c>
      <c r="C2604" s="7">
        <f t="shared" si="1"/>
        <v>22</v>
      </c>
      <c r="D2604" s="6" t="str">
        <f t="array" ref="D2604">IFERROR(INDEX(user_table!$C$2:$C3686,MATCH(C2604,user_table!$B$2:$B3686,0)),"")
</f>
        <v>Fajar Wijaya</v>
      </c>
      <c r="E2604" s="6" t="str">
        <f t="array" ref="E2604">IFERROR(INDEX(user_table!$E$2:$E3686,MATCH(C2604,user_table!$B$2:$B3686,0)),"")
</f>
        <v>2, 6</v>
      </c>
      <c r="F2604" s="6" t="str">
        <f t="shared" si="2"/>
        <v>31622122</v>
      </c>
      <c r="G2604" s="16">
        <v>2.0</v>
      </c>
      <c r="H2604" s="17">
        <v>45218.0</v>
      </c>
      <c r="I2604" s="18" t="s">
        <v>2553</v>
      </c>
    </row>
    <row r="2605">
      <c r="A2605" s="5" t="str">
        <f t="array" ref="A2605">INDEX(event_table!$A$2:$A$69, RANDBETWEEN(1, COUNTA(event_table!$A$2:$A$69)))</f>
        <v>3164</v>
      </c>
      <c r="B2605" s="6">
        <f t="array" ref="B2605">IFERROR(INDEX(event_table!$E$1:$E3686,MATCH(A2605,event_table!$A$1:$A3686,0)),"")
</f>
        <v>1</v>
      </c>
      <c r="C2605" s="7">
        <f t="shared" si="1"/>
        <v>18</v>
      </c>
      <c r="D2605" s="6" t="str">
        <f t="array" ref="D2605">IFERROR(INDEX(user_table!$C$2:$C3686,MATCH(C2605,user_table!$B$2:$B3686,0)),"")
</f>
        <v>Rudi Santoso</v>
      </c>
      <c r="E2605" s="6" t="str">
        <f t="array" ref="E2605">IFERROR(INDEX(user_table!$E$2:$E3686,MATCH(C2605,user_table!$B$2:$B3686,0)),"")
</f>
        <v>4, 2</v>
      </c>
      <c r="F2605" s="6" t="str">
        <f t="shared" si="2"/>
        <v>31642118</v>
      </c>
      <c r="G2605" s="16">
        <v>2.0</v>
      </c>
      <c r="H2605" s="17">
        <v>45129.0</v>
      </c>
      <c r="I2605" s="18" t="s">
        <v>2554</v>
      </c>
    </row>
    <row r="2606">
      <c r="A2606" s="5" t="str">
        <f t="array" ref="A2606">INDEX(event_table!$A$2:$A$69, RANDBETWEEN(1, COUNTA(event_table!$A$2:$A$69)))</f>
        <v>1526</v>
      </c>
      <c r="B2606" s="6">
        <f t="array" ref="B2606">IFERROR(INDEX(event_table!$E$1:$E3686,MATCH(A2606,event_table!$A$1:$A3686,0)),"")
</f>
        <v>5</v>
      </c>
      <c r="C2606" s="7">
        <f t="shared" si="1"/>
        <v>148</v>
      </c>
      <c r="D2606" s="6" t="str">
        <f t="array" ref="D2606">IFERROR(INDEX(user_table!$C$2:$C3686,MATCH(C2606,user_table!$B$2:$B3686,0)),"")
</f>
        <v>Fajar Setiawan</v>
      </c>
      <c r="E2606" s="6" t="str">
        <f t="array" ref="E2606">IFERROR(INDEX(user_table!$E$2:$E3686,MATCH(C2606,user_table!$B$2:$B3686,0)),"")
</f>
        <v>6, 4</v>
      </c>
      <c r="F2606" s="6" t="str">
        <f t="shared" si="2"/>
        <v>152625148</v>
      </c>
      <c r="G2606" s="16">
        <v>2.0</v>
      </c>
      <c r="H2606" s="17">
        <v>45040.0</v>
      </c>
      <c r="I2606" s="18" t="s">
        <v>2555</v>
      </c>
    </row>
    <row r="2607">
      <c r="A2607" s="5" t="str">
        <f t="array" ref="A2607">INDEX(event_table!$A$2:$A$69, RANDBETWEEN(1, COUNTA(event_table!$A$2:$A$69)))</f>
        <v>1425</v>
      </c>
      <c r="B2607" s="6">
        <f t="array" ref="B2607">IFERROR(INDEX(event_table!$E$1:$E3686,MATCH(A2607,event_table!$A$1:$A3686,0)),"")
</f>
        <v>4</v>
      </c>
      <c r="C2607" s="7">
        <f t="shared" si="1"/>
        <v>27</v>
      </c>
      <c r="D2607" s="6" t="str">
        <f t="array" ref="D2607">IFERROR(INDEX(user_table!$C$2:$C3686,MATCH(C2607,user_table!$B$2:$B3686,0)),"")
</f>
        <v>Fandi Purnama</v>
      </c>
      <c r="E2607" s="6" t="str">
        <f t="array" ref="E2607">IFERROR(INDEX(user_table!$E$2:$E3686,MATCH(C2607,user_table!$B$2:$B3686,0)),"")
</f>
        <v>4, 6</v>
      </c>
      <c r="F2607" s="6" t="str">
        <f t="shared" si="2"/>
        <v>14251427</v>
      </c>
      <c r="G2607" s="16">
        <v>1.0</v>
      </c>
      <c r="H2607" s="17">
        <v>45255.0</v>
      </c>
      <c r="I2607" s="18" t="s">
        <v>2556</v>
      </c>
    </row>
    <row r="2608">
      <c r="A2608" s="5" t="str">
        <f t="array" ref="A2608">INDEX(event_table!$A$2:$A$69, RANDBETWEEN(1, COUNTA(event_table!$A$2:$A$69)))</f>
        <v>113</v>
      </c>
      <c r="B2608" s="6">
        <f t="array" ref="B2608">IFERROR(INDEX(event_table!$E$1:$E3686,MATCH(A2608,event_table!$A$1:$A3686,0)),"")
</f>
        <v>1</v>
      </c>
      <c r="C2608" s="7">
        <f t="shared" si="1"/>
        <v>53</v>
      </c>
      <c r="D2608" s="6" t="str">
        <f t="array" ref="D2608">IFERROR(INDEX(user_table!$C$2:$C3686,MATCH(C2608,user_table!$B$2:$B3686,0)),"")
</f>
        <v>Wahyu Santoso</v>
      </c>
      <c r="E2608" s="6" t="str">
        <f t="array" ref="E2608">IFERROR(INDEX(user_table!$E$2:$E3686,MATCH(C2608,user_table!$B$2:$B3686,0)),"")
</f>
        <v>4, 5</v>
      </c>
      <c r="F2608" s="6" t="str">
        <f t="shared" si="2"/>
        <v>1131153</v>
      </c>
      <c r="G2608" s="16">
        <v>1.0</v>
      </c>
      <c r="H2608" s="17">
        <v>45253.0</v>
      </c>
      <c r="I2608" s="18" t="s">
        <v>2557</v>
      </c>
    </row>
    <row r="2609">
      <c r="A2609" s="5" t="str">
        <f t="array" ref="A2609">INDEX(event_table!$A$2:$A$69, RANDBETWEEN(1, COUNTA(event_table!$A$2:$A$69)))</f>
        <v>1111</v>
      </c>
      <c r="B2609" s="6">
        <f t="array" ref="B2609">IFERROR(INDEX(event_table!$E$1:$E3686,MATCH(A2609,event_table!$A$1:$A3686,0)),"")
</f>
        <v>1</v>
      </c>
      <c r="C2609" s="7">
        <f t="shared" si="1"/>
        <v>14</v>
      </c>
      <c r="D2609" s="6" t="str">
        <f t="array" ref="D2609">IFERROR(INDEX(user_table!$C$2:$C3686,MATCH(C2609,user_table!$B$2:$B3686,0)),"")
</f>
        <v>Ani Purnama</v>
      </c>
      <c r="E2609" s="6" t="str">
        <f t="array" ref="E2609">IFERROR(INDEX(user_table!$E$2:$E3686,MATCH(C2609,user_table!$B$2:$B3686,0)),"")
</f>
        <v>6, 2</v>
      </c>
      <c r="F2609" s="6" t="str">
        <f t="shared" si="2"/>
        <v>11111114</v>
      </c>
      <c r="G2609" s="16">
        <v>1.0</v>
      </c>
      <c r="H2609" s="17">
        <v>45234.0</v>
      </c>
      <c r="I2609" s="18" t="s">
        <v>2558</v>
      </c>
    </row>
    <row r="2610">
      <c r="A2610" s="5" t="str">
        <f t="array" ref="A2610">INDEX(event_table!$A$2:$A$69, RANDBETWEEN(1, COUNTA(event_table!$A$2:$A$69)))</f>
        <v>1642</v>
      </c>
      <c r="B2610" s="6">
        <f t="array" ref="B2610">IFERROR(INDEX(event_table!$E$1:$E3686,MATCH(A2610,event_table!$A$1:$A3686,0)),"")
</f>
        <v>6</v>
      </c>
      <c r="C2610" s="7">
        <f t="shared" si="1"/>
        <v>88</v>
      </c>
      <c r="D2610" s="6" t="str">
        <f t="array" ref="D2610">IFERROR(INDEX(user_table!$C$2:$C3686,MATCH(C2610,user_table!$B$2:$B3686,0)),"")
</f>
        <v>Fajar Hadiwijaya</v>
      </c>
      <c r="E2610" s="6" t="str">
        <f t="array" ref="E2610">IFERROR(INDEX(user_table!$E$2:$E3686,MATCH(C2610,user_table!$B$2:$B3686,0)),"")
</f>
        <v>2, 6</v>
      </c>
      <c r="F2610" s="6" t="str">
        <f t="shared" si="2"/>
        <v>16421688</v>
      </c>
      <c r="G2610" s="16">
        <v>1.0</v>
      </c>
      <c r="H2610" s="17">
        <v>45180.0</v>
      </c>
      <c r="I2610" s="18" t="s">
        <v>2559</v>
      </c>
    </row>
    <row r="2611">
      <c r="A2611" s="5" t="str">
        <f t="array" ref="A2611">INDEX(event_table!$A$2:$A$69, RANDBETWEEN(1, COUNTA(event_table!$A$2:$A$69)))</f>
        <v>1652</v>
      </c>
      <c r="B2611" s="6">
        <f t="array" ref="B2611">IFERROR(INDEX(event_table!$E$1:$E3686,MATCH(A2611,event_table!$A$1:$A3686,0)),"")
</f>
        <v>6</v>
      </c>
      <c r="C2611" s="7">
        <f t="shared" si="1"/>
        <v>157</v>
      </c>
      <c r="D2611" s="6" t="str">
        <f t="array" ref="D2611">IFERROR(INDEX(user_table!$C$2:$C3686,MATCH(C2611,user_table!$B$2:$B3686,0)),"")
</f>
        <v>Ani Susanto</v>
      </c>
      <c r="E2611" s="6" t="str">
        <f t="array" ref="E2611">IFERROR(INDEX(user_table!$E$2:$E3686,MATCH(C2611,user_table!$B$2:$B3686,0)),"")
</f>
        <v>4, 1</v>
      </c>
      <c r="F2611" s="6" t="str">
        <f t="shared" si="2"/>
        <v>165216157</v>
      </c>
      <c r="G2611" s="16">
        <v>1.0</v>
      </c>
      <c r="H2611" s="17">
        <v>45170.0</v>
      </c>
      <c r="I2611" s="18" t="s">
        <v>2560</v>
      </c>
    </row>
    <row r="2612">
      <c r="A2612" s="5" t="str">
        <f t="array" ref="A2612">INDEX(event_table!$A$2:$A$69, RANDBETWEEN(1, COUNTA(event_table!$A$2:$A$69)))</f>
        <v>1640</v>
      </c>
      <c r="B2612" s="6">
        <f t="array" ref="B2612">IFERROR(INDEX(event_table!$E$1:$E3686,MATCH(A2612,event_table!$A$1:$A3686,0)),"")
</f>
        <v>6</v>
      </c>
      <c r="C2612" s="7">
        <f t="shared" si="1"/>
        <v>85</v>
      </c>
      <c r="D2612" s="6" t="str">
        <f t="array" ref="D2612">IFERROR(INDEX(user_table!$C$2:$C3686,MATCH(C2612,user_table!$B$2:$B3686,0)),"")
</f>
        <v>Maya Susanto</v>
      </c>
      <c r="E2612" s="6" t="str">
        <f t="array" ref="E2612">IFERROR(INDEX(user_table!$E$2:$E3686,MATCH(C2612,user_table!$B$2:$B3686,0)),"")
</f>
        <v>6, 5</v>
      </c>
      <c r="F2612" s="6" t="str">
        <f t="shared" si="2"/>
        <v>16401685</v>
      </c>
      <c r="G2612" s="16">
        <v>1.0</v>
      </c>
      <c r="H2612" s="17">
        <v>45172.0</v>
      </c>
      <c r="I2612" s="18" t="s">
        <v>2561</v>
      </c>
    </row>
    <row r="2613">
      <c r="A2613" s="5" t="str">
        <f t="array" ref="A2613">INDEX(event_table!$A$2:$A$69, RANDBETWEEN(1, COUNTA(event_table!$A$2:$A$69)))</f>
        <v>1424</v>
      </c>
      <c r="B2613" s="6">
        <f t="array" ref="B2613">IFERROR(INDEX(event_table!$E$1:$E3686,MATCH(A2613,event_table!$A$1:$A3686,0)),"")
</f>
        <v>4</v>
      </c>
      <c r="C2613" s="7">
        <f t="shared" si="1"/>
        <v>18</v>
      </c>
      <c r="D2613" s="6" t="str">
        <f t="array" ref="D2613">IFERROR(INDEX(user_table!$C$2:$C3686,MATCH(C2613,user_table!$B$2:$B3686,0)),"")
</f>
        <v>Rudi Santoso</v>
      </c>
      <c r="E2613" s="6" t="str">
        <f t="array" ref="E2613">IFERROR(INDEX(user_table!$E$2:$E3686,MATCH(C2613,user_table!$B$2:$B3686,0)),"")
</f>
        <v>4, 2</v>
      </c>
      <c r="F2613" s="6" t="str">
        <f t="shared" si="2"/>
        <v>14241418</v>
      </c>
      <c r="G2613" s="16">
        <v>1.0</v>
      </c>
      <c r="H2613" s="17">
        <v>45161.0</v>
      </c>
      <c r="I2613" s="18" t="s">
        <v>2562</v>
      </c>
    </row>
    <row r="2614">
      <c r="A2614" s="5" t="str">
        <f t="array" ref="A2614">INDEX(event_table!$A$2:$A$69, RANDBETWEEN(1, COUNTA(event_table!$A$2:$A$69)))</f>
        <v>3165</v>
      </c>
      <c r="B2614" s="6">
        <f t="array" ref="B2614">IFERROR(INDEX(event_table!$E$1:$E3686,MATCH(A2614,event_table!$A$1:$A3686,0)),"")
</f>
        <v>1</v>
      </c>
      <c r="C2614" s="7">
        <f t="shared" si="1"/>
        <v>1</v>
      </c>
      <c r="D2614" s="6" t="str">
        <f t="array" ref="D2614">IFERROR(INDEX(user_table!$C$2:$C3686,MATCH(C2614,user_table!$B$2:$B3686,0)),"")
</f>
        <v>Maya Putri</v>
      </c>
      <c r="E2614" s="6" t="str">
        <f t="array" ref="E2614">IFERROR(INDEX(user_table!$E$2:$E3686,MATCH(C2614,user_table!$B$2:$B3686,0)),"")
</f>
        <v>5, 6</v>
      </c>
      <c r="F2614" s="6" t="str">
        <f t="shared" si="2"/>
        <v>3165111</v>
      </c>
      <c r="G2614" s="16">
        <v>1.0</v>
      </c>
      <c r="H2614" s="17">
        <v>45152.0</v>
      </c>
      <c r="I2614" s="18" t="s">
        <v>2563</v>
      </c>
    </row>
    <row r="2615">
      <c r="A2615" s="5" t="str">
        <f t="array" ref="A2615">INDEX(event_table!$A$2:$A$69, RANDBETWEEN(1, COUNTA(event_table!$A$2:$A$69)))</f>
        <v>1110</v>
      </c>
      <c r="B2615" s="6">
        <f t="array" ref="B2615">IFERROR(INDEX(event_table!$E$1:$E3686,MATCH(A2615,event_table!$A$1:$A3686,0)),"")
</f>
        <v>1</v>
      </c>
      <c r="C2615" s="7">
        <f t="shared" si="1"/>
        <v>58</v>
      </c>
      <c r="D2615" s="6" t="str">
        <f t="array" ref="D2615">IFERROR(INDEX(user_table!$C$2:$C3686,MATCH(C2615,user_table!$B$2:$B3686,0)),"")
</f>
        <v>Joko Septiani</v>
      </c>
      <c r="E2615" s="6" t="str">
        <f t="array" ref="E2615">IFERROR(INDEX(user_table!$E$2:$E3686,MATCH(C2615,user_table!$B$2:$B3686,0)),"")
</f>
        <v>2, 5</v>
      </c>
      <c r="F2615" s="6" t="str">
        <f t="shared" si="2"/>
        <v>11101158</v>
      </c>
      <c r="G2615" s="16">
        <v>1.0</v>
      </c>
      <c r="H2615" s="17">
        <v>45149.0</v>
      </c>
      <c r="I2615" s="18" t="s">
        <v>2564</v>
      </c>
    </row>
    <row r="2616">
      <c r="A2616" s="5" t="str">
        <f t="array" ref="A2616">INDEX(event_table!$A$2:$A$69, RANDBETWEEN(1, COUNTA(event_table!$A$2:$A$69)))</f>
        <v>1421</v>
      </c>
      <c r="B2616" s="6">
        <f t="array" ref="B2616">IFERROR(INDEX(event_table!$E$1:$E3686,MATCH(A2616,event_table!$A$1:$A3686,0)),"")
</f>
        <v>4</v>
      </c>
      <c r="C2616" s="7">
        <f t="shared" si="1"/>
        <v>188</v>
      </c>
      <c r="D2616" s="6" t="str">
        <f t="array" ref="D2616">IFERROR(INDEX(user_table!$C$2:$C3686,MATCH(C2616,user_table!$B$2:$B3686,0)),"")
</f>
        <v>Siti Setiawan</v>
      </c>
      <c r="E2616" s="6" t="str">
        <f t="array" ref="E2616">IFERROR(INDEX(user_table!$E$2:$E3686,MATCH(C2616,user_table!$B$2:$B3686,0)),"")
</f>
        <v>6, 6</v>
      </c>
      <c r="F2616" s="6" t="str">
        <f t="shared" si="2"/>
        <v>142114188</v>
      </c>
      <c r="G2616" s="16">
        <v>1.0</v>
      </c>
      <c r="H2616" s="17">
        <v>45102.0</v>
      </c>
      <c r="I2616" s="18" t="s">
        <v>2565</v>
      </c>
    </row>
    <row r="2617">
      <c r="A2617" s="5" t="str">
        <f t="array" ref="A2617">INDEX(event_table!$A$2:$A$69, RANDBETWEEN(1, COUNTA(event_table!$A$2:$A$69)))</f>
        <v>119</v>
      </c>
      <c r="B2617" s="6">
        <f t="array" ref="B2617">IFERROR(INDEX(event_table!$E$1:$E3686,MATCH(A2617,event_table!$A$1:$A3686,0)),"")
</f>
        <v>1</v>
      </c>
      <c r="C2617" s="7">
        <f t="shared" si="1"/>
        <v>41</v>
      </c>
      <c r="D2617" s="6" t="str">
        <f t="array" ref="D2617">IFERROR(INDEX(user_table!$C$2:$C3686,MATCH(C2617,user_table!$B$2:$B3686,0)),"")
</f>
        <v>Wahyu Susanto</v>
      </c>
      <c r="E2617" s="6" t="str">
        <f t="array" ref="E2617">IFERROR(INDEX(user_table!$E$2:$E3686,MATCH(C2617,user_table!$B$2:$B3686,0)),"")
</f>
        <v>5, 4</v>
      </c>
      <c r="F2617" s="6" t="str">
        <f t="shared" si="2"/>
        <v>1191141</v>
      </c>
      <c r="G2617" s="16">
        <v>1.0</v>
      </c>
      <c r="H2617" s="17">
        <v>45084.0</v>
      </c>
      <c r="I2617" s="18" t="s">
        <v>2566</v>
      </c>
    </row>
    <row r="2618">
      <c r="A2618" s="5" t="str">
        <f t="array" ref="A2618">INDEX(event_table!$A$2:$A$69, RANDBETWEEN(1, COUNTA(event_table!$A$2:$A$69)))</f>
        <v>1530</v>
      </c>
      <c r="B2618" s="6">
        <f t="array" ref="B2618">IFERROR(INDEX(event_table!$E$1:$E3686,MATCH(A2618,event_table!$A$1:$A3686,0)),"")
</f>
        <v>5</v>
      </c>
      <c r="C2618" s="7">
        <f t="shared" si="1"/>
        <v>37</v>
      </c>
      <c r="D2618" s="6" t="str">
        <f t="array" ref="D2618">IFERROR(INDEX(user_table!$C$2:$C3686,MATCH(C2618,user_table!$B$2:$B3686,0)),"")
</f>
        <v>Lina Susanto</v>
      </c>
      <c r="E2618" s="6" t="str">
        <f t="array" ref="E2618">IFERROR(INDEX(user_table!$E$2:$E3686,MATCH(C2618,user_table!$B$2:$B3686,0)),"")
</f>
        <v>2, 2</v>
      </c>
      <c r="F2618" s="6" t="str">
        <f t="shared" si="2"/>
        <v>15301537</v>
      </c>
      <c r="G2618" s="16">
        <v>1.0</v>
      </c>
      <c r="H2618" s="17">
        <v>45071.0</v>
      </c>
      <c r="I2618" s="18" t="s">
        <v>2567</v>
      </c>
    </row>
    <row r="2619">
      <c r="A2619" s="5" t="str">
        <f t="array" ref="A2619">INDEX(event_table!$A$2:$A$69, RANDBETWEEN(1, COUNTA(event_table!$A$2:$A$69)))</f>
        <v>1528</v>
      </c>
      <c r="B2619" s="6">
        <f t="array" ref="B2619">IFERROR(INDEX(event_table!$E$1:$E3686,MATCH(A2619,event_table!$A$1:$A3686,0)),"")
</f>
        <v>5</v>
      </c>
      <c r="C2619" s="7">
        <f t="shared" si="1"/>
        <v>45</v>
      </c>
      <c r="D2619" s="6" t="str">
        <f t="array" ref="D2619">IFERROR(INDEX(user_table!$C$2:$C3686,MATCH(C2619,user_table!$B$2:$B3686,0)),"")
</f>
        <v>Siti Kurniawan</v>
      </c>
      <c r="E2619" s="6" t="str">
        <f t="array" ref="E2619">IFERROR(INDEX(user_table!$E$2:$E3686,MATCH(C2619,user_table!$B$2:$B3686,0)),"")
</f>
        <v>1, 1</v>
      </c>
      <c r="F2619" s="6" t="str">
        <f t="shared" si="2"/>
        <v>15281545</v>
      </c>
      <c r="G2619" s="16">
        <v>1.0</v>
      </c>
      <c r="H2619" s="17">
        <v>45035.0</v>
      </c>
      <c r="I2619" s="18" t="s">
        <v>2568</v>
      </c>
    </row>
    <row r="2620">
      <c r="A2620" s="5" t="str">
        <f t="array" ref="A2620">INDEX(event_table!$A$2:$A$69, RANDBETWEEN(1, COUNTA(event_table!$A$2:$A$69)))</f>
        <v>111</v>
      </c>
      <c r="B2620" s="6">
        <f t="array" ref="B2620">IFERROR(INDEX(event_table!$E$1:$E3686,MATCH(A2620,event_table!$A$1:$A3686,0)),"")
</f>
        <v>1</v>
      </c>
      <c r="C2620" s="7">
        <f t="shared" si="1"/>
        <v>169</v>
      </c>
      <c r="D2620" s="6" t="str">
        <f t="array" ref="D2620">IFERROR(INDEX(user_table!$C$2:$C3686,MATCH(C2620,user_table!$B$2:$B3686,0)),"")
</f>
        <v>Dian Saputra</v>
      </c>
      <c r="E2620" s="6" t="str">
        <f t="array" ref="E2620">IFERROR(INDEX(user_table!$E$2:$E3686,MATCH(C2620,user_table!$B$2:$B3686,0)),"")
</f>
        <v>6, 1</v>
      </c>
      <c r="F2620" s="6" t="str">
        <f t="shared" si="2"/>
        <v>11151169</v>
      </c>
      <c r="G2620" s="16">
        <v>5.0</v>
      </c>
      <c r="H2620" s="17">
        <v>44745.0</v>
      </c>
      <c r="I2620" s="18" t="s">
        <v>2569</v>
      </c>
    </row>
    <row r="2621">
      <c r="A2621" s="5" t="str">
        <f t="array" ref="A2621">INDEX(event_table!$A$2:$A$69, RANDBETWEEN(1, COUNTA(event_table!$A$2:$A$69)))</f>
        <v>1637</v>
      </c>
      <c r="B2621" s="6">
        <f t="array" ref="B2621">IFERROR(INDEX(event_table!$E$1:$E3686,MATCH(A2621,event_table!$A$1:$A3686,0)),"")
</f>
        <v>6</v>
      </c>
      <c r="C2621" s="7">
        <f t="shared" si="1"/>
        <v>34</v>
      </c>
      <c r="D2621" s="6" t="str">
        <f t="array" ref="D2621">IFERROR(INDEX(user_table!$C$2:$C3686,MATCH(C2621,user_table!$B$2:$B3686,0)),"")
</f>
        <v>Bambang Putri</v>
      </c>
      <c r="E2621" s="6" t="str">
        <f t="array" ref="E2621">IFERROR(INDEX(user_table!$E$2:$E3686,MATCH(C2621,user_table!$B$2:$B3686,0)),"")
</f>
        <v>3, 5</v>
      </c>
      <c r="F2621" s="6" t="str">
        <f t="shared" si="2"/>
        <v>16375634</v>
      </c>
      <c r="G2621" s="16">
        <v>5.0</v>
      </c>
      <c r="H2621" s="17">
        <v>44738.0</v>
      </c>
      <c r="I2621" s="18" t="s">
        <v>2570</v>
      </c>
    </row>
    <row r="2622">
      <c r="A2622" s="5" t="str">
        <f t="array" ref="A2622">INDEX(event_table!$A$2:$A$69, RANDBETWEEN(1, COUNTA(event_table!$A$2:$A$69)))</f>
        <v>3163</v>
      </c>
      <c r="B2622" s="6">
        <f t="array" ref="B2622">IFERROR(INDEX(event_table!$E$1:$E3686,MATCH(A2622,event_table!$A$1:$A3686,0)),"")
</f>
        <v>1</v>
      </c>
      <c r="C2622" s="7">
        <f t="shared" si="1"/>
        <v>42</v>
      </c>
      <c r="D2622" s="6" t="str">
        <f t="array" ref="D2622">IFERROR(INDEX(user_table!$C$2:$C3686,MATCH(C2622,user_table!$B$2:$B3686,0)),"")
</f>
        <v>Desi Putri</v>
      </c>
      <c r="E2622" s="6" t="str">
        <f t="array" ref="E2622">IFERROR(INDEX(user_table!$E$2:$E3686,MATCH(C2622,user_table!$B$2:$B3686,0)),"")
</f>
        <v>4, 6</v>
      </c>
      <c r="F2622" s="6" t="str">
        <f t="shared" si="2"/>
        <v>31635142</v>
      </c>
      <c r="G2622" s="16">
        <v>5.0</v>
      </c>
      <c r="H2622" s="17">
        <v>44728.0</v>
      </c>
      <c r="I2622" s="18" t="s">
        <v>2571</v>
      </c>
    </row>
    <row r="2623">
      <c r="A2623" s="5" t="str">
        <f t="array" ref="A2623">INDEX(event_table!$A$2:$A$69, RANDBETWEEN(1, COUNTA(event_table!$A$2:$A$69)))</f>
        <v>1637</v>
      </c>
      <c r="B2623" s="6">
        <f t="array" ref="B2623">IFERROR(INDEX(event_table!$E$1:$E3686,MATCH(A2623,event_table!$A$1:$A3686,0)),"")
</f>
        <v>6</v>
      </c>
      <c r="C2623" s="7">
        <f t="shared" si="1"/>
        <v>39</v>
      </c>
      <c r="D2623" s="6" t="str">
        <f t="array" ref="D2623">IFERROR(INDEX(user_table!$C$2:$C3686,MATCH(C2623,user_table!$B$2:$B3686,0)),"")
</f>
        <v>Desi Utami</v>
      </c>
      <c r="E2623" s="6" t="str">
        <f t="array" ref="E2623">IFERROR(INDEX(user_table!$E$2:$E3686,MATCH(C2623,user_table!$B$2:$B3686,0)),"")
</f>
        <v>3, 1</v>
      </c>
      <c r="F2623" s="6" t="str">
        <f t="shared" si="2"/>
        <v>16375639</v>
      </c>
      <c r="G2623" s="16">
        <v>5.0</v>
      </c>
      <c r="H2623" s="17">
        <v>44710.0</v>
      </c>
      <c r="I2623" s="18" t="s">
        <v>2572</v>
      </c>
    </row>
    <row r="2624">
      <c r="A2624" s="5" t="str">
        <f t="array" ref="A2624">INDEX(event_table!$A$2:$A$69, RANDBETWEEN(1, COUNTA(event_table!$A$2:$A$69)))</f>
        <v>1110</v>
      </c>
      <c r="B2624" s="6">
        <f t="array" ref="B2624">IFERROR(INDEX(event_table!$E$1:$E3686,MATCH(A2624,event_table!$A$1:$A3686,0)),"")
</f>
        <v>1</v>
      </c>
      <c r="C2624" s="7">
        <f t="shared" si="1"/>
        <v>93</v>
      </c>
      <c r="D2624" s="6" t="str">
        <f t="array" ref="D2624">IFERROR(INDEX(user_table!$C$2:$C3686,MATCH(C2624,user_table!$B$2:$B3686,0)),"")
</f>
        <v>Hadi Putri</v>
      </c>
      <c r="E2624" s="6" t="str">
        <f t="array" ref="E2624">IFERROR(INDEX(user_table!$E$2:$E3686,MATCH(C2624,user_table!$B$2:$B3686,0)),"")
</f>
        <v>5, 6</v>
      </c>
      <c r="F2624" s="6" t="str">
        <f t="shared" si="2"/>
        <v>11105193</v>
      </c>
      <c r="G2624" s="16">
        <v>5.0</v>
      </c>
      <c r="H2624" s="17">
        <v>44703.0</v>
      </c>
      <c r="I2624" s="18" t="s">
        <v>2573</v>
      </c>
    </row>
    <row r="2625">
      <c r="A2625" s="5" t="str">
        <f t="array" ref="A2625">INDEX(event_table!$A$2:$A$69, RANDBETWEEN(1, COUNTA(event_table!$A$2:$A$69)))</f>
        <v>1421</v>
      </c>
      <c r="B2625" s="6">
        <f t="array" ref="B2625">IFERROR(INDEX(event_table!$E$1:$E3686,MATCH(A2625,event_table!$A$1:$A3686,0)),"")
</f>
        <v>4</v>
      </c>
      <c r="C2625" s="7">
        <f t="shared" si="1"/>
        <v>129</v>
      </c>
      <c r="D2625" s="6" t="str">
        <f t="array" ref="D2625">IFERROR(INDEX(user_table!$C$2:$C3686,MATCH(C2625,user_table!$B$2:$B3686,0)),"")
</f>
        <v>Maya Kusuma</v>
      </c>
      <c r="E2625" s="6" t="str">
        <f t="array" ref="E2625">IFERROR(INDEX(user_table!$E$2:$E3686,MATCH(C2625,user_table!$B$2:$B3686,0)),"")
</f>
        <v>4, 6</v>
      </c>
      <c r="F2625" s="6" t="str">
        <f t="shared" si="2"/>
        <v>142154129</v>
      </c>
      <c r="G2625" s="16">
        <v>5.0</v>
      </c>
      <c r="H2625" s="17">
        <v>44685.0</v>
      </c>
      <c r="I2625" s="18" t="s">
        <v>2574</v>
      </c>
    </row>
    <row r="2626">
      <c r="A2626" s="5" t="str">
        <f t="array" ref="A2626">INDEX(event_table!$A$2:$A$69, RANDBETWEEN(1, COUNTA(event_table!$A$2:$A$69)))</f>
        <v>122</v>
      </c>
      <c r="B2626" s="6">
        <f t="array" ref="B2626">IFERROR(INDEX(event_table!$E$1:$E3686,MATCH(A2626,event_table!$A$1:$A3686,0)),"")
</f>
        <v>2</v>
      </c>
      <c r="C2626" s="7">
        <f t="shared" si="1"/>
        <v>152</v>
      </c>
      <c r="D2626" s="6" t="str">
        <f t="array" ref="D2626">IFERROR(INDEX(user_table!$C$2:$C3686,MATCH(C2626,user_table!$B$2:$B3686,0)),"")
</f>
        <v>Budi Kurniawan</v>
      </c>
      <c r="E2626" s="6" t="str">
        <f t="array" ref="E2626">IFERROR(INDEX(user_table!$E$2:$E3686,MATCH(C2626,user_table!$B$2:$B3686,0)),"")
</f>
        <v>5, 5</v>
      </c>
      <c r="F2626" s="6" t="str">
        <f t="shared" si="2"/>
        <v>12252152</v>
      </c>
      <c r="G2626" s="16">
        <v>5.0</v>
      </c>
      <c r="H2626" s="17">
        <v>45079.0</v>
      </c>
      <c r="I2626" s="18" t="s">
        <v>2575</v>
      </c>
    </row>
    <row r="2627">
      <c r="A2627" s="5" t="str">
        <f t="array" ref="A2627">INDEX(event_table!$A$2:$A$69, RANDBETWEEN(1, COUNTA(event_table!$A$2:$A$69)))</f>
        <v>1652</v>
      </c>
      <c r="B2627" s="6">
        <f t="array" ref="B2627">IFERROR(INDEX(event_table!$E$1:$E3686,MATCH(A2627,event_table!$A$1:$A3686,0)),"")
</f>
        <v>6</v>
      </c>
      <c r="C2627" s="7">
        <f t="shared" si="1"/>
        <v>196</v>
      </c>
      <c r="D2627" s="6" t="str">
        <f t="array" ref="D2627">IFERROR(INDEX(user_table!$C$2:$C3686,MATCH(C2627,user_table!$B$2:$B3686,0)),"")
</f>
        <v>Dewi Susanto</v>
      </c>
      <c r="E2627" s="6" t="str">
        <f t="array" ref="E2627">IFERROR(INDEX(user_table!$E$2:$E3686,MATCH(C2627,user_table!$B$2:$B3686,0)),"")
</f>
        <v>2, 1</v>
      </c>
      <c r="F2627" s="6" t="str">
        <f t="shared" si="2"/>
        <v>165256196</v>
      </c>
      <c r="G2627" s="16">
        <v>5.0</v>
      </c>
      <c r="H2627" s="17">
        <v>44761.0</v>
      </c>
      <c r="I2627" s="18" t="s">
        <v>2576</v>
      </c>
    </row>
    <row r="2628">
      <c r="A2628" s="5" t="str">
        <f t="array" ref="A2628">INDEX(event_table!$A$2:$A$69, RANDBETWEEN(1, COUNTA(event_table!$A$2:$A$69)))</f>
        <v>116</v>
      </c>
      <c r="B2628" s="6">
        <f t="array" ref="B2628">IFERROR(INDEX(event_table!$E$1:$E3686,MATCH(A2628,event_table!$A$1:$A3686,0)),"")
</f>
        <v>1</v>
      </c>
      <c r="C2628" s="7">
        <f t="shared" si="1"/>
        <v>165</v>
      </c>
      <c r="D2628" s="6" t="str">
        <f t="array" ref="D2628">IFERROR(INDEX(user_table!$C$2:$C3686,MATCH(C2628,user_table!$B$2:$B3686,0)),"")
</f>
        <v>Agus Pratama</v>
      </c>
      <c r="E2628" s="6" t="str">
        <f t="array" ref="E2628">IFERROR(INDEX(user_table!$E$2:$E3686,MATCH(C2628,user_table!$B$2:$B3686,0)),"")
</f>
        <v>6, 2</v>
      </c>
      <c r="F2628" s="6" t="str">
        <f t="shared" si="2"/>
        <v>11641165</v>
      </c>
      <c r="G2628" s="16">
        <v>4.0</v>
      </c>
      <c r="H2628" s="17">
        <v>44741.0</v>
      </c>
      <c r="I2628" s="18" t="s">
        <v>2577</v>
      </c>
    </row>
    <row r="2629">
      <c r="A2629" s="5" t="str">
        <f t="array" ref="A2629">INDEX(event_table!$A$2:$A$69, RANDBETWEEN(1, COUNTA(event_table!$A$2:$A$69)))</f>
        <v>1638</v>
      </c>
      <c r="B2629" s="6">
        <f t="array" ref="B2629">IFERROR(INDEX(event_table!$E$1:$E3686,MATCH(A2629,event_table!$A$1:$A3686,0)),"")
</f>
        <v>6</v>
      </c>
      <c r="C2629" s="7">
        <f t="shared" si="1"/>
        <v>26</v>
      </c>
      <c r="D2629" s="6" t="str">
        <f t="array" ref="D2629">IFERROR(INDEX(user_table!$C$2:$C3686,MATCH(C2629,user_table!$B$2:$B3686,0)),"")
</f>
        <v>Citra Sari</v>
      </c>
      <c r="E2629" s="6" t="str">
        <f t="array" ref="E2629">IFERROR(INDEX(user_table!$E$2:$E3686,MATCH(C2629,user_table!$B$2:$B3686,0)),"")
</f>
        <v>5, 1</v>
      </c>
      <c r="F2629" s="6" t="str">
        <f t="shared" si="2"/>
        <v>16384626</v>
      </c>
      <c r="G2629" s="16">
        <v>4.0</v>
      </c>
      <c r="H2629" s="17">
        <v>44936.0</v>
      </c>
      <c r="I2629" s="18" t="s">
        <v>2578</v>
      </c>
    </row>
    <row r="2630">
      <c r="A2630" s="5" t="str">
        <f t="array" ref="A2630">INDEX(event_table!$A$2:$A$69, RANDBETWEEN(1, COUNTA(event_table!$A$2:$A$69)))</f>
        <v>119</v>
      </c>
      <c r="B2630" s="6">
        <f t="array" ref="B2630">IFERROR(INDEX(event_table!$E$1:$E3686,MATCH(A2630,event_table!$A$1:$A3686,0)),"")
</f>
        <v>1</v>
      </c>
      <c r="C2630" s="7">
        <f t="shared" si="1"/>
        <v>119</v>
      </c>
      <c r="D2630" s="6" t="str">
        <f t="array" ref="D2630">IFERROR(INDEX(user_table!$C$2:$C3686,MATCH(C2630,user_table!$B$2:$B3686,0)),"")
</f>
        <v>Budi Rahayu</v>
      </c>
      <c r="E2630" s="6" t="str">
        <f t="array" ref="E2630">IFERROR(INDEX(user_table!$E$2:$E3686,MATCH(C2630,user_table!$B$2:$B3686,0)),"")
</f>
        <v>1, 2</v>
      </c>
      <c r="F2630" s="6" t="str">
        <f t="shared" si="2"/>
        <v>11941119</v>
      </c>
      <c r="G2630" s="16">
        <v>4.0</v>
      </c>
      <c r="H2630" s="17">
        <v>44844.0</v>
      </c>
      <c r="I2630" s="18" t="s">
        <v>2579</v>
      </c>
    </row>
    <row r="2631">
      <c r="A2631" s="5" t="str">
        <f t="array" ref="A2631">INDEX(event_table!$A$2:$A$69, RANDBETWEEN(1, COUNTA(event_table!$A$2:$A$69)))</f>
        <v>1645</v>
      </c>
      <c r="B2631" s="6">
        <f t="array" ref="B2631">IFERROR(INDEX(event_table!$E$1:$E3686,MATCH(A2631,event_table!$A$1:$A3686,0)),"")
</f>
        <v>6</v>
      </c>
      <c r="C2631" s="7">
        <f t="shared" si="1"/>
        <v>195</v>
      </c>
      <c r="D2631" s="6" t="str">
        <f t="array" ref="D2631">IFERROR(INDEX(user_table!$C$2:$C3686,MATCH(C2631,user_table!$B$2:$B3686,0)),"")
</f>
        <v>Rudi Purnama</v>
      </c>
      <c r="E2631" s="6" t="str">
        <f t="array" ref="E2631">IFERROR(INDEX(user_table!$E$2:$E3686,MATCH(C2631,user_table!$B$2:$B3686,0)),"")
</f>
        <v>2, 4</v>
      </c>
      <c r="F2631" s="6" t="str">
        <f t="shared" si="2"/>
        <v>164546195</v>
      </c>
      <c r="G2631" s="16">
        <v>4.0</v>
      </c>
      <c r="H2631" s="17">
        <v>44683.0</v>
      </c>
      <c r="I2631" s="18" t="s">
        <v>2580</v>
      </c>
    </row>
    <row r="2632">
      <c r="A2632" s="5" t="str">
        <f t="array" ref="A2632">INDEX(event_table!$A$2:$A$69, RANDBETWEEN(1, COUNTA(event_table!$A$2:$A$69)))</f>
        <v>1530</v>
      </c>
      <c r="B2632" s="6">
        <f t="array" ref="B2632">IFERROR(INDEX(event_table!$E$1:$E3686,MATCH(A2632,event_table!$A$1:$A3686,0)),"")
</f>
        <v>5</v>
      </c>
      <c r="C2632" s="7">
        <f t="shared" si="1"/>
        <v>63</v>
      </c>
      <c r="D2632" s="6" t="str">
        <f t="array" ref="D2632">IFERROR(INDEX(user_table!$C$2:$C3686,MATCH(C2632,user_table!$B$2:$B3686,0)),"")
</f>
        <v>Desi Putri</v>
      </c>
      <c r="E2632" s="6" t="str">
        <f t="array" ref="E2632">IFERROR(INDEX(user_table!$E$2:$E3686,MATCH(C2632,user_table!$B$2:$B3686,0)),"")
</f>
        <v>2, 5</v>
      </c>
      <c r="F2632" s="6" t="str">
        <f t="shared" si="2"/>
        <v>15304563</v>
      </c>
      <c r="G2632" s="16">
        <v>4.0</v>
      </c>
      <c r="H2632" s="17">
        <v>44720.0</v>
      </c>
      <c r="I2632" s="18" t="s">
        <v>2581</v>
      </c>
    </row>
    <row r="2633">
      <c r="A2633" s="5" t="str">
        <f t="array" ref="A2633">INDEX(event_table!$A$2:$A$69, RANDBETWEEN(1, COUNTA(event_table!$A$2:$A$69)))</f>
        <v>1553</v>
      </c>
      <c r="B2633" s="6">
        <f t="array" ref="B2633">IFERROR(INDEX(event_table!$E$1:$E3686,MATCH(A2633,event_table!$A$1:$A3686,0)),"")
</f>
        <v>5</v>
      </c>
      <c r="C2633" s="7">
        <f t="shared" si="1"/>
        <v>5</v>
      </c>
      <c r="D2633" s="6" t="str">
        <f t="array" ref="D2633">IFERROR(INDEX(user_table!$C$2:$C3686,MATCH(C2633,user_table!$B$2:$B3686,0)),"")
</f>
        <v>Hadi Nurhayati</v>
      </c>
      <c r="E2633" s="6" t="str">
        <f t="array" ref="E2633">IFERROR(INDEX(user_table!$E$2:$E3686,MATCH(C2633,user_table!$B$2:$B3686,0)),"")
</f>
        <v>1, 5</v>
      </c>
      <c r="F2633" s="6" t="str">
        <f t="shared" si="2"/>
        <v>1553355</v>
      </c>
      <c r="G2633" s="16">
        <v>3.0</v>
      </c>
      <c r="H2633" s="17">
        <v>44694.0</v>
      </c>
      <c r="I2633" s="18" t="s">
        <v>2582</v>
      </c>
    </row>
    <row r="2634">
      <c r="A2634" s="5" t="str">
        <f t="array" ref="A2634">INDEX(event_table!$A$2:$A$69, RANDBETWEEN(1, COUNTA(event_table!$A$2:$A$69)))</f>
        <v>1334</v>
      </c>
      <c r="B2634" s="6">
        <f t="array" ref="B2634">IFERROR(INDEX(event_table!$E$1:$E3686,MATCH(A2634,event_table!$A$1:$A3686,0)),"")
</f>
        <v>3</v>
      </c>
      <c r="C2634" s="7">
        <f t="shared" si="1"/>
        <v>2</v>
      </c>
      <c r="D2634" s="6" t="str">
        <f t="array" ref="D2634">IFERROR(INDEX(user_table!$C$2:$C3686,MATCH(C2634,user_table!$B$2:$B3686,0)),"")
</f>
        <v>Dian Putri</v>
      </c>
      <c r="E2634" s="6" t="str">
        <f t="array" ref="E2634">IFERROR(INDEX(user_table!$E$2:$E3686,MATCH(C2634,user_table!$B$2:$B3686,0)),"")
</f>
        <v>1, 6</v>
      </c>
      <c r="F2634" s="6" t="str">
        <f t="shared" si="2"/>
        <v>1334332</v>
      </c>
      <c r="G2634" s="16">
        <v>3.0</v>
      </c>
      <c r="H2634" s="17">
        <v>45261.0</v>
      </c>
      <c r="I2634" s="18" t="s">
        <v>2583</v>
      </c>
    </row>
    <row r="2635">
      <c r="A2635" s="5" t="str">
        <f t="array" ref="A2635">INDEX(event_table!$A$2:$A$69, RANDBETWEEN(1, COUNTA(event_table!$A$2:$A$69)))</f>
        <v>1313</v>
      </c>
      <c r="B2635" s="6">
        <f t="array" ref="B2635">IFERROR(INDEX(event_table!$E$1:$E3686,MATCH(A2635,event_table!$A$1:$A3686,0)),"")
</f>
        <v>3</v>
      </c>
      <c r="C2635" s="7">
        <f t="shared" si="1"/>
        <v>180</v>
      </c>
      <c r="D2635" s="6" t="str">
        <f t="array" ref="D2635">IFERROR(INDEX(user_table!$C$2:$C3686,MATCH(C2635,user_table!$B$2:$B3686,0)),"")
</f>
        <v>Andi Susanto</v>
      </c>
      <c r="E2635" s="6" t="str">
        <f t="array" ref="E2635">IFERROR(INDEX(user_table!$E$2:$E3686,MATCH(C2635,user_table!$B$2:$B3686,0)),"")
</f>
        <v>6, 5</v>
      </c>
      <c r="F2635" s="6" t="str">
        <f t="shared" si="2"/>
        <v>131333180</v>
      </c>
      <c r="G2635" s="16">
        <v>3.0</v>
      </c>
      <c r="H2635" s="17">
        <v>45191.0</v>
      </c>
      <c r="I2635" s="18" t="s">
        <v>2584</v>
      </c>
    </row>
    <row r="2636">
      <c r="A2636" s="5" t="str">
        <f t="array" ref="A2636">INDEX(event_table!$A$2:$A$69, RANDBETWEEN(1, COUNTA(event_table!$A$2:$A$69)))</f>
        <v>1110</v>
      </c>
      <c r="B2636" s="6">
        <f t="array" ref="B2636">IFERROR(INDEX(event_table!$E$1:$E3686,MATCH(A2636,event_table!$A$1:$A3686,0)),"")
</f>
        <v>1</v>
      </c>
      <c r="C2636" s="7">
        <f t="shared" si="1"/>
        <v>142</v>
      </c>
      <c r="D2636" s="6" t="str">
        <f t="array" ref="D2636">IFERROR(INDEX(user_table!$C$2:$C3686,MATCH(C2636,user_table!$B$2:$B3686,0)),"")
</f>
        <v>Siti Rahayu</v>
      </c>
      <c r="E2636" s="6" t="str">
        <f t="array" ref="E2636">IFERROR(INDEX(user_table!$E$2:$E3686,MATCH(C2636,user_table!$B$2:$B3686,0)),"")
</f>
        <v>6, 3</v>
      </c>
      <c r="F2636" s="6" t="str">
        <f t="shared" si="2"/>
        <v>111031142</v>
      </c>
      <c r="G2636" s="16">
        <v>3.0</v>
      </c>
      <c r="H2636" s="17">
        <v>45133.0</v>
      </c>
      <c r="I2636" s="18" t="s">
        <v>1467</v>
      </c>
    </row>
    <row r="2637">
      <c r="A2637" s="5" t="str">
        <f t="array" ref="A2637">INDEX(event_table!$A$2:$A$69, RANDBETWEEN(1, COUNTA(event_table!$A$2:$A$69)))</f>
        <v>1418</v>
      </c>
      <c r="B2637" s="6">
        <f t="array" ref="B2637">IFERROR(INDEX(event_table!$E$1:$E3686,MATCH(A2637,event_table!$A$1:$A3686,0)),"")
</f>
        <v>4</v>
      </c>
      <c r="C2637" s="7">
        <f t="shared" si="1"/>
        <v>108</v>
      </c>
      <c r="D2637" s="6" t="str">
        <f t="array" ref="D2637">IFERROR(INDEX(user_table!$C$2:$C3686,MATCH(C2637,user_table!$B$2:$B3686,0)),"")
</f>
        <v>Dewi Hadiwijaya</v>
      </c>
      <c r="E2637" s="6" t="str">
        <f t="array" ref="E2637">IFERROR(INDEX(user_table!$E$2:$E3686,MATCH(C2637,user_table!$B$2:$B3686,0)),"")
</f>
        <v>6, 6</v>
      </c>
      <c r="F2637" s="6" t="str">
        <f t="shared" si="2"/>
        <v>141824108</v>
      </c>
      <c r="G2637" s="16">
        <v>2.0</v>
      </c>
      <c r="H2637" s="17">
        <v>44989.0</v>
      </c>
      <c r="I2637" s="18" t="s">
        <v>2585</v>
      </c>
    </row>
    <row r="2638">
      <c r="A2638" s="5" t="str">
        <f t="array" ref="A2638">INDEX(event_table!$A$2:$A$69, RANDBETWEEN(1, COUNTA(event_table!$A$2:$A$69)))</f>
        <v>1421</v>
      </c>
      <c r="B2638" s="6">
        <f t="array" ref="B2638">IFERROR(INDEX(event_table!$E$1:$E3686,MATCH(A2638,event_table!$A$1:$A3686,0)),"")
</f>
        <v>4</v>
      </c>
      <c r="C2638" s="7">
        <f t="shared" si="1"/>
        <v>110</v>
      </c>
      <c r="D2638" s="6" t="str">
        <f t="array" ref="D2638">IFERROR(INDEX(user_table!$C$2:$C3686,MATCH(C2638,user_table!$B$2:$B3686,0)),"")
</f>
        <v>Fajar Wijaya</v>
      </c>
      <c r="E2638" s="6" t="str">
        <f t="array" ref="E2638">IFERROR(INDEX(user_table!$E$2:$E3686,MATCH(C2638,user_table!$B$2:$B3686,0)),"")
</f>
        <v>3, 6</v>
      </c>
      <c r="F2638" s="6" t="str">
        <f t="shared" si="2"/>
        <v>142124110</v>
      </c>
      <c r="G2638" s="16">
        <v>2.0</v>
      </c>
      <c r="H2638" s="17">
        <v>44802.0</v>
      </c>
      <c r="I2638" s="18" t="s">
        <v>2586</v>
      </c>
    </row>
    <row r="2639">
      <c r="A2639" s="5" t="str">
        <f t="array" ref="A2639">INDEX(event_table!$A$2:$A$69, RANDBETWEEN(1, COUNTA(event_table!$A$2:$A$69)))</f>
        <v>1553</v>
      </c>
      <c r="B2639" s="6">
        <f t="array" ref="B2639">IFERROR(INDEX(event_table!$E$1:$E3686,MATCH(A2639,event_table!$A$1:$A3686,0)),"")
</f>
        <v>5</v>
      </c>
      <c r="C2639" s="7">
        <f t="shared" si="1"/>
        <v>57</v>
      </c>
      <c r="D2639" s="6" t="str">
        <f t="array" ref="D2639">IFERROR(INDEX(user_table!$C$2:$C3686,MATCH(C2639,user_table!$B$2:$B3686,0)),"")
</f>
        <v>Hadi Sari</v>
      </c>
      <c r="E2639" s="6" t="str">
        <f t="array" ref="E2639">IFERROR(INDEX(user_table!$E$2:$E3686,MATCH(C2639,user_table!$B$2:$B3686,0)),"")
</f>
        <v>2, 4</v>
      </c>
      <c r="F2639" s="6" t="str">
        <f t="shared" si="2"/>
        <v>15532557</v>
      </c>
      <c r="G2639" s="16">
        <v>2.0</v>
      </c>
      <c r="H2639" s="17">
        <v>45264.0</v>
      </c>
      <c r="I2639" s="18" t="s">
        <v>2587</v>
      </c>
    </row>
    <row r="2640">
      <c r="A2640" s="5" t="str">
        <f t="array" ref="A2640">INDEX(event_table!$A$2:$A$69, RANDBETWEEN(1, COUNTA(event_table!$A$2:$A$69)))</f>
        <v>1641</v>
      </c>
      <c r="B2640" s="6">
        <f t="array" ref="B2640">IFERROR(INDEX(event_table!$E$1:$E3686,MATCH(A2640,event_table!$A$1:$A3686,0)),"")
</f>
        <v>6</v>
      </c>
      <c r="C2640" s="7">
        <f t="shared" si="1"/>
        <v>85</v>
      </c>
      <c r="D2640" s="6" t="str">
        <f t="array" ref="D2640">IFERROR(INDEX(user_table!$C$2:$C3686,MATCH(C2640,user_table!$B$2:$B3686,0)),"")
</f>
        <v>Maya Susanto</v>
      </c>
      <c r="E2640" s="6" t="str">
        <f t="array" ref="E2640">IFERROR(INDEX(user_table!$E$2:$E3686,MATCH(C2640,user_table!$B$2:$B3686,0)),"")
</f>
        <v>6, 5</v>
      </c>
      <c r="F2640" s="6" t="str">
        <f t="shared" si="2"/>
        <v>16412685</v>
      </c>
      <c r="G2640" s="16">
        <v>2.0</v>
      </c>
      <c r="H2640" s="17">
        <v>45157.0</v>
      </c>
      <c r="I2640" s="18" t="s">
        <v>2588</v>
      </c>
    </row>
    <row r="2641">
      <c r="A2641" s="5" t="str">
        <f t="array" ref="A2641">INDEX(event_table!$A$2:$A$69, RANDBETWEEN(1, COUNTA(event_table!$A$2:$A$69)))</f>
        <v>1420</v>
      </c>
      <c r="B2641" s="6">
        <f t="array" ref="B2641">IFERROR(INDEX(event_table!$E$1:$E3686,MATCH(A2641,event_table!$A$1:$A3686,0)),"")
</f>
        <v>4</v>
      </c>
      <c r="C2641" s="7">
        <f t="shared" si="1"/>
        <v>151</v>
      </c>
      <c r="D2641" s="6" t="str">
        <f t="array" ref="D2641">IFERROR(INDEX(user_table!$C$2:$C3686,MATCH(C2641,user_table!$B$2:$B3686,0)),"")
</f>
        <v>Maya Hidayat</v>
      </c>
      <c r="E2641" s="6" t="str">
        <f t="array" ref="E2641">IFERROR(INDEX(user_table!$E$2:$E3686,MATCH(C2641,user_table!$B$2:$B3686,0)),"")
</f>
        <v>2, 3</v>
      </c>
      <c r="F2641" s="6" t="str">
        <f t="shared" si="2"/>
        <v>142014151</v>
      </c>
      <c r="G2641" s="16">
        <v>1.0</v>
      </c>
      <c r="H2641" s="17">
        <v>45232.0</v>
      </c>
      <c r="I2641" s="18" t="s">
        <v>2589</v>
      </c>
    </row>
    <row r="2642">
      <c r="A2642" s="5" t="str">
        <f t="array" ref="A2642">INDEX(event_table!$A$2:$A$69, RANDBETWEEN(1, COUNTA(event_table!$A$2:$A$69)))</f>
        <v>1418</v>
      </c>
      <c r="B2642" s="6">
        <f t="array" ref="B2642">IFERROR(INDEX(event_table!$E$1:$E3686,MATCH(A2642,event_table!$A$1:$A3686,0)),"")
</f>
        <v>4</v>
      </c>
      <c r="C2642" s="7">
        <f t="shared" si="1"/>
        <v>131</v>
      </c>
      <c r="D2642" s="6" t="str">
        <f t="array" ref="D2642">IFERROR(INDEX(user_table!$C$2:$C3686,MATCH(C2642,user_table!$B$2:$B3686,0)),"")
</f>
        <v>Dian Purnama</v>
      </c>
      <c r="E2642" s="6" t="str">
        <f t="array" ref="E2642">IFERROR(INDEX(user_table!$E$2:$E3686,MATCH(C2642,user_table!$B$2:$B3686,0)),"")
</f>
        <v>3, 5</v>
      </c>
      <c r="F2642" s="6" t="str">
        <f t="shared" si="2"/>
        <v>141814131</v>
      </c>
      <c r="G2642" s="16">
        <v>1.0</v>
      </c>
      <c r="H2642" s="17">
        <v>45188.0</v>
      </c>
      <c r="I2642" s="18" t="s">
        <v>2590</v>
      </c>
    </row>
    <row r="2643">
      <c r="A2643" s="5" t="str">
        <f t="array" ref="A2643">INDEX(event_table!$A$2:$A$69, RANDBETWEEN(1, COUNTA(event_table!$A$2:$A$69)))</f>
        <v>1639</v>
      </c>
      <c r="B2643" s="6">
        <f t="array" ref="B2643">IFERROR(INDEX(event_table!$E$1:$E3686,MATCH(A2643,event_table!$A$1:$A3686,0)),"")
</f>
        <v>6</v>
      </c>
      <c r="C2643" s="7">
        <f t="shared" si="1"/>
        <v>43</v>
      </c>
      <c r="D2643" s="6" t="str">
        <f t="array" ref="D2643">IFERROR(INDEX(user_table!$C$2:$C3686,MATCH(C2643,user_table!$B$2:$B3686,0)),"")
</f>
        <v>Lina Putri</v>
      </c>
      <c r="E2643" s="6" t="str">
        <f t="array" ref="E2643">IFERROR(INDEX(user_table!$E$2:$E3686,MATCH(C2643,user_table!$B$2:$B3686,0)),"")
</f>
        <v>1, 6</v>
      </c>
      <c r="F2643" s="6" t="str">
        <f t="shared" si="2"/>
        <v>16391643</v>
      </c>
      <c r="G2643" s="16">
        <v>1.0</v>
      </c>
      <c r="H2643" s="17">
        <v>45266.0</v>
      </c>
      <c r="I2643" s="18" t="s">
        <v>2591</v>
      </c>
    </row>
    <row r="2644">
      <c r="A2644" s="5" t="str">
        <f t="array" ref="A2644">INDEX(event_table!$A$2:$A$69, RANDBETWEEN(1, COUNTA(event_table!$A$2:$A$69)))</f>
        <v>1416</v>
      </c>
      <c r="B2644" s="6">
        <f t="array" ref="B2644">IFERROR(INDEX(event_table!$E$1:$E3686,MATCH(A2644,event_table!$A$1:$A3686,0)),"")
</f>
        <v>4</v>
      </c>
      <c r="C2644" s="7">
        <f t="shared" si="1"/>
        <v>103</v>
      </c>
      <c r="D2644" s="6" t="str">
        <f t="array" ref="D2644">IFERROR(INDEX(user_table!$C$2:$C3686,MATCH(C2644,user_table!$B$2:$B3686,0)),"")
</f>
        <v>Hadi Sari</v>
      </c>
      <c r="E2644" s="6" t="str">
        <f t="array" ref="E2644">IFERROR(INDEX(user_table!$E$2:$E3686,MATCH(C2644,user_table!$B$2:$B3686,0)),"")
</f>
        <v>3, 1</v>
      </c>
      <c r="F2644" s="6" t="str">
        <f t="shared" si="2"/>
        <v>141614103</v>
      </c>
      <c r="G2644" s="16">
        <v>1.0</v>
      </c>
      <c r="H2644" s="17">
        <v>45162.0</v>
      </c>
      <c r="I2644" s="18" t="s">
        <v>2592</v>
      </c>
    </row>
    <row r="2645">
      <c r="A2645" s="5" t="str">
        <f t="array" ref="A2645">INDEX(event_table!$A$2:$A$69, RANDBETWEEN(1, COUNTA(event_table!$A$2:$A$69)))</f>
        <v>1639</v>
      </c>
      <c r="B2645" s="6">
        <f t="array" ref="B2645">IFERROR(INDEX(event_table!$E$1:$E3686,MATCH(A2645,event_table!$A$1:$A3686,0)),"")
</f>
        <v>6</v>
      </c>
      <c r="C2645" s="7">
        <f t="shared" si="1"/>
        <v>3</v>
      </c>
      <c r="D2645" s="6" t="str">
        <f t="array" ref="D2645">IFERROR(INDEX(user_table!$C$2:$C3686,MATCH(C2645,user_table!$B$2:$B3686,0)),"")
</f>
        <v>Fandi Wijaya</v>
      </c>
      <c r="E2645" s="6" t="str">
        <f t="array" ref="E2645">IFERROR(INDEX(user_table!$E$2:$E3686,MATCH(C2645,user_table!$B$2:$B3686,0)),"")
</f>
        <v>6, 1</v>
      </c>
      <c r="F2645" s="6" t="str">
        <f t="shared" si="2"/>
        <v>1639163</v>
      </c>
      <c r="G2645" s="16">
        <v>1.0</v>
      </c>
      <c r="H2645" s="17">
        <v>45122.0</v>
      </c>
      <c r="I2645" s="18" t="s">
        <v>2593</v>
      </c>
    </row>
    <row r="2646">
      <c r="A2646" s="5" t="str">
        <f t="array" ref="A2646">INDEX(event_table!$A$2:$A$69, RANDBETWEEN(1, COUNTA(event_table!$A$2:$A$69)))</f>
        <v>1643</v>
      </c>
      <c r="B2646" s="6">
        <f t="array" ref="B2646">IFERROR(INDEX(event_table!$E$1:$E3686,MATCH(A2646,event_table!$A$1:$A3686,0)),"")
</f>
        <v>6</v>
      </c>
      <c r="C2646" s="7">
        <f t="shared" si="1"/>
        <v>85</v>
      </c>
      <c r="D2646" s="6" t="str">
        <f t="array" ref="D2646">IFERROR(INDEX(user_table!$C$2:$C3686,MATCH(C2646,user_table!$B$2:$B3686,0)),"")
</f>
        <v>Maya Susanto</v>
      </c>
      <c r="E2646" s="6" t="str">
        <f t="array" ref="E2646">IFERROR(INDEX(user_table!$E$2:$E3686,MATCH(C2646,user_table!$B$2:$B3686,0)),"")
</f>
        <v>6, 5</v>
      </c>
      <c r="F2646" s="6" t="str">
        <f t="shared" si="2"/>
        <v>16431685</v>
      </c>
      <c r="G2646" s="16">
        <v>1.0</v>
      </c>
      <c r="H2646" s="17">
        <v>45226.0</v>
      </c>
      <c r="I2646" s="18" t="s">
        <v>2594</v>
      </c>
    </row>
    <row r="2647">
      <c r="A2647" s="5" t="str">
        <f t="array" ref="A2647">INDEX(event_table!$A$2:$A$69, RANDBETWEEN(1, COUNTA(event_table!$A$2:$A$69)))</f>
        <v>116</v>
      </c>
      <c r="B2647" s="6">
        <f t="array" ref="B2647">IFERROR(INDEX(event_table!$E$1:$E3686,MATCH(A2647,event_table!$A$1:$A3686,0)),"")
</f>
        <v>1</v>
      </c>
      <c r="C2647" s="7">
        <f t="shared" si="1"/>
        <v>162</v>
      </c>
      <c r="D2647" s="6" t="str">
        <f t="array" ref="D2647">IFERROR(INDEX(user_table!$C$2:$C3686,MATCH(C2647,user_table!$B$2:$B3686,0)),"")
</f>
        <v>Dewi Nugroho</v>
      </c>
      <c r="E2647" s="6" t="str">
        <f t="array" ref="E2647">IFERROR(INDEX(user_table!$E$2:$E3686,MATCH(C2647,user_table!$B$2:$B3686,0)),"")
</f>
        <v>2, 5</v>
      </c>
      <c r="F2647" s="6" t="str">
        <f t="shared" si="2"/>
        <v>11611162</v>
      </c>
      <c r="G2647" s="16">
        <v>1.0</v>
      </c>
      <c r="H2647" s="17">
        <v>45152.0</v>
      </c>
      <c r="I2647" s="18" t="s">
        <v>2595</v>
      </c>
    </row>
    <row r="2648">
      <c r="A2648" s="5" t="str">
        <f t="array" ref="A2648">INDEX(event_table!$A$2:$A$69, RANDBETWEEN(1, COUNTA(event_table!$A$2:$A$69)))</f>
        <v>1111</v>
      </c>
      <c r="B2648" s="6">
        <f t="array" ref="B2648">IFERROR(INDEX(event_table!$E$1:$E3686,MATCH(A2648,event_table!$A$1:$A3686,0)),"")
</f>
        <v>1</v>
      </c>
      <c r="C2648" s="7">
        <f t="shared" si="1"/>
        <v>144</v>
      </c>
      <c r="D2648" s="6" t="str">
        <f t="array" ref="D2648">IFERROR(INDEX(user_table!$C$2:$C3686,MATCH(C2648,user_table!$B$2:$B3686,0)),"")
</f>
        <v>Sinta Rahayu</v>
      </c>
      <c r="E2648" s="6" t="str">
        <f t="array" ref="E2648">IFERROR(INDEX(user_table!$E$2:$E3686,MATCH(C2648,user_table!$B$2:$B3686,0)),"")
</f>
        <v>6, 3</v>
      </c>
      <c r="F2648" s="6" t="str">
        <f t="shared" si="2"/>
        <v>111111144</v>
      </c>
      <c r="G2648" s="16">
        <v>1.0</v>
      </c>
      <c r="H2648" s="17">
        <v>45150.0</v>
      </c>
      <c r="I2648" s="18" t="s">
        <v>2596</v>
      </c>
    </row>
    <row r="2649">
      <c r="A2649" s="5" t="str">
        <f t="array" ref="A2649">INDEX(event_table!$A$2:$A$69, RANDBETWEEN(1, COUNTA(event_table!$A$2:$A$69)))</f>
        <v>1642</v>
      </c>
      <c r="B2649" s="6">
        <f t="array" ref="B2649">IFERROR(INDEX(event_table!$E$1:$E3686,MATCH(A2649,event_table!$A$1:$A3686,0)),"")
</f>
        <v>6</v>
      </c>
      <c r="C2649" s="7">
        <f t="shared" si="1"/>
        <v>30</v>
      </c>
      <c r="D2649" s="6" t="str">
        <f t="array" ref="D2649">IFERROR(INDEX(user_table!$C$2:$C3686,MATCH(C2649,user_table!$B$2:$B3686,0)),"")
</f>
        <v>Fajar Kurniawan</v>
      </c>
      <c r="E2649" s="6" t="str">
        <f t="array" ref="E2649">IFERROR(INDEX(user_table!$E$2:$E3686,MATCH(C2649,user_table!$B$2:$B3686,0)),"")
</f>
        <v>5, 3</v>
      </c>
      <c r="F2649" s="6" t="str">
        <f t="shared" si="2"/>
        <v>16421630</v>
      </c>
      <c r="G2649" s="16">
        <v>1.0</v>
      </c>
      <c r="H2649" s="17">
        <v>45145.0</v>
      </c>
      <c r="I2649" s="18" t="s">
        <v>2597</v>
      </c>
    </row>
    <row r="2650">
      <c r="A2650" s="5" t="str">
        <f t="array" ref="A2650">INDEX(event_table!$A$2:$A$69, RANDBETWEEN(1, COUNTA(event_table!$A$2:$A$69)))</f>
        <v>3170</v>
      </c>
      <c r="B2650" s="6">
        <f t="array" ref="B2650">IFERROR(INDEX(event_table!$E$1:$E3686,MATCH(A2650,event_table!$A$1:$A3686,0)),"")
</f>
        <v>1</v>
      </c>
      <c r="C2650" s="7">
        <f t="shared" si="1"/>
        <v>194</v>
      </c>
      <c r="D2650" s="6" t="str">
        <f t="array" ref="D2650">IFERROR(INDEX(user_table!$C$2:$C3686,MATCH(C2650,user_table!$B$2:$B3686,0)),"")
</f>
        <v>Andi Putri</v>
      </c>
      <c r="E2650" s="6" t="str">
        <f t="array" ref="E2650">IFERROR(INDEX(user_table!$E$2:$E3686,MATCH(C2650,user_table!$B$2:$B3686,0)),"")
</f>
        <v>4, 4</v>
      </c>
      <c r="F2650" s="6" t="str">
        <f t="shared" si="2"/>
        <v>317011194</v>
      </c>
      <c r="G2650" s="16">
        <v>1.0</v>
      </c>
      <c r="H2650" s="17">
        <v>45143.0</v>
      </c>
      <c r="I2650" s="18" t="s">
        <v>2598</v>
      </c>
    </row>
    <row r="2651">
      <c r="A2651" s="5" t="str">
        <f t="array" ref="A2651">INDEX(event_table!$A$2:$A$69, RANDBETWEEN(1, COUNTA(event_table!$A$2:$A$69)))</f>
        <v>1647</v>
      </c>
      <c r="B2651" s="6">
        <f t="array" ref="B2651">IFERROR(INDEX(event_table!$E$1:$E3686,MATCH(A2651,event_table!$A$1:$A3686,0)),"")
</f>
        <v>6</v>
      </c>
      <c r="C2651" s="7">
        <f t="shared" si="1"/>
        <v>121</v>
      </c>
      <c r="D2651" s="6" t="str">
        <f t="array" ref="D2651">IFERROR(INDEX(user_table!$C$2:$C3686,MATCH(C2651,user_table!$B$2:$B3686,0)),"")
</f>
        <v>Wahyu Saputra</v>
      </c>
      <c r="E2651" s="6" t="str">
        <f t="array" ref="E2651">IFERROR(INDEX(user_table!$E$2:$E3686,MATCH(C2651,user_table!$B$2:$B3686,0)),"")
</f>
        <v>6, 3</v>
      </c>
      <c r="F2651" s="6" t="str">
        <f t="shared" si="2"/>
        <v>164716121</v>
      </c>
      <c r="G2651" s="16">
        <v>1.0</v>
      </c>
      <c r="H2651" s="17">
        <v>45143.0</v>
      </c>
      <c r="I2651" s="18" t="s">
        <v>2599</v>
      </c>
    </row>
    <row r="2652">
      <c r="A2652" s="5" t="str">
        <f t="array" ref="A2652">INDEX(event_table!$A$2:$A$69, RANDBETWEEN(1, COUNTA(event_table!$A$2:$A$69)))</f>
        <v>1313</v>
      </c>
      <c r="B2652" s="6">
        <f t="array" ref="B2652">IFERROR(INDEX(event_table!$E$1:$E3686,MATCH(A2652,event_table!$A$1:$A3686,0)),"")
</f>
        <v>3</v>
      </c>
      <c r="C2652" s="7">
        <f t="shared" si="1"/>
        <v>145</v>
      </c>
      <c r="D2652" s="6" t="str">
        <f t="array" ref="D2652">IFERROR(INDEX(user_table!$C$2:$C3686,MATCH(C2652,user_table!$B$2:$B3686,0)),"")
</f>
        <v>Arif Nugroho</v>
      </c>
      <c r="E2652" s="6" t="str">
        <f t="array" ref="E2652">IFERROR(INDEX(user_table!$E$2:$E3686,MATCH(C2652,user_table!$B$2:$B3686,0)),"")
</f>
        <v>1, 4</v>
      </c>
      <c r="F2652" s="6" t="str">
        <f t="shared" si="2"/>
        <v>131313145</v>
      </c>
      <c r="G2652" s="16">
        <v>1.0</v>
      </c>
      <c r="H2652" s="17">
        <v>45099.0</v>
      </c>
      <c r="I2652" s="18" t="s">
        <v>2600</v>
      </c>
    </row>
    <row r="2653">
      <c r="A2653" s="5" t="str">
        <f t="array" ref="A2653">INDEX(event_table!$A$2:$A$69, RANDBETWEEN(1, COUNTA(event_table!$A$2:$A$69)))</f>
        <v>1215</v>
      </c>
      <c r="B2653" s="6">
        <f t="array" ref="B2653">IFERROR(INDEX(event_table!$E$1:$E3686,MATCH(A2653,event_table!$A$1:$A3686,0)),"")
</f>
        <v>2</v>
      </c>
      <c r="C2653" s="7">
        <f t="shared" si="1"/>
        <v>48</v>
      </c>
      <c r="D2653" s="6" t="str">
        <f t="array" ref="D2653">IFERROR(INDEX(user_table!$C$2:$C3686,MATCH(C2653,user_table!$B$2:$B3686,0)),"")
</f>
        <v>Maya Kusuma</v>
      </c>
      <c r="E2653" s="6" t="str">
        <f t="array" ref="E2653">IFERROR(INDEX(user_table!$E$2:$E3686,MATCH(C2653,user_table!$B$2:$B3686,0)),"")
</f>
        <v>2, 3</v>
      </c>
      <c r="F2653" s="6" t="str">
        <f t="shared" si="2"/>
        <v>12151248</v>
      </c>
      <c r="G2653" s="16">
        <v>1.0</v>
      </c>
      <c r="H2653" s="17">
        <v>45090.0</v>
      </c>
      <c r="I2653" s="18" t="s">
        <v>2601</v>
      </c>
    </row>
    <row r="2654">
      <c r="A2654" s="5" t="str">
        <f t="array" ref="A2654">INDEX(event_table!$A$2:$A$69, RANDBETWEEN(1, COUNTA(event_table!$A$2:$A$69)))</f>
        <v>1333</v>
      </c>
      <c r="B2654" s="6">
        <f t="array" ref="B2654">IFERROR(INDEX(event_table!$E$1:$E3686,MATCH(A2654,event_table!$A$1:$A3686,0)),"")
</f>
        <v>3</v>
      </c>
      <c r="C2654" s="7">
        <f t="shared" si="1"/>
        <v>59</v>
      </c>
      <c r="D2654" s="6" t="str">
        <f t="array" ref="D2654">IFERROR(INDEX(user_table!$C$2:$C3686,MATCH(C2654,user_table!$B$2:$B3686,0)),"")
</f>
        <v>Siti Rahayu</v>
      </c>
      <c r="E2654" s="6" t="str">
        <f t="array" ref="E2654">IFERROR(INDEX(user_table!$E$2:$E3686,MATCH(C2654,user_table!$B$2:$B3686,0)),"")
</f>
        <v>3, 5</v>
      </c>
      <c r="F2654" s="6" t="str">
        <f t="shared" si="2"/>
        <v>13331359</v>
      </c>
      <c r="G2654" s="16">
        <v>1.0</v>
      </c>
      <c r="H2654" s="17">
        <v>45088.0</v>
      </c>
      <c r="I2654" s="18" t="s">
        <v>2602</v>
      </c>
    </row>
    <row r="2655">
      <c r="A2655" s="5" t="str">
        <f t="array" ref="A2655">INDEX(event_table!$A$2:$A$69, RANDBETWEEN(1, COUNTA(event_table!$A$2:$A$69)))</f>
        <v>1531</v>
      </c>
      <c r="B2655" s="6">
        <f t="array" ref="B2655">IFERROR(INDEX(event_table!$E$1:$E3686,MATCH(A2655,event_table!$A$1:$A3686,0)),"")
</f>
        <v>5</v>
      </c>
      <c r="C2655" s="7">
        <f t="shared" si="1"/>
        <v>83</v>
      </c>
      <c r="D2655" s="6" t="str">
        <f t="array" ref="D2655">IFERROR(INDEX(user_table!$C$2:$C3686,MATCH(C2655,user_table!$B$2:$B3686,0)),"")
</f>
        <v>Sinta Nurhayati</v>
      </c>
      <c r="E2655" s="6" t="str">
        <f t="array" ref="E2655">IFERROR(INDEX(user_table!$E$2:$E3686,MATCH(C2655,user_table!$B$2:$B3686,0)),"")
</f>
        <v>5, 5</v>
      </c>
      <c r="F2655" s="6" t="str">
        <f t="shared" si="2"/>
        <v>15311583</v>
      </c>
      <c r="G2655" s="16">
        <v>1.0</v>
      </c>
      <c r="H2655" s="17">
        <v>45037.0</v>
      </c>
      <c r="I2655" s="18" t="s">
        <v>2603</v>
      </c>
    </row>
    <row r="2656">
      <c r="A2656" s="5" t="str">
        <f t="array" ref="A2656">INDEX(event_table!$A$2:$A$69, RANDBETWEEN(1, COUNTA(event_table!$A$2:$A$69)))</f>
        <v>122</v>
      </c>
      <c r="B2656" s="6">
        <f t="array" ref="B2656">IFERROR(INDEX(event_table!$E$1:$E3686,MATCH(A2656,event_table!$A$1:$A3686,0)),"")
</f>
        <v>2</v>
      </c>
      <c r="C2656" s="7">
        <f t="shared" si="1"/>
        <v>89</v>
      </c>
      <c r="D2656" s="6" t="str">
        <f t="array" ref="D2656">IFERROR(INDEX(user_table!$C$2:$C3686,MATCH(C2656,user_table!$B$2:$B3686,0)),"")
</f>
        <v>Hadi Wijaya</v>
      </c>
      <c r="E2656" s="6" t="str">
        <f t="array" ref="E2656">IFERROR(INDEX(user_table!$E$2:$E3686,MATCH(C2656,user_table!$B$2:$B3686,0)),"")
</f>
        <v>6, 4</v>
      </c>
      <c r="F2656" s="6" t="str">
        <f t="shared" si="2"/>
        <v>1221289</v>
      </c>
      <c r="G2656" s="16">
        <v>1.0</v>
      </c>
      <c r="H2656" s="17">
        <v>45027.0</v>
      </c>
      <c r="I2656" s="18" t="s">
        <v>2604</v>
      </c>
    </row>
    <row r="2657">
      <c r="A2657" s="5" t="str">
        <f t="array" ref="A2657">INDEX(event_table!$A$2:$A$69, RANDBETWEEN(1, COUNTA(event_table!$A$2:$A$69)))</f>
        <v>1417</v>
      </c>
      <c r="B2657" s="6">
        <f t="array" ref="B2657">IFERROR(INDEX(event_table!$E$1:$E3686,MATCH(A2657,event_table!$A$1:$A3686,0)),"")
</f>
        <v>4</v>
      </c>
      <c r="C2657" s="7">
        <f t="shared" si="1"/>
        <v>117</v>
      </c>
      <c r="D2657" s="6" t="str">
        <f t="array" ref="D2657">IFERROR(INDEX(user_table!$C$2:$C3686,MATCH(C2657,user_table!$B$2:$B3686,0)),"")
</f>
        <v>Wahyu Sari</v>
      </c>
      <c r="E2657" s="6" t="str">
        <f t="array" ref="E2657">IFERROR(INDEX(user_table!$E$2:$E3686,MATCH(C2657,user_table!$B$2:$B3686,0)),"")
</f>
        <v>4, 2</v>
      </c>
      <c r="F2657" s="6" t="str">
        <f t="shared" si="2"/>
        <v>141754117</v>
      </c>
      <c r="G2657" s="16">
        <v>5.0</v>
      </c>
      <c r="H2657" s="17">
        <v>44748.0</v>
      </c>
      <c r="I2657" s="18" t="s">
        <v>2605</v>
      </c>
    </row>
    <row r="2658">
      <c r="A2658" s="5" t="str">
        <f t="array" ref="A2658">INDEX(event_table!$A$2:$A$69, RANDBETWEEN(1, COUNTA(event_table!$A$2:$A$69)))</f>
        <v>3455</v>
      </c>
      <c r="B2658" s="6">
        <f t="array" ref="B2658">IFERROR(INDEX(event_table!$E$1:$E3686,MATCH(A2658,event_table!$A$1:$A3686,0)),"")
</f>
        <v>4</v>
      </c>
      <c r="C2658" s="7">
        <f t="shared" si="1"/>
        <v>33</v>
      </c>
      <c r="D2658" s="6" t="str">
        <f t="array" ref="D2658">IFERROR(INDEX(user_table!$C$2:$C3686,MATCH(C2658,user_table!$B$2:$B3686,0)),"")
</f>
        <v>Dewi Wijaya</v>
      </c>
      <c r="E2658" s="6" t="str">
        <f t="array" ref="E2658">IFERROR(INDEX(user_table!$E$2:$E3686,MATCH(C2658,user_table!$B$2:$B3686,0)),"")
</f>
        <v>4, 2</v>
      </c>
      <c r="F2658" s="6" t="str">
        <f t="shared" si="2"/>
        <v>34555433</v>
      </c>
      <c r="G2658" s="16">
        <v>5.0</v>
      </c>
      <c r="H2658" s="17">
        <v>44747.0</v>
      </c>
      <c r="I2658" s="18" t="s">
        <v>2606</v>
      </c>
    </row>
    <row r="2659">
      <c r="A2659" s="5" t="str">
        <f t="array" ref="A2659">INDEX(event_table!$A$2:$A$69, RANDBETWEEN(1, COUNTA(event_table!$A$2:$A$69)))</f>
        <v>116</v>
      </c>
      <c r="B2659" s="6">
        <f t="array" ref="B2659">IFERROR(INDEX(event_table!$E$1:$E3686,MATCH(A2659,event_table!$A$1:$A3686,0)),"")
</f>
        <v>1</v>
      </c>
      <c r="C2659" s="7">
        <f t="shared" si="1"/>
        <v>104</v>
      </c>
      <c r="D2659" s="6" t="str">
        <f t="array" ref="D2659">IFERROR(INDEX(user_table!$C$2:$C3686,MATCH(C2659,user_table!$B$2:$B3686,0)),"")
</f>
        <v>Fajar Utami</v>
      </c>
      <c r="E2659" s="6" t="str">
        <f t="array" ref="E2659">IFERROR(INDEX(user_table!$E$2:$E3686,MATCH(C2659,user_table!$B$2:$B3686,0)),"")
</f>
        <v>2, 5</v>
      </c>
      <c r="F2659" s="6" t="str">
        <f t="shared" si="2"/>
        <v>11651104</v>
      </c>
      <c r="G2659" s="16">
        <v>5.0</v>
      </c>
      <c r="H2659" s="17">
        <v>44745.0</v>
      </c>
      <c r="I2659" s="18" t="s">
        <v>2607</v>
      </c>
    </row>
    <row r="2660">
      <c r="A2660" s="5" t="str">
        <f t="array" ref="A2660">INDEX(event_table!$A$2:$A$69, RANDBETWEEN(1, COUNTA(event_table!$A$2:$A$69)))</f>
        <v>3658</v>
      </c>
      <c r="B2660" s="6">
        <f t="array" ref="B2660">IFERROR(INDEX(event_table!$E$1:$E3686,MATCH(A2660,event_table!$A$1:$A3686,0)),"")
</f>
        <v>6</v>
      </c>
      <c r="C2660" s="7">
        <f t="shared" si="1"/>
        <v>45</v>
      </c>
      <c r="D2660" s="6" t="str">
        <f t="array" ref="D2660">IFERROR(INDEX(user_table!$C$2:$C3686,MATCH(C2660,user_table!$B$2:$B3686,0)),"")
</f>
        <v>Siti Kurniawan</v>
      </c>
      <c r="E2660" s="6" t="str">
        <f t="array" ref="E2660">IFERROR(INDEX(user_table!$E$2:$E3686,MATCH(C2660,user_table!$B$2:$B3686,0)),"")
</f>
        <v>1, 1</v>
      </c>
      <c r="F2660" s="6" t="str">
        <f t="shared" si="2"/>
        <v>36585645</v>
      </c>
      <c r="G2660" s="16">
        <v>5.0</v>
      </c>
      <c r="H2660" s="17">
        <v>44733.0</v>
      </c>
      <c r="I2660" s="18" t="s">
        <v>2608</v>
      </c>
    </row>
    <row r="2661">
      <c r="A2661" s="5" t="str">
        <f t="array" ref="A2661">INDEX(event_table!$A$2:$A$69, RANDBETWEEN(1, COUNTA(event_table!$A$2:$A$69)))</f>
        <v>1529</v>
      </c>
      <c r="B2661" s="6">
        <f t="array" ref="B2661">IFERROR(INDEX(event_table!$E$1:$E3686,MATCH(A2661,event_table!$A$1:$A3686,0)),"")
</f>
        <v>5</v>
      </c>
      <c r="C2661" s="7">
        <f t="shared" si="1"/>
        <v>87</v>
      </c>
      <c r="D2661" s="6" t="str">
        <f t="array" ref="D2661">IFERROR(INDEX(user_table!$C$2:$C3686,MATCH(C2661,user_table!$B$2:$B3686,0)),"")
</f>
        <v>Budi Setiawan</v>
      </c>
      <c r="E2661" s="6" t="str">
        <f t="array" ref="E2661">IFERROR(INDEX(user_table!$E$2:$E3686,MATCH(C2661,user_table!$B$2:$B3686,0)),"")
</f>
        <v>3, 5</v>
      </c>
      <c r="F2661" s="6" t="str">
        <f t="shared" si="2"/>
        <v>15295587</v>
      </c>
      <c r="G2661" s="16">
        <v>5.0</v>
      </c>
      <c r="H2661" s="17">
        <v>44718.0</v>
      </c>
      <c r="I2661" s="18" t="s">
        <v>2609</v>
      </c>
    </row>
    <row r="2662">
      <c r="A2662" s="5" t="str">
        <f t="array" ref="A2662">INDEX(event_table!$A$2:$A$69, RANDBETWEEN(1, COUNTA(event_table!$A$2:$A$69)))</f>
        <v>1427</v>
      </c>
      <c r="B2662" s="6">
        <f t="array" ref="B2662">IFERROR(INDEX(event_table!$E$1:$E3686,MATCH(A2662,event_table!$A$1:$A3686,0)),"")
</f>
        <v>4</v>
      </c>
      <c r="C2662" s="7">
        <f t="shared" si="1"/>
        <v>160</v>
      </c>
      <c r="D2662" s="6" t="str">
        <f t="array" ref="D2662">IFERROR(INDEX(user_table!$C$2:$C3686,MATCH(C2662,user_table!$B$2:$B3686,0)),"")
</f>
        <v>Hadi Hadiwijaya</v>
      </c>
      <c r="E2662" s="6" t="str">
        <f t="array" ref="E2662">IFERROR(INDEX(user_table!$E$2:$E3686,MATCH(C2662,user_table!$B$2:$B3686,0)),"")
</f>
        <v>2, 4</v>
      </c>
      <c r="F2662" s="6" t="str">
        <f t="shared" si="2"/>
        <v>142754160</v>
      </c>
      <c r="G2662" s="16">
        <v>5.0</v>
      </c>
      <c r="H2662" s="17">
        <v>44714.0</v>
      </c>
      <c r="I2662" s="18" t="s">
        <v>2610</v>
      </c>
    </row>
    <row r="2663">
      <c r="A2663" s="5" t="str">
        <f t="array" ref="A2663">INDEX(event_table!$A$2:$A$69, RANDBETWEEN(1, COUNTA(event_table!$A$2:$A$69)))</f>
        <v>3165</v>
      </c>
      <c r="B2663" s="6">
        <f t="array" ref="B2663">IFERROR(INDEX(event_table!$E$1:$E3686,MATCH(A2663,event_table!$A$1:$A3686,0)),"")
</f>
        <v>1</v>
      </c>
      <c r="C2663" s="7">
        <f t="shared" si="1"/>
        <v>32</v>
      </c>
      <c r="D2663" s="6" t="str">
        <f t="array" ref="D2663">IFERROR(INDEX(user_table!$C$2:$C3686,MATCH(C2663,user_table!$B$2:$B3686,0)),"")
</f>
        <v>Ani Setiawan</v>
      </c>
      <c r="E2663" s="6" t="str">
        <f t="array" ref="E2663">IFERROR(INDEX(user_table!$E$2:$E3686,MATCH(C2663,user_table!$B$2:$B3686,0)),"")
</f>
        <v>6, 3</v>
      </c>
      <c r="F2663" s="6" t="str">
        <f t="shared" si="2"/>
        <v>31655132</v>
      </c>
      <c r="G2663" s="16">
        <v>5.0</v>
      </c>
      <c r="H2663" s="17">
        <v>44689.0</v>
      </c>
      <c r="I2663" s="18" t="s">
        <v>2611</v>
      </c>
    </row>
    <row r="2664">
      <c r="A2664" s="5" t="str">
        <f t="array" ref="A2664">INDEX(event_table!$A$2:$A$69, RANDBETWEEN(1, COUNTA(event_table!$A$2:$A$69)))</f>
        <v>3163</v>
      </c>
      <c r="B2664" s="6">
        <f t="array" ref="B2664">IFERROR(INDEX(event_table!$E$1:$E3686,MATCH(A2664,event_table!$A$1:$A3686,0)),"")
</f>
        <v>1</v>
      </c>
      <c r="C2664" s="7">
        <f t="shared" si="1"/>
        <v>105</v>
      </c>
      <c r="D2664" s="6" t="str">
        <f t="array" ref="D2664">IFERROR(INDEX(user_table!$C$2:$C3686,MATCH(C2664,user_table!$B$2:$B3686,0)),"")
</f>
        <v>Siti Susanto</v>
      </c>
      <c r="E2664" s="6" t="str">
        <f t="array" ref="E2664">IFERROR(INDEX(user_table!$E$2:$E3686,MATCH(C2664,user_table!$B$2:$B3686,0)),"")
</f>
        <v>2, 6</v>
      </c>
      <c r="F2664" s="6" t="str">
        <f t="shared" si="2"/>
        <v>316351105</v>
      </c>
      <c r="G2664" s="16">
        <v>5.0</v>
      </c>
      <c r="H2664" s="17">
        <v>44688.0</v>
      </c>
      <c r="I2664" s="18" t="s">
        <v>2612</v>
      </c>
    </row>
    <row r="2665">
      <c r="A2665" s="5" t="str">
        <f t="array" ref="A2665">INDEX(event_table!$A$2:$A$69, RANDBETWEEN(1, COUNTA(event_table!$A$2:$A$69)))</f>
        <v>1416</v>
      </c>
      <c r="B2665" s="6">
        <f t="array" ref="B2665">IFERROR(INDEX(event_table!$E$1:$E3686,MATCH(A2665,event_table!$A$1:$A3686,0)),"")
</f>
        <v>4</v>
      </c>
      <c r="C2665" s="7">
        <f t="shared" si="1"/>
        <v>78</v>
      </c>
      <c r="D2665" s="6" t="str">
        <f t="array" ref="D2665">IFERROR(INDEX(user_table!$C$2:$C3686,MATCH(C2665,user_table!$B$2:$B3686,0)),"")
</f>
        <v>Fandi Putri</v>
      </c>
      <c r="E2665" s="6" t="str">
        <f t="array" ref="E2665">IFERROR(INDEX(user_table!$E$2:$E3686,MATCH(C2665,user_table!$B$2:$B3686,0)),"")
</f>
        <v>3, 3</v>
      </c>
      <c r="F2665" s="6" t="str">
        <f t="shared" si="2"/>
        <v>14165478</v>
      </c>
      <c r="G2665" s="16">
        <v>5.0</v>
      </c>
      <c r="H2665" s="17">
        <v>45188.0</v>
      </c>
      <c r="I2665" s="18" t="s">
        <v>2613</v>
      </c>
    </row>
    <row r="2666">
      <c r="A2666" s="5" t="str">
        <f t="array" ref="A2666">INDEX(event_table!$A$2:$A$69, RANDBETWEEN(1, COUNTA(event_table!$A$2:$A$69)))</f>
        <v>3166</v>
      </c>
      <c r="B2666" s="6">
        <f t="array" ref="B2666">IFERROR(INDEX(event_table!$E$1:$E3686,MATCH(A2666,event_table!$A$1:$A3686,0)),"")
</f>
        <v>1</v>
      </c>
      <c r="C2666" s="7">
        <f t="shared" si="1"/>
        <v>171</v>
      </c>
      <c r="D2666" s="6" t="str">
        <f t="array" ref="D2666">IFERROR(INDEX(user_table!$C$2:$C3686,MATCH(C2666,user_table!$B$2:$B3686,0)),"")
</f>
        <v>Andi Santoso</v>
      </c>
      <c r="E2666" s="6" t="str">
        <f t="array" ref="E2666">IFERROR(INDEX(user_table!$E$2:$E3686,MATCH(C2666,user_table!$B$2:$B3686,0)),"")
</f>
        <v>4, 3</v>
      </c>
      <c r="F2666" s="6" t="str">
        <f t="shared" si="2"/>
        <v>316651171</v>
      </c>
      <c r="G2666" s="16">
        <v>5.0</v>
      </c>
      <c r="H2666" s="17">
        <v>45138.0</v>
      </c>
      <c r="I2666" s="18" t="s">
        <v>2614</v>
      </c>
    </row>
    <row r="2667">
      <c r="A2667" s="5" t="str">
        <f t="array" ref="A2667">INDEX(event_table!$A$2:$A$69, RANDBETWEEN(1, COUNTA(event_table!$A$2:$A$69)))</f>
        <v>1420</v>
      </c>
      <c r="B2667" s="6">
        <f t="array" ref="B2667">IFERROR(INDEX(event_table!$E$1:$E3686,MATCH(A2667,event_table!$A$1:$A3686,0)),"")
</f>
        <v>4</v>
      </c>
      <c r="C2667" s="7">
        <f t="shared" si="1"/>
        <v>183</v>
      </c>
      <c r="D2667" s="6" t="str">
        <f t="array" ref="D2667">IFERROR(INDEX(user_table!$C$2:$C3686,MATCH(C2667,user_table!$B$2:$B3686,0)),"")
</f>
        <v>Siti Nugroho</v>
      </c>
      <c r="E2667" s="6" t="str">
        <f t="array" ref="E2667">IFERROR(INDEX(user_table!$E$2:$E3686,MATCH(C2667,user_table!$B$2:$B3686,0)),"")
</f>
        <v>4, 6</v>
      </c>
      <c r="F2667" s="6" t="str">
        <f t="shared" si="2"/>
        <v>142054183</v>
      </c>
      <c r="G2667" s="16">
        <v>5.0</v>
      </c>
      <c r="H2667" s="17">
        <v>45127.0</v>
      </c>
      <c r="I2667" s="18" t="s">
        <v>2615</v>
      </c>
    </row>
    <row r="2668">
      <c r="A2668" s="5" t="str">
        <f t="array" ref="A2668">INDEX(event_table!$A$2:$A$69, RANDBETWEEN(1, COUNTA(event_table!$A$2:$A$69)))</f>
        <v>3170</v>
      </c>
      <c r="B2668" s="6">
        <f t="array" ref="B2668">IFERROR(INDEX(event_table!$E$1:$E3686,MATCH(A2668,event_table!$A$1:$A3686,0)),"")
</f>
        <v>1</v>
      </c>
      <c r="C2668" s="7">
        <f t="shared" si="1"/>
        <v>141</v>
      </c>
      <c r="D2668" s="6" t="str">
        <f t="array" ref="D2668">IFERROR(INDEX(user_table!$C$2:$C3686,MATCH(C2668,user_table!$B$2:$B3686,0)),"")
</f>
        <v>Bambang Santoso</v>
      </c>
      <c r="E2668" s="6" t="str">
        <f t="array" ref="E2668">IFERROR(INDEX(user_table!$E$2:$E3686,MATCH(C2668,user_table!$B$2:$B3686,0)),"")
</f>
        <v>5, 3</v>
      </c>
      <c r="F2668" s="6" t="str">
        <f t="shared" si="2"/>
        <v>317051141</v>
      </c>
      <c r="G2668" s="16">
        <v>5.0</v>
      </c>
      <c r="H2668" s="17">
        <v>45093.0</v>
      </c>
      <c r="I2668" s="18" t="s">
        <v>2416</v>
      </c>
    </row>
    <row r="2669">
      <c r="A2669" s="5" t="str">
        <f t="array" ref="A2669">INDEX(event_table!$A$2:$A$69, RANDBETWEEN(1, COUNTA(event_table!$A$2:$A$69)))</f>
        <v>1519</v>
      </c>
      <c r="B2669" s="6">
        <f t="array" ref="B2669">IFERROR(INDEX(event_table!$E$1:$E3686,MATCH(A2669,event_table!$A$1:$A3686,0)),"")
</f>
        <v>5</v>
      </c>
      <c r="C2669" s="7">
        <f t="shared" si="1"/>
        <v>186</v>
      </c>
      <c r="D2669" s="6" t="str">
        <f t="array" ref="D2669">IFERROR(INDEX(user_table!$C$2:$C3686,MATCH(C2669,user_table!$B$2:$B3686,0)),"")
</f>
        <v>Budi Wijaya</v>
      </c>
      <c r="E2669" s="6" t="str">
        <f t="array" ref="E2669">IFERROR(INDEX(user_table!$E$2:$E3686,MATCH(C2669,user_table!$B$2:$B3686,0)),"")
</f>
        <v>1, 4</v>
      </c>
      <c r="F2669" s="6" t="str">
        <f t="shared" si="2"/>
        <v>151955186</v>
      </c>
      <c r="G2669" s="16">
        <v>5.0</v>
      </c>
      <c r="H2669" s="17">
        <v>44936.0</v>
      </c>
      <c r="I2669" s="18" t="s">
        <v>2616</v>
      </c>
    </row>
    <row r="2670">
      <c r="A2670" s="5" t="str">
        <f t="array" ref="A2670">INDEX(event_table!$A$2:$A$69, RANDBETWEEN(1, COUNTA(event_table!$A$2:$A$69)))</f>
        <v>119</v>
      </c>
      <c r="B2670" s="6">
        <f t="array" ref="B2670">IFERROR(INDEX(event_table!$E$1:$E3686,MATCH(A2670,event_table!$A$1:$A3686,0)),"")
</f>
        <v>1</v>
      </c>
      <c r="C2670" s="7">
        <f t="shared" si="1"/>
        <v>126</v>
      </c>
      <c r="D2670" s="6" t="str">
        <f t="array" ref="D2670">IFERROR(INDEX(user_table!$C$2:$C3686,MATCH(C2670,user_table!$B$2:$B3686,0)),"")
</f>
        <v>Agus Santoso</v>
      </c>
      <c r="E2670" s="6" t="str">
        <f t="array" ref="E2670">IFERROR(INDEX(user_table!$E$2:$E3686,MATCH(C2670,user_table!$B$2:$B3686,0)),"")
</f>
        <v>3, 6</v>
      </c>
      <c r="F2670" s="6" t="str">
        <f t="shared" si="2"/>
        <v>11951126</v>
      </c>
      <c r="G2670" s="16">
        <v>5.0</v>
      </c>
      <c r="H2670" s="17">
        <v>44923.0</v>
      </c>
      <c r="I2670" s="18" t="s">
        <v>1467</v>
      </c>
    </row>
    <row r="2671">
      <c r="A2671" s="5" t="str">
        <f t="array" ref="A2671">INDEX(event_table!$A$2:$A$69, RANDBETWEEN(1, COUNTA(event_table!$A$2:$A$69)))</f>
        <v>1647</v>
      </c>
      <c r="B2671" s="6">
        <f t="array" ref="B2671">IFERROR(INDEX(event_table!$E$1:$E3686,MATCH(A2671,event_table!$A$1:$A3686,0)),"")
</f>
        <v>6</v>
      </c>
      <c r="C2671" s="7">
        <f t="shared" si="1"/>
        <v>80</v>
      </c>
      <c r="D2671" s="6" t="str">
        <f t="array" ref="D2671">IFERROR(INDEX(user_table!$C$2:$C3686,MATCH(C2671,user_table!$B$2:$B3686,0)),"")
</f>
        <v>Sinta Susanto</v>
      </c>
      <c r="E2671" s="6" t="str">
        <f t="array" ref="E2671">IFERROR(INDEX(user_table!$E$2:$E3686,MATCH(C2671,user_table!$B$2:$B3686,0)),"")
</f>
        <v>5, 2</v>
      </c>
      <c r="F2671" s="6" t="str">
        <f t="shared" si="2"/>
        <v>16475680</v>
      </c>
      <c r="G2671" s="16">
        <v>5.0</v>
      </c>
      <c r="H2671" s="17">
        <v>44914.0</v>
      </c>
      <c r="I2671" s="18" t="s">
        <v>2617</v>
      </c>
    </row>
    <row r="2672">
      <c r="A2672" s="5" t="str">
        <f t="array" ref="A2672">INDEX(event_table!$A$2:$A$69, RANDBETWEEN(1, COUNTA(event_table!$A$2:$A$69)))</f>
        <v>1638</v>
      </c>
      <c r="B2672" s="6">
        <f t="array" ref="B2672">IFERROR(INDEX(event_table!$E$1:$E3686,MATCH(A2672,event_table!$A$1:$A3686,0)),"")
</f>
        <v>6</v>
      </c>
      <c r="C2672" s="7">
        <f t="shared" si="1"/>
        <v>87</v>
      </c>
      <c r="D2672" s="6" t="str">
        <f t="array" ref="D2672">IFERROR(INDEX(user_table!$C$2:$C3686,MATCH(C2672,user_table!$B$2:$B3686,0)),"")
</f>
        <v>Budi Setiawan</v>
      </c>
      <c r="E2672" s="6" t="str">
        <f t="array" ref="E2672">IFERROR(INDEX(user_table!$E$2:$E3686,MATCH(C2672,user_table!$B$2:$B3686,0)),"")
</f>
        <v>3, 5</v>
      </c>
      <c r="F2672" s="6" t="str">
        <f t="shared" si="2"/>
        <v>16385687</v>
      </c>
      <c r="G2672" s="16">
        <v>5.0</v>
      </c>
      <c r="H2672" s="17">
        <v>44836.0</v>
      </c>
      <c r="I2672" s="18" t="s">
        <v>2618</v>
      </c>
    </row>
    <row r="2673">
      <c r="A2673" s="5" t="str">
        <f t="array" ref="A2673">INDEX(event_table!$A$2:$A$69, RANDBETWEEN(1, COUNTA(event_table!$A$2:$A$69)))</f>
        <v>111</v>
      </c>
      <c r="B2673" s="6">
        <f t="array" ref="B2673">IFERROR(INDEX(event_table!$E$1:$E3686,MATCH(A2673,event_table!$A$1:$A3686,0)),"")
</f>
        <v>1</v>
      </c>
      <c r="C2673" s="7">
        <f t="shared" si="1"/>
        <v>80</v>
      </c>
      <c r="D2673" s="6" t="str">
        <f t="array" ref="D2673">IFERROR(INDEX(user_table!$C$2:$C3686,MATCH(C2673,user_table!$B$2:$B3686,0)),"")
</f>
        <v>Sinta Susanto</v>
      </c>
      <c r="E2673" s="6" t="str">
        <f t="array" ref="E2673">IFERROR(INDEX(user_table!$E$2:$E3686,MATCH(C2673,user_table!$B$2:$B3686,0)),"")
</f>
        <v>5, 2</v>
      </c>
      <c r="F2673" s="6" t="str">
        <f t="shared" si="2"/>
        <v>1115180</v>
      </c>
      <c r="G2673" s="16">
        <v>5.0</v>
      </c>
      <c r="H2673" s="17">
        <v>44778.0</v>
      </c>
      <c r="I2673" s="18" t="s">
        <v>2619</v>
      </c>
    </row>
    <row r="2674">
      <c r="A2674" s="5" t="str">
        <f t="array" ref="A2674">INDEX(event_table!$A$2:$A$69, RANDBETWEEN(1, COUNTA(event_table!$A$2:$A$69)))</f>
        <v>1215</v>
      </c>
      <c r="B2674" s="6">
        <f t="array" ref="B2674">IFERROR(INDEX(event_table!$E$1:$E3686,MATCH(A2674,event_table!$A$1:$A3686,0)),"")
</f>
        <v>2</v>
      </c>
      <c r="C2674" s="7">
        <f t="shared" si="1"/>
        <v>32</v>
      </c>
      <c r="D2674" s="6" t="str">
        <f t="array" ref="D2674">IFERROR(INDEX(user_table!$C$2:$C3686,MATCH(C2674,user_table!$B$2:$B3686,0)),"")
</f>
        <v>Ani Setiawan</v>
      </c>
      <c r="E2674" s="6" t="str">
        <f t="array" ref="E2674">IFERROR(INDEX(user_table!$E$2:$E3686,MATCH(C2674,user_table!$B$2:$B3686,0)),"")
</f>
        <v>6, 3</v>
      </c>
      <c r="F2674" s="6" t="str">
        <f t="shared" si="2"/>
        <v>12155232</v>
      </c>
      <c r="G2674" s="16">
        <v>5.0</v>
      </c>
      <c r="H2674" s="17">
        <v>44760.0</v>
      </c>
      <c r="I2674" s="18" t="s">
        <v>2620</v>
      </c>
    </row>
    <row r="2675">
      <c r="A2675" s="5" t="str">
        <f t="array" ref="A2675">INDEX(event_table!$A$2:$A$69, RANDBETWEEN(1, COUNTA(event_table!$A$2:$A$69)))</f>
        <v>1638</v>
      </c>
      <c r="B2675" s="6">
        <f t="array" ref="B2675">IFERROR(INDEX(event_table!$E$1:$E3686,MATCH(A2675,event_table!$A$1:$A3686,0)),"")
</f>
        <v>6</v>
      </c>
      <c r="C2675" s="7">
        <f t="shared" si="1"/>
        <v>176</v>
      </c>
      <c r="D2675" s="6" t="str">
        <f t="array" ref="D2675">IFERROR(INDEX(user_table!$C$2:$C3686,MATCH(C2675,user_table!$B$2:$B3686,0)),"")
</f>
        <v>Ani Hartono</v>
      </c>
      <c r="E2675" s="6" t="str">
        <f t="array" ref="E2675">IFERROR(INDEX(user_table!$E$2:$E3686,MATCH(C2675,user_table!$B$2:$B3686,0)),"")
</f>
        <v>2, 3</v>
      </c>
      <c r="F2675" s="6" t="str">
        <f t="shared" si="2"/>
        <v>163856176</v>
      </c>
      <c r="G2675" s="16">
        <v>5.0</v>
      </c>
      <c r="H2675" s="17">
        <v>44750.0</v>
      </c>
      <c r="I2675" s="18" t="s">
        <v>2621</v>
      </c>
    </row>
    <row r="2676">
      <c r="A2676" s="5" t="str">
        <f t="array" ref="A2676">INDEX(event_table!$A$2:$A$69, RANDBETWEEN(1, COUNTA(event_table!$A$2:$A$69)))</f>
        <v>3659</v>
      </c>
      <c r="B2676" s="6">
        <f t="array" ref="B2676">IFERROR(INDEX(event_table!$E$1:$E3686,MATCH(A2676,event_table!$A$1:$A3686,0)),"")
</f>
        <v>6</v>
      </c>
      <c r="C2676" s="7">
        <f t="shared" si="1"/>
        <v>38</v>
      </c>
      <c r="D2676" s="6" t="str">
        <f t="array" ref="D2676">IFERROR(INDEX(user_table!$C$2:$C3686,MATCH(C2676,user_table!$B$2:$B3686,0)),"")
</f>
        <v>Maya Utami</v>
      </c>
      <c r="E2676" s="6" t="str">
        <f t="array" ref="E2676">IFERROR(INDEX(user_table!$E$2:$E3686,MATCH(C2676,user_table!$B$2:$B3686,0)),"")
</f>
        <v>2, 1</v>
      </c>
      <c r="F2676" s="6" t="str">
        <f t="shared" si="2"/>
        <v>36595638</v>
      </c>
      <c r="G2676" s="16">
        <v>5.0</v>
      </c>
      <c r="H2676" s="17">
        <v>44690.0</v>
      </c>
      <c r="I2676" s="18" t="s">
        <v>2622</v>
      </c>
    </row>
    <row r="2677">
      <c r="A2677" s="5" t="str">
        <f t="array" ref="A2677">INDEX(event_table!$A$2:$A$69, RANDBETWEEN(1, COUNTA(event_table!$A$2:$A$69)))</f>
        <v>1110</v>
      </c>
      <c r="B2677" s="6">
        <f t="array" ref="B2677">IFERROR(INDEX(event_table!$E$1:$E3686,MATCH(A2677,event_table!$A$1:$A3686,0)),"")
</f>
        <v>1</v>
      </c>
      <c r="C2677" s="7">
        <f t="shared" si="1"/>
        <v>190</v>
      </c>
      <c r="D2677" s="6" t="str">
        <f t="array" ref="D2677">IFERROR(INDEX(user_table!$C$2:$C3686,MATCH(C2677,user_table!$B$2:$B3686,0)),"")
</f>
        <v>Fajar Santoso</v>
      </c>
      <c r="E2677" s="6" t="str">
        <f t="array" ref="E2677">IFERROR(INDEX(user_table!$E$2:$E3686,MATCH(C2677,user_table!$B$2:$B3686,0)),"")
</f>
        <v>1, 3</v>
      </c>
      <c r="F2677" s="6" t="str">
        <f t="shared" si="2"/>
        <v>111041190</v>
      </c>
      <c r="G2677" s="16">
        <v>4.0</v>
      </c>
      <c r="H2677" s="17">
        <v>44960.0</v>
      </c>
      <c r="I2677" s="18" t="s">
        <v>2623</v>
      </c>
    </row>
    <row r="2678">
      <c r="A2678" s="5" t="str">
        <f t="array" ref="A2678">INDEX(event_table!$A$2:$A$69, RANDBETWEEN(1, COUNTA(event_table!$A$2:$A$69)))</f>
        <v>3657</v>
      </c>
      <c r="B2678" s="6">
        <f t="array" ref="B2678">IFERROR(INDEX(event_table!$E$1:$E3686,MATCH(A2678,event_table!$A$1:$A3686,0)),"")
</f>
        <v>6</v>
      </c>
      <c r="C2678" s="7">
        <f t="shared" si="1"/>
        <v>43</v>
      </c>
      <c r="D2678" s="6" t="str">
        <f t="array" ref="D2678">IFERROR(INDEX(user_table!$C$2:$C3686,MATCH(C2678,user_table!$B$2:$B3686,0)),"")
</f>
        <v>Lina Putri</v>
      </c>
      <c r="E2678" s="6" t="str">
        <f t="array" ref="E2678">IFERROR(INDEX(user_table!$E$2:$E3686,MATCH(C2678,user_table!$B$2:$B3686,0)),"")
</f>
        <v>1, 6</v>
      </c>
      <c r="F2678" s="6" t="str">
        <f t="shared" si="2"/>
        <v>36574643</v>
      </c>
      <c r="G2678" s="16">
        <v>4.0</v>
      </c>
      <c r="H2678" s="17">
        <v>44924.0</v>
      </c>
      <c r="I2678" s="18" t="s">
        <v>2624</v>
      </c>
    </row>
    <row r="2679">
      <c r="A2679" s="5" t="str">
        <f t="array" ref="A2679">INDEX(event_table!$A$2:$A$69, RANDBETWEEN(1, COUNTA(event_table!$A$2:$A$69)))</f>
        <v>3170</v>
      </c>
      <c r="B2679" s="6">
        <f t="array" ref="B2679">IFERROR(INDEX(event_table!$E$1:$E3686,MATCH(A2679,event_table!$A$1:$A3686,0)),"")
</f>
        <v>1</v>
      </c>
      <c r="C2679" s="7">
        <f t="shared" si="1"/>
        <v>128</v>
      </c>
      <c r="D2679" s="6" t="str">
        <f t="array" ref="D2679">IFERROR(INDEX(user_table!$C$2:$C3686,MATCH(C2679,user_table!$B$2:$B3686,0)),"")
</f>
        <v>Bambang Utami</v>
      </c>
      <c r="E2679" s="6" t="str">
        <f t="array" ref="E2679">IFERROR(INDEX(user_table!$E$2:$E3686,MATCH(C2679,user_table!$B$2:$B3686,0)),"")
</f>
        <v>3, 6</v>
      </c>
      <c r="F2679" s="6" t="str">
        <f t="shared" si="2"/>
        <v>317041128</v>
      </c>
      <c r="G2679" s="16">
        <v>4.0</v>
      </c>
      <c r="H2679" s="17">
        <v>44740.0</v>
      </c>
      <c r="I2679" s="18" t="s">
        <v>2625</v>
      </c>
    </row>
    <row r="2680">
      <c r="A2680" s="5" t="str">
        <f t="array" ref="A2680">INDEX(event_table!$A$2:$A$69, RANDBETWEEN(1, COUNTA(event_table!$A$2:$A$69)))</f>
        <v>1111</v>
      </c>
      <c r="B2680" s="6">
        <f t="array" ref="B2680">IFERROR(INDEX(event_table!$E$1:$E3686,MATCH(A2680,event_table!$A$1:$A3686,0)),"")
</f>
        <v>1</v>
      </c>
      <c r="C2680" s="7">
        <f t="shared" si="1"/>
        <v>76</v>
      </c>
      <c r="D2680" s="6" t="str">
        <f t="array" ref="D2680">IFERROR(INDEX(user_table!$C$2:$C3686,MATCH(C2680,user_table!$B$2:$B3686,0)),"")
</f>
        <v>Sinta Hidayat</v>
      </c>
      <c r="E2680" s="6" t="str">
        <f t="array" ref="E2680">IFERROR(INDEX(user_table!$E$2:$E3686,MATCH(C2680,user_table!$B$2:$B3686,0)),"")
</f>
        <v>3, 2</v>
      </c>
      <c r="F2680" s="6" t="str">
        <f t="shared" si="2"/>
        <v>11114176</v>
      </c>
      <c r="G2680" s="16">
        <v>4.0</v>
      </c>
      <c r="H2680" s="17">
        <v>44732.0</v>
      </c>
      <c r="I2680" s="18" t="s">
        <v>2626</v>
      </c>
    </row>
    <row r="2681">
      <c r="A2681" s="5" t="str">
        <f t="array" ref="A2681">INDEX(event_table!$A$2:$A$69, RANDBETWEEN(1, COUNTA(event_table!$A$2:$A$69)))</f>
        <v>1637</v>
      </c>
      <c r="B2681" s="6">
        <f t="array" ref="B2681">IFERROR(INDEX(event_table!$E$1:$E3686,MATCH(A2681,event_table!$A$1:$A3686,0)),"")
</f>
        <v>6</v>
      </c>
      <c r="C2681" s="7">
        <f t="shared" si="1"/>
        <v>58</v>
      </c>
      <c r="D2681" s="6" t="str">
        <f t="array" ref="D2681">IFERROR(INDEX(user_table!$C$2:$C3686,MATCH(C2681,user_table!$B$2:$B3686,0)),"")
</f>
        <v>Joko Septiani</v>
      </c>
      <c r="E2681" s="6" t="str">
        <f t="array" ref="E2681">IFERROR(INDEX(user_table!$E$2:$E3686,MATCH(C2681,user_table!$B$2:$B3686,0)),"")
</f>
        <v>2, 5</v>
      </c>
      <c r="F2681" s="6" t="str">
        <f t="shared" si="2"/>
        <v>16374658</v>
      </c>
      <c r="G2681" s="16">
        <v>4.0</v>
      </c>
      <c r="H2681" s="17">
        <v>44993.0</v>
      </c>
      <c r="I2681" s="18" t="s">
        <v>2292</v>
      </c>
    </row>
    <row r="2682">
      <c r="A2682" s="5" t="str">
        <f t="array" ref="A2682">INDEX(event_table!$A$2:$A$69, RANDBETWEEN(1, COUNTA(event_table!$A$2:$A$69)))</f>
        <v>3169</v>
      </c>
      <c r="B2682" s="6">
        <f t="array" ref="B2682">IFERROR(INDEX(event_table!$E$1:$E3686,MATCH(A2682,event_table!$A$1:$A3686,0)),"")
</f>
        <v>1</v>
      </c>
      <c r="C2682" s="7">
        <f t="shared" si="1"/>
        <v>51</v>
      </c>
      <c r="D2682" s="6" t="str">
        <f t="array" ref="D2682">IFERROR(INDEX(user_table!$C$2:$C3686,MATCH(C2682,user_table!$B$2:$B3686,0)),"")
</f>
        <v>Fandi Pratama</v>
      </c>
      <c r="E2682" s="6" t="str">
        <f t="array" ref="E2682">IFERROR(INDEX(user_table!$E$2:$E3686,MATCH(C2682,user_table!$B$2:$B3686,0)),"")
</f>
        <v>2, 1</v>
      </c>
      <c r="F2682" s="6" t="str">
        <f t="shared" si="2"/>
        <v>31694151</v>
      </c>
      <c r="G2682" s="16">
        <v>4.0</v>
      </c>
      <c r="H2682" s="17">
        <v>44718.0</v>
      </c>
      <c r="I2682" s="18" t="s">
        <v>2627</v>
      </c>
    </row>
    <row r="2683">
      <c r="A2683" s="5" t="str">
        <f t="array" ref="A2683">INDEX(event_table!$A$2:$A$69, RANDBETWEEN(1, COUNTA(event_table!$A$2:$A$69)))</f>
        <v>3170</v>
      </c>
      <c r="B2683" s="6">
        <f t="array" ref="B2683">IFERROR(INDEX(event_table!$E$1:$E3686,MATCH(A2683,event_table!$A$1:$A3686,0)),"")
</f>
        <v>1</v>
      </c>
      <c r="C2683" s="7">
        <f t="shared" si="1"/>
        <v>189</v>
      </c>
      <c r="D2683" s="6" t="str">
        <f t="array" ref="D2683">IFERROR(INDEX(user_table!$C$2:$C3686,MATCH(C2683,user_table!$B$2:$B3686,0)),"")
</f>
        <v>Arif Putri</v>
      </c>
      <c r="E2683" s="6" t="str">
        <f t="array" ref="E2683">IFERROR(INDEX(user_table!$E$2:$E3686,MATCH(C2683,user_table!$B$2:$B3686,0)),"")
</f>
        <v>4, 2</v>
      </c>
      <c r="F2683" s="6" t="str">
        <f t="shared" si="2"/>
        <v>317041189</v>
      </c>
      <c r="G2683" s="16">
        <v>4.0</v>
      </c>
      <c r="H2683" s="17">
        <v>45127.0</v>
      </c>
      <c r="I2683" s="18" t="s">
        <v>2628</v>
      </c>
    </row>
    <row r="2684">
      <c r="A2684" s="5" t="str">
        <f t="array" ref="A2684">INDEX(event_table!$A$2:$A$69, RANDBETWEEN(1, COUNTA(event_table!$A$2:$A$69)))</f>
        <v>1647</v>
      </c>
      <c r="B2684" s="6">
        <f t="array" ref="B2684">IFERROR(INDEX(event_table!$E$1:$E3686,MATCH(A2684,event_table!$A$1:$A3686,0)),"")
</f>
        <v>6</v>
      </c>
      <c r="C2684" s="7">
        <f t="shared" si="1"/>
        <v>120</v>
      </c>
      <c r="D2684" s="6" t="str">
        <f t="array" ref="D2684">IFERROR(INDEX(user_table!$C$2:$C3686,MATCH(C2684,user_table!$B$2:$B3686,0)),"")
</f>
        <v>Dewi Septiani</v>
      </c>
      <c r="E2684" s="6" t="str">
        <f t="array" ref="E2684">IFERROR(INDEX(user_table!$E$2:$E3686,MATCH(C2684,user_table!$B$2:$B3686,0)),"")
</f>
        <v>5, 3</v>
      </c>
      <c r="F2684" s="6" t="str">
        <f t="shared" si="2"/>
        <v>164746120</v>
      </c>
      <c r="G2684" s="16">
        <v>4.0</v>
      </c>
      <c r="H2684" s="17">
        <v>44704.0</v>
      </c>
      <c r="I2684" s="18" t="s">
        <v>1417</v>
      </c>
    </row>
    <row r="2685">
      <c r="A2685" s="5" t="str">
        <f t="array" ref="A2685">INDEX(event_table!$A$2:$A$69, RANDBETWEEN(1, COUNTA(event_table!$A$2:$A$69)))</f>
        <v>111</v>
      </c>
      <c r="B2685" s="6">
        <f t="array" ref="B2685">IFERROR(INDEX(event_table!$E$1:$E3686,MATCH(A2685,event_table!$A$1:$A3686,0)),"")
</f>
        <v>1</v>
      </c>
      <c r="C2685" s="7">
        <f t="shared" si="1"/>
        <v>177</v>
      </c>
      <c r="D2685" s="6" t="str">
        <f t="array" ref="D2685">IFERROR(INDEX(user_table!$C$2:$C3686,MATCH(C2685,user_table!$B$2:$B3686,0)),"")
</f>
        <v>Andi Susanto</v>
      </c>
      <c r="E2685" s="6" t="str">
        <f t="array" ref="E2685">IFERROR(INDEX(user_table!$E$2:$E3686,MATCH(C2685,user_table!$B$2:$B3686,0)),"")
</f>
        <v>2, 6</v>
      </c>
      <c r="F2685" s="6" t="str">
        <f t="shared" si="2"/>
        <v>11131177</v>
      </c>
      <c r="G2685" s="16">
        <v>3.0</v>
      </c>
      <c r="H2685" s="17">
        <v>44834.0</v>
      </c>
      <c r="I2685" s="18" t="s">
        <v>2629</v>
      </c>
    </row>
    <row r="2686">
      <c r="A2686" s="5" t="str">
        <f t="array" ref="A2686">INDEX(event_table!$A$2:$A$69, RANDBETWEEN(1, COUNTA(event_table!$A$2:$A$69)))</f>
        <v>1530</v>
      </c>
      <c r="B2686" s="6">
        <f t="array" ref="B2686">IFERROR(INDEX(event_table!$E$1:$E3686,MATCH(A2686,event_table!$A$1:$A3686,0)),"")
</f>
        <v>5</v>
      </c>
      <c r="C2686" s="7">
        <f t="shared" si="1"/>
        <v>126</v>
      </c>
      <c r="D2686" s="6" t="str">
        <f t="array" ref="D2686">IFERROR(INDEX(user_table!$C$2:$C3686,MATCH(C2686,user_table!$B$2:$B3686,0)),"")
</f>
        <v>Agus Santoso</v>
      </c>
      <c r="E2686" s="6" t="str">
        <f t="array" ref="E2686">IFERROR(INDEX(user_table!$E$2:$E3686,MATCH(C2686,user_table!$B$2:$B3686,0)),"")
</f>
        <v>3, 6</v>
      </c>
      <c r="F2686" s="6" t="str">
        <f t="shared" si="2"/>
        <v>153035126</v>
      </c>
      <c r="G2686" s="16">
        <v>3.0</v>
      </c>
      <c r="H2686" s="17">
        <v>45179.0</v>
      </c>
      <c r="I2686" s="18" t="s">
        <v>2630</v>
      </c>
    </row>
    <row r="2687">
      <c r="A2687" s="5" t="str">
        <f t="array" ref="A2687">INDEX(event_table!$A$2:$A$69, RANDBETWEEN(1, COUNTA(event_table!$A$2:$A$69)))</f>
        <v>3164</v>
      </c>
      <c r="B2687" s="6">
        <f t="array" ref="B2687">IFERROR(INDEX(event_table!$E$1:$E3686,MATCH(A2687,event_table!$A$1:$A3686,0)),"")
</f>
        <v>1</v>
      </c>
      <c r="C2687" s="7">
        <f t="shared" si="1"/>
        <v>199</v>
      </c>
      <c r="D2687" s="6" t="str">
        <f t="array" ref="D2687">IFERROR(INDEX(user_table!$C$2:$C3686,MATCH(C2687,user_table!$B$2:$B3686,0)),"")
</f>
        <v>Rudi Putri</v>
      </c>
      <c r="E2687" s="6" t="str">
        <f t="array" ref="E2687">IFERROR(INDEX(user_table!$E$2:$E3686,MATCH(C2687,user_table!$B$2:$B3686,0)),"")
</f>
        <v>2, 1</v>
      </c>
      <c r="F2687" s="6" t="str">
        <f t="shared" si="2"/>
        <v>316431199</v>
      </c>
      <c r="G2687" s="21">
        <v>3.0</v>
      </c>
      <c r="H2687" s="3">
        <v>45138.0</v>
      </c>
      <c r="I2687" s="22" t="s">
        <v>2631</v>
      </c>
    </row>
    <row r="2688">
      <c r="A2688" s="5" t="str">
        <f t="array" ref="A2688">INDEX(event_table!$A$2:$A$69, RANDBETWEEN(1, COUNTA(event_table!$A$2:$A$69)))</f>
        <v>3658</v>
      </c>
      <c r="B2688" s="6">
        <f t="array" ref="B2688">IFERROR(INDEX(event_table!$E$1:$E3686,MATCH(A2688,event_table!$A$1:$A3686,0)),"")
</f>
        <v>6</v>
      </c>
      <c r="C2688" s="7">
        <f t="shared" si="1"/>
        <v>146</v>
      </c>
      <c r="D2688" s="6" t="str">
        <f t="array" ref="D2688">IFERROR(INDEX(user_table!$C$2:$C3686,MATCH(C2688,user_table!$B$2:$B3686,0)),"")
</f>
        <v>Rudi Susanto</v>
      </c>
      <c r="E2688" s="6" t="str">
        <f t="array" ref="E2688">IFERROR(INDEX(user_table!$E$2:$E3686,MATCH(C2688,user_table!$B$2:$B3686,0)),"")
</f>
        <v>6, 1</v>
      </c>
      <c r="F2688" s="6" t="str">
        <f t="shared" si="2"/>
        <v>365826146</v>
      </c>
      <c r="G2688" s="21">
        <v>2.0</v>
      </c>
      <c r="H2688" s="3">
        <v>45106.0</v>
      </c>
      <c r="I2688" s="22" t="s">
        <v>2632</v>
      </c>
    </row>
    <row r="2689">
      <c r="A2689" s="5" t="str">
        <f t="array" ref="A2689">INDEX(event_table!$A$2:$A$69, RANDBETWEEN(1, COUNTA(event_table!$A$2:$A$69)))</f>
        <v>3164</v>
      </c>
      <c r="B2689" s="6">
        <f t="array" ref="B2689">IFERROR(INDEX(event_table!$E$1:$E3686,MATCH(A2689,event_table!$A$1:$A3686,0)),"")
</f>
        <v>1</v>
      </c>
      <c r="C2689" s="7">
        <f t="shared" si="1"/>
        <v>31</v>
      </c>
      <c r="D2689" s="6" t="str">
        <f t="array" ref="D2689">IFERROR(INDEX(user_table!$C$2:$C3686,MATCH(C2689,user_table!$B$2:$B3686,0)),"")
</f>
        <v>Dian Hidayat</v>
      </c>
      <c r="E2689" s="6" t="str">
        <f t="array" ref="E2689">IFERROR(INDEX(user_table!$E$2:$E3686,MATCH(C2689,user_table!$B$2:$B3686,0)),"")
</f>
        <v>3, 5</v>
      </c>
      <c r="F2689" s="6" t="str">
        <f t="shared" si="2"/>
        <v>31642131</v>
      </c>
      <c r="G2689" s="21">
        <v>2.0</v>
      </c>
      <c r="H2689" s="3">
        <v>44991.0</v>
      </c>
      <c r="I2689" s="22" t="s">
        <v>2633</v>
      </c>
    </row>
    <row r="2690">
      <c r="A2690" s="5" t="str">
        <f t="array" ref="A2690">INDEX(event_table!$A$2:$A$69, RANDBETWEEN(1, COUNTA(event_table!$A$2:$A$69)))</f>
        <v>111</v>
      </c>
      <c r="B2690" s="6">
        <f t="array" ref="B2690">IFERROR(INDEX(event_table!$E$1:$E3686,MATCH(A2690,event_table!$A$1:$A3686,0)),"")
</f>
        <v>1</v>
      </c>
      <c r="C2690" s="7">
        <f t="shared" si="1"/>
        <v>88</v>
      </c>
      <c r="D2690" s="6" t="str">
        <f t="array" ref="D2690">IFERROR(INDEX(user_table!$C$2:$C3686,MATCH(C2690,user_table!$B$2:$B3686,0)),"")
</f>
        <v>Fajar Hadiwijaya</v>
      </c>
      <c r="E2690" s="6" t="str">
        <f t="array" ref="E2690">IFERROR(INDEX(user_table!$E$2:$E3686,MATCH(C2690,user_table!$B$2:$B3686,0)),"")
</f>
        <v>2, 6</v>
      </c>
      <c r="F2690" s="6" t="str">
        <f t="shared" si="2"/>
        <v>1112188</v>
      </c>
      <c r="G2690" s="21">
        <v>2.0</v>
      </c>
      <c r="H2690" s="3">
        <v>44987.0</v>
      </c>
      <c r="I2690" s="22" t="s">
        <v>2634</v>
      </c>
    </row>
    <row r="2691">
      <c r="A2691" s="5" t="str">
        <f t="array" ref="A2691">INDEX(event_table!$A$2:$A$69, RANDBETWEEN(1, COUNTA(event_table!$A$2:$A$69)))</f>
        <v>113</v>
      </c>
      <c r="B2691" s="6">
        <f t="array" ref="B2691">IFERROR(INDEX(event_table!$E$1:$E3686,MATCH(A2691,event_table!$A$1:$A3686,0)),"")
</f>
        <v>1</v>
      </c>
      <c r="C2691" s="7">
        <f t="shared" si="1"/>
        <v>192</v>
      </c>
      <c r="D2691" s="6" t="str">
        <f t="array" ref="D2691">IFERROR(INDEX(user_table!$C$2:$C3686,MATCH(C2691,user_table!$B$2:$B3686,0)),"")
</f>
        <v>Joko Hadiwijaya</v>
      </c>
      <c r="E2691" s="6" t="str">
        <f t="array" ref="E2691">IFERROR(INDEX(user_table!$E$2:$E3686,MATCH(C2691,user_table!$B$2:$B3686,0)),"")
</f>
        <v>1, 3</v>
      </c>
      <c r="F2691" s="6" t="str">
        <f t="shared" si="2"/>
        <v>11321192</v>
      </c>
      <c r="G2691" s="21">
        <v>2.0</v>
      </c>
      <c r="H2691" s="3">
        <v>44628.0</v>
      </c>
      <c r="I2691" s="22" t="s">
        <v>2635</v>
      </c>
    </row>
    <row r="2692">
      <c r="A2692" s="5" t="str">
        <f t="array" ref="A2692">INDEX(event_table!$A$2:$A$69, RANDBETWEEN(1, COUNTA(event_table!$A$2:$A$69)))</f>
        <v>1519</v>
      </c>
      <c r="B2692" s="6">
        <f t="array" ref="B2692">IFERROR(INDEX(event_table!$E$1:$E3686,MATCH(A2692,event_table!$A$1:$A3686,0)),"")
</f>
        <v>5</v>
      </c>
      <c r="C2692" s="7">
        <f t="shared" si="1"/>
        <v>84</v>
      </c>
      <c r="D2692" s="6" t="str">
        <f t="array" ref="D2692">IFERROR(INDEX(user_table!$C$2:$C3686,MATCH(C2692,user_table!$B$2:$B3686,0)),"")
</f>
        <v>Budi Hermawan</v>
      </c>
      <c r="E2692" s="6" t="str">
        <f t="array" ref="E2692">IFERROR(INDEX(user_table!$E$2:$E3686,MATCH(C2692,user_table!$B$2:$B3686,0)),"")
</f>
        <v>5, 5</v>
      </c>
      <c r="F2692" s="6" t="str">
        <f t="shared" si="2"/>
        <v>15192584</v>
      </c>
      <c r="G2692" s="21">
        <v>2.0</v>
      </c>
      <c r="H2692" s="3">
        <v>44556.0</v>
      </c>
      <c r="I2692" s="22" t="s">
        <v>2636</v>
      </c>
    </row>
    <row r="2693">
      <c r="A2693" s="5" t="str">
        <f t="array" ref="A2693">INDEX(event_table!$A$2:$A$69, RANDBETWEEN(1, COUNTA(event_table!$A$2:$A$69)))</f>
        <v>1553</v>
      </c>
      <c r="B2693" s="6">
        <f t="array" ref="B2693">IFERROR(INDEX(event_table!$E$1:$E3686,MATCH(A2693,event_table!$A$1:$A3686,0)),"")
</f>
        <v>5</v>
      </c>
      <c r="C2693" s="7">
        <f t="shared" si="1"/>
        <v>110</v>
      </c>
      <c r="D2693" s="6" t="str">
        <f t="array" ref="D2693">IFERROR(INDEX(user_table!$C$2:$C3686,MATCH(C2693,user_table!$B$2:$B3686,0)),"")
</f>
        <v>Fajar Wijaya</v>
      </c>
      <c r="E2693" s="6" t="str">
        <f t="array" ref="E2693">IFERROR(INDEX(user_table!$E$2:$E3686,MATCH(C2693,user_table!$B$2:$B3686,0)),"")
</f>
        <v>3, 6</v>
      </c>
      <c r="F2693" s="6" t="str">
        <f t="shared" si="2"/>
        <v>155325110</v>
      </c>
      <c r="G2693" s="21">
        <v>2.0</v>
      </c>
      <c r="H2693" s="3">
        <v>45221.0</v>
      </c>
      <c r="I2693" s="22" t="s">
        <v>2637</v>
      </c>
    </row>
    <row r="2694">
      <c r="A2694" s="5" t="str">
        <f t="array" ref="A2694">INDEX(event_table!$A$2:$A$69, RANDBETWEEN(1, COUNTA(event_table!$A$2:$A$69)))</f>
        <v>1652</v>
      </c>
      <c r="B2694" s="6">
        <f t="array" ref="B2694">IFERROR(INDEX(event_table!$E$1:$E3686,MATCH(A2694,event_table!$A$1:$A3686,0)),"")
</f>
        <v>6</v>
      </c>
      <c r="C2694" s="7">
        <f t="shared" si="1"/>
        <v>180</v>
      </c>
      <c r="D2694" s="6" t="str">
        <f t="array" ref="D2694">IFERROR(INDEX(user_table!$C$2:$C3686,MATCH(C2694,user_table!$B$2:$B3686,0)),"")
</f>
        <v>Andi Susanto</v>
      </c>
      <c r="E2694" s="6" t="str">
        <f t="array" ref="E2694">IFERROR(INDEX(user_table!$E$2:$E3686,MATCH(C2694,user_table!$B$2:$B3686,0)),"")
</f>
        <v>6, 5</v>
      </c>
      <c r="F2694" s="6" t="str">
        <f t="shared" si="2"/>
        <v>165226180</v>
      </c>
      <c r="G2694" s="21">
        <v>2.0</v>
      </c>
      <c r="H2694" s="3">
        <v>45199.0</v>
      </c>
      <c r="I2694" s="22" t="s">
        <v>2638</v>
      </c>
    </row>
    <row r="2695">
      <c r="A2695" s="5" t="str">
        <f t="array" ref="A2695">INDEX(event_table!$A$2:$A$69, RANDBETWEEN(1, COUNTA(event_table!$A$2:$A$69)))</f>
        <v>3163</v>
      </c>
      <c r="B2695" s="6">
        <f t="array" ref="B2695">IFERROR(INDEX(event_table!$E$1:$E3686,MATCH(A2695,event_table!$A$1:$A3686,0)),"")
</f>
        <v>1</v>
      </c>
      <c r="C2695" s="7">
        <f t="shared" si="1"/>
        <v>61</v>
      </c>
      <c r="D2695" s="6" t="str">
        <f t="array" ref="D2695">IFERROR(INDEX(user_table!$C$2:$C3686,MATCH(C2695,user_table!$B$2:$B3686,0)),"")
</f>
        <v>Agus Setiawan</v>
      </c>
      <c r="E2695" s="6" t="str">
        <f t="array" ref="E2695">IFERROR(INDEX(user_table!$E$2:$E3686,MATCH(C2695,user_table!$B$2:$B3686,0)),"")
</f>
        <v>4, 5</v>
      </c>
      <c r="F2695" s="6" t="str">
        <f t="shared" si="2"/>
        <v>31632161</v>
      </c>
      <c r="G2695" s="21">
        <v>2.0</v>
      </c>
      <c r="H2695" s="3">
        <v>45077.0</v>
      </c>
      <c r="I2695" s="22" t="s">
        <v>2639</v>
      </c>
    </row>
    <row r="2696">
      <c r="A2696" s="5" t="str">
        <f t="array" ref="A2696">INDEX(event_table!$A$2:$A$69, RANDBETWEEN(1, COUNTA(event_table!$A$2:$A$69)))</f>
        <v>3166</v>
      </c>
      <c r="B2696" s="6">
        <f t="array" ref="B2696">IFERROR(INDEX(event_table!$E$1:$E3686,MATCH(A2696,event_table!$A$1:$A3686,0)),"")
</f>
        <v>1</v>
      </c>
      <c r="C2696" s="7">
        <f t="shared" si="1"/>
        <v>8</v>
      </c>
      <c r="D2696" s="6" t="str">
        <f t="array" ref="D2696">IFERROR(INDEX(user_table!$C$2:$C3686,MATCH(C2696,user_table!$B$2:$B3686,0)),"")
</f>
        <v>Bambang Kurniawan</v>
      </c>
      <c r="E2696" s="6" t="str">
        <f t="array" ref="E2696">IFERROR(INDEX(user_table!$E$2:$E3686,MATCH(C2696,user_table!$B$2:$B3686,0)),"")
</f>
        <v>2, 1</v>
      </c>
      <c r="F2696" s="6" t="str">
        <f t="shared" si="2"/>
        <v>3166218</v>
      </c>
      <c r="G2696" s="21">
        <v>2.0</v>
      </c>
      <c r="H2696" s="3">
        <v>45068.0</v>
      </c>
      <c r="I2696" s="22" t="s">
        <v>549</v>
      </c>
    </row>
    <row r="2697">
      <c r="A2697" s="5" t="str">
        <f t="array" ref="A2697">INDEX(event_table!$A$2:$A$69, RANDBETWEEN(1, COUNTA(event_table!$A$2:$A$69)))</f>
        <v>1638</v>
      </c>
      <c r="B2697" s="6">
        <f t="array" ref="B2697">IFERROR(INDEX(event_table!$E$1:$E3686,MATCH(A2697,event_table!$A$1:$A3686,0)),"")
</f>
        <v>6</v>
      </c>
      <c r="C2697" s="7">
        <f t="shared" si="1"/>
        <v>182</v>
      </c>
      <c r="D2697" s="6" t="str">
        <f t="array" ref="D2697">IFERROR(INDEX(user_table!$C$2:$C3686,MATCH(C2697,user_table!$B$2:$B3686,0)),"")
</f>
        <v>Siti Utami</v>
      </c>
      <c r="E2697" s="6" t="str">
        <f t="array" ref="E2697">IFERROR(INDEX(user_table!$E$2:$E3686,MATCH(C2697,user_table!$B$2:$B3686,0)),"")
</f>
        <v>5, 4</v>
      </c>
      <c r="F2697" s="6" t="str">
        <f t="shared" si="2"/>
        <v>163816182</v>
      </c>
      <c r="G2697" s="21">
        <v>1.0</v>
      </c>
      <c r="H2697" s="3">
        <v>45266.0</v>
      </c>
      <c r="I2697" s="22" t="s">
        <v>2640</v>
      </c>
    </row>
    <row r="2698">
      <c r="A2698" s="5" t="str">
        <f t="array" ref="A2698">INDEX(event_table!$A$2:$A$69, RANDBETWEEN(1, COUNTA(event_table!$A$2:$A$69)))</f>
        <v>1110</v>
      </c>
      <c r="B2698" s="6">
        <f t="array" ref="B2698">IFERROR(INDEX(event_table!$E$1:$E3686,MATCH(A2698,event_table!$A$1:$A3686,0)),"")
</f>
        <v>1</v>
      </c>
      <c r="C2698" s="7">
        <f t="shared" si="1"/>
        <v>6</v>
      </c>
      <c r="D2698" s="6" t="str">
        <f t="array" ref="D2698">IFERROR(INDEX(user_table!$C$2:$C3686,MATCH(C2698,user_table!$B$2:$B3686,0)),"")
</f>
        <v>Arif Putri</v>
      </c>
      <c r="E2698" s="6" t="str">
        <f t="array" ref="E2698">IFERROR(INDEX(user_table!$E$2:$E3686,MATCH(C2698,user_table!$B$2:$B3686,0)),"")
</f>
        <v>5, 2</v>
      </c>
      <c r="F2698" s="6" t="str">
        <f t="shared" si="2"/>
        <v>1110116</v>
      </c>
      <c r="G2698" s="21">
        <v>1.0</v>
      </c>
      <c r="H2698" s="3">
        <v>45187.0</v>
      </c>
      <c r="I2698" s="22" t="s">
        <v>2641</v>
      </c>
    </row>
    <row r="2699">
      <c r="A2699" s="5" t="str">
        <f t="array" ref="A2699">INDEX(event_table!$A$2:$A$69, RANDBETWEEN(1, COUNTA(event_table!$A$2:$A$69)))</f>
        <v>1647</v>
      </c>
      <c r="B2699" s="6">
        <f t="array" ref="B2699">IFERROR(INDEX(event_table!$E$1:$E3686,MATCH(A2699,event_table!$A$1:$A3686,0)),"")
</f>
        <v>6</v>
      </c>
      <c r="C2699" s="7">
        <f t="shared" si="1"/>
        <v>158</v>
      </c>
      <c r="D2699" s="6" t="str">
        <f t="array" ref="D2699">IFERROR(INDEX(user_table!$C$2:$C3686,MATCH(C2699,user_table!$B$2:$B3686,0)),"")
</f>
        <v>Maya Wijaya</v>
      </c>
      <c r="E2699" s="6" t="str">
        <f t="array" ref="E2699">IFERROR(INDEX(user_table!$E$2:$E3686,MATCH(C2699,user_table!$B$2:$B3686,0)),"")
</f>
        <v>3, 4</v>
      </c>
      <c r="F2699" s="6" t="str">
        <f t="shared" si="2"/>
        <v>164716158</v>
      </c>
      <c r="G2699" s="21">
        <v>1.0</v>
      </c>
      <c r="H2699" s="3">
        <v>45236.0</v>
      </c>
      <c r="I2699" s="22" t="s">
        <v>2642</v>
      </c>
    </row>
    <row r="2700">
      <c r="A2700" s="5" t="str">
        <f t="array" ref="A2700">INDEX(event_table!$A$2:$A$69, RANDBETWEEN(1, COUNTA(event_table!$A$2:$A$69)))</f>
        <v>1642</v>
      </c>
      <c r="B2700" s="6">
        <f t="array" ref="B2700">IFERROR(INDEX(event_table!$E$1:$E3686,MATCH(A2700,event_table!$A$1:$A3686,0)),"")
</f>
        <v>6</v>
      </c>
      <c r="C2700" s="7">
        <f t="shared" si="1"/>
        <v>179</v>
      </c>
      <c r="D2700" s="6" t="str">
        <f t="array" ref="D2700">IFERROR(INDEX(user_table!$C$2:$C3686,MATCH(C2700,user_table!$B$2:$B3686,0)),"")
</f>
        <v>Andi Susanto</v>
      </c>
      <c r="E2700" s="6" t="str">
        <f t="array" ref="E2700">IFERROR(INDEX(user_table!$E$2:$E3686,MATCH(C2700,user_table!$B$2:$B3686,0)),"")
</f>
        <v>1, 6</v>
      </c>
      <c r="F2700" s="6" t="str">
        <f t="shared" si="2"/>
        <v>164216179</v>
      </c>
      <c r="G2700" s="21">
        <v>1.0</v>
      </c>
      <c r="H2700" s="3">
        <v>45207.0</v>
      </c>
      <c r="I2700" s="22" t="s">
        <v>2643</v>
      </c>
    </row>
    <row r="2701">
      <c r="A2701" s="5" t="str">
        <f t="array" ref="A2701">INDEX(event_table!$A$2:$A$69, RANDBETWEEN(1, COUNTA(event_table!$A$2:$A$69)))</f>
        <v>3658</v>
      </c>
      <c r="B2701" s="6">
        <f t="array" ref="B2701">IFERROR(INDEX(event_table!$E$1:$E3686,MATCH(A2701,event_table!$A$1:$A3686,0)),"")
</f>
        <v>6</v>
      </c>
      <c r="C2701" s="7">
        <f t="shared" si="1"/>
        <v>53</v>
      </c>
      <c r="D2701" s="6" t="str">
        <f t="array" ref="D2701">IFERROR(INDEX(user_table!$C$2:$C3686,MATCH(C2701,user_table!$B$2:$B3686,0)),"")
</f>
        <v>Wahyu Santoso</v>
      </c>
      <c r="E2701" s="6" t="str">
        <f t="array" ref="E2701">IFERROR(INDEX(user_table!$E$2:$E3686,MATCH(C2701,user_table!$B$2:$B3686,0)),"")
</f>
        <v>4, 5</v>
      </c>
      <c r="F2701" s="6" t="str">
        <f t="shared" si="2"/>
        <v>36581653</v>
      </c>
      <c r="G2701" s="21">
        <v>1.0</v>
      </c>
      <c r="H2701" s="3">
        <v>45262.0</v>
      </c>
      <c r="I2701" s="22" t="s">
        <v>2644</v>
      </c>
    </row>
    <row r="2702">
      <c r="A2702" s="5" t="str">
        <f t="array" ref="A2702">INDEX(event_table!$A$2:$A$69, RANDBETWEEN(1, COUNTA(event_table!$A$2:$A$69)))</f>
        <v>1420</v>
      </c>
      <c r="B2702" s="6">
        <f t="array" ref="B2702">IFERROR(INDEX(event_table!$E$1:$E3686,MATCH(A2702,event_table!$A$1:$A3686,0)),"")
</f>
        <v>4</v>
      </c>
      <c r="C2702" s="7">
        <f t="shared" si="1"/>
        <v>28</v>
      </c>
      <c r="D2702" s="6" t="str">
        <f t="array" ref="D2702">IFERROR(INDEX(user_table!$C$2:$C3686,MATCH(C2702,user_table!$B$2:$B3686,0)),"")
</f>
        <v>Fandi Putri</v>
      </c>
      <c r="E2702" s="6" t="str">
        <f t="array" ref="E2702">IFERROR(INDEX(user_table!$E$2:$E3686,MATCH(C2702,user_table!$B$2:$B3686,0)),"")
</f>
        <v>5, 1</v>
      </c>
      <c r="F2702" s="6" t="str">
        <f t="shared" si="2"/>
        <v>14201428</v>
      </c>
      <c r="G2702" s="21">
        <v>1.0</v>
      </c>
      <c r="H2702" s="3">
        <v>45194.0</v>
      </c>
      <c r="I2702" s="22" t="s">
        <v>2645</v>
      </c>
    </row>
    <row r="2703">
      <c r="A2703" s="5" t="str">
        <f t="array" ref="A2703">INDEX(event_table!$A$2:$A$69, RANDBETWEEN(1, COUNTA(event_table!$A$2:$A$69)))</f>
        <v>116</v>
      </c>
      <c r="B2703" s="6">
        <f t="array" ref="B2703">IFERROR(INDEX(event_table!$E$1:$E3686,MATCH(A2703,event_table!$A$1:$A3686,0)),"")
</f>
        <v>1</v>
      </c>
      <c r="C2703" s="7">
        <f t="shared" si="1"/>
        <v>60</v>
      </c>
      <c r="D2703" s="6" t="str">
        <f t="array" ref="D2703">IFERROR(INDEX(user_table!$C$2:$C3686,MATCH(C2703,user_table!$B$2:$B3686,0)),"")
</f>
        <v>Rudi Septiani</v>
      </c>
      <c r="E2703" s="6" t="str">
        <f t="array" ref="E2703">IFERROR(INDEX(user_table!$E$2:$E3686,MATCH(C2703,user_table!$B$2:$B3686,0)),"")
</f>
        <v>6, 2</v>
      </c>
      <c r="F2703" s="6" t="str">
        <f t="shared" si="2"/>
        <v>1161160</v>
      </c>
      <c r="G2703" s="21">
        <v>1.0</v>
      </c>
      <c r="H2703" s="3">
        <v>45266.0</v>
      </c>
      <c r="I2703" s="22" t="s">
        <v>2646</v>
      </c>
    </row>
    <row r="2704">
      <c r="A2704" s="5" t="str">
        <f t="array" ref="A2704">INDEX(event_table!$A$2:$A$69, RANDBETWEEN(1, COUNTA(event_table!$A$2:$A$69)))</f>
        <v>3167</v>
      </c>
      <c r="B2704" s="6">
        <f t="array" ref="B2704">IFERROR(INDEX(event_table!$E$1:$E3686,MATCH(A2704,event_table!$A$1:$A3686,0)),"")
</f>
        <v>1</v>
      </c>
      <c r="C2704" s="7">
        <f t="shared" si="1"/>
        <v>18</v>
      </c>
      <c r="D2704" s="6" t="str">
        <f t="array" ref="D2704">IFERROR(INDEX(user_table!$C$2:$C3686,MATCH(C2704,user_table!$B$2:$B3686,0)),"")
</f>
        <v>Rudi Santoso</v>
      </c>
      <c r="E2704" s="6" t="str">
        <f t="array" ref="E2704">IFERROR(INDEX(user_table!$E$2:$E3686,MATCH(C2704,user_table!$B$2:$B3686,0)),"")
</f>
        <v>4, 2</v>
      </c>
      <c r="F2704" s="6" t="str">
        <f t="shared" si="2"/>
        <v>31671118</v>
      </c>
      <c r="G2704" s="21">
        <v>1.0</v>
      </c>
      <c r="H2704" s="3">
        <v>45229.0</v>
      </c>
      <c r="I2704" s="22" t="s">
        <v>2647</v>
      </c>
    </row>
    <row r="2705">
      <c r="A2705" s="5" t="str">
        <f t="array" ref="A2705">INDEX(event_table!$A$2:$A$69, RANDBETWEEN(1, COUNTA(event_table!$A$2:$A$69)))</f>
        <v>1640</v>
      </c>
      <c r="B2705" s="6">
        <f t="array" ref="B2705">IFERROR(INDEX(event_table!$E$1:$E3686,MATCH(A2705,event_table!$A$1:$A3686,0)),"")
</f>
        <v>6</v>
      </c>
      <c r="C2705" s="7">
        <f t="shared" si="1"/>
        <v>107</v>
      </c>
      <c r="D2705" s="6" t="str">
        <f t="array" ref="D2705">IFERROR(INDEX(user_table!$C$2:$C3686,MATCH(C2705,user_table!$B$2:$B3686,0)),"")
</f>
        <v>Citra Rahayu</v>
      </c>
      <c r="E2705" s="6" t="str">
        <f t="array" ref="E2705">IFERROR(INDEX(user_table!$E$2:$E3686,MATCH(C2705,user_table!$B$2:$B3686,0)),"")
</f>
        <v>1, 5</v>
      </c>
      <c r="F2705" s="6" t="str">
        <f t="shared" si="2"/>
        <v>164016107</v>
      </c>
      <c r="G2705" s="21">
        <v>1.0</v>
      </c>
      <c r="H2705" s="3">
        <v>45134.0</v>
      </c>
      <c r="I2705" s="22" t="s">
        <v>2648</v>
      </c>
    </row>
    <row r="2706">
      <c r="A2706" s="5" t="str">
        <f t="array" ref="A2706">INDEX(event_table!$A$2:$A$69, RANDBETWEEN(1, COUNTA(event_table!$A$2:$A$69)))</f>
        <v>1114</v>
      </c>
      <c r="B2706" s="6">
        <f t="array" ref="B2706">IFERROR(INDEX(event_table!$E$1:$E3686,MATCH(A2706,event_table!$A$1:$A3686,0)),"")
</f>
        <v>1</v>
      </c>
      <c r="C2706" s="7">
        <f t="shared" si="1"/>
        <v>128</v>
      </c>
      <c r="D2706" s="6" t="str">
        <f t="array" ref="D2706">IFERROR(INDEX(user_table!$C$2:$C3686,MATCH(C2706,user_table!$B$2:$B3686,0)),"")
</f>
        <v>Bambang Utami</v>
      </c>
      <c r="E2706" s="6" t="str">
        <f t="array" ref="E2706">IFERROR(INDEX(user_table!$E$2:$E3686,MATCH(C2706,user_table!$B$2:$B3686,0)),"")
</f>
        <v>3, 6</v>
      </c>
      <c r="F2706" s="6" t="str">
        <f t="shared" si="2"/>
        <v>111411128</v>
      </c>
      <c r="G2706" s="21">
        <v>1.0</v>
      </c>
      <c r="H2706" s="3">
        <v>45269.0</v>
      </c>
      <c r="I2706" s="22" t="s">
        <v>2649</v>
      </c>
    </row>
    <row r="2707">
      <c r="A2707" s="5" t="str">
        <f t="array" ref="A2707">INDEX(event_table!$A$2:$A$69, RANDBETWEEN(1, COUNTA(event_table!$A$2:$A$69)))</f>
        <v>1643</v>
      </c>
      <c r="B2707" s="6">
        <f t="array" ref="B2707">IFERROR(INDEX(event_table!$E$1:$E3686,MATCH(A2707,event_table!$A$1:$A3686,0)),"")
</f>
        <v>6</v>
      </c>
      <c r="C2707" s="7">
        <f t="shared" si="1"/>
        <v>69</v>
      </c>
      <c r="D2707" s="6" t="str">
        <f t="array" ref="D2707">IFERROR(INDEX(user_table!$C$2:$C3686,MATCH(C2707,user_table!$B$2:$B3686,0)),"")
</f>
        <v>Citra Rahayu</v>
      </c>
      <c r="E2707" s="6" t="str">
        <f t="array" ref="E2707">IFERROR(INDEX(user_table!$E$2:$E3686,MATCH(C2707,user_table!$B$2:$B3686,0)),"")
</f>
        <v>5, 5</v>
      </c>
      <c r="F2707" s="6" t="str">
        <f t="shared" si="2"/>
        <v>16431669</v>
      </c>
      <c r="G2707" s="21">
        <v>1.0</v>
      </c>
      <c r="H2707" s="3">
        <v>45261.0</v>
      </c>
      <c r="I2707" s="22" t="s">
        <v>2650</v>
      </c>
    </row>
    <row r="2708">
      <c r="A2708" s="5" t="str">
        <f t="array" ref="A2708">INDEX(event_table!$A$2:$A$69, RANDBETWEEN(1, COUNTA(event_table!$A$2:$A$69)))</f>
        <v>1313</v>
      </c>
      <c r="B2708" s="6">
        <f t="array" ref="B2708">IFERROR(INDEX(event_table!$E$1:$E3686,MATCH(A2708,event_table!$A$1:$A3686,0)),"")
</f>
        <v>3</v>
      </c>
      <c r="C2708" s="7">
        <f t="shared" si="1"/>
        <v>73</v>
      </c>
      <c r="D2708" s="6" t="str">
        <f t="array" ref="D2708">IFERROR(INDEX(user_table!$C$2:$C3686,MATCH(C2708,user_table!$B$2:$B3686,0)),"")
</f>
        <v>Hadi Santoso</v>
      </c>
      <c r="E2708" s="6" t="str">
        <f t="array" ref="E2708">IFERROR(INDEX(user_table!$E$2:$E3686,MATCH(C2708,user_table!$B$2:$B3686,0)),"")
</f>
        <v>6, 3</v>
      </c>
      <c r="F2708" s="6" t="str">
        <f t="shared" si="2"/>
        <v>13131373</v>
      </c>
      <c r="G2708" s="21">
        <v>1.0</v>
      </c>
      <c r="H2708" s="3">
        <v>45244.0</v>
      </c>
      <c r="I2708" s="22" t="s">
        <v>2651</v>
      </c>
    </row>
    <row r="2709">
      <c r="A2709" s="5" t="str">
        <f t="array" ref="A2709">INDEX(event_table!$A$2:$A$69, RANDBETWEEN(1, COUNTA(event_table!$A$2:$A$69)))</f>
        <v>1641</v>
      </c>
      <c r="B2709" s="6">
        <f t="array" ref="B2709">IFERROR(INDEX(event_table!$E$1:$E3686,MATCH(A2709,event_table!$A$1:$A3686,0)),"")
</f>
        <v>6</v>
      </c>
      <c r="C2709" s="7">
        <f t="shared" si="1"/>
        <v>148</v>
      </c>
      <c r="D2709" s="6" t="str">
        <f t="array" ref="D2709">IFERROR(INDEX(user_table!$C$2:$C3686,MATCH(C2709,user_table!$B$2:$B3686,0)),"")
</f>
        <v>Fajar Setiawan</v>
      </c>
      <c r="E2709" s="6" t="str">
        <f t="array" ref="E2709">IFERROR(INDEX(user_table!$E$2:$E3686,MATCH(C2709,user_table!$B$2:$B3686,0)),"")
</f>
        <v>6, 4</v>
      </c>
      <c r="F2709" s="6" t="str">
        <f t="shared" si="2"/>
        <v>164116148</v>
      </c>
      <c r="G2709" s="21">
        <v>1.0</v>
      </c>
      <c r="H2709" s="3">
        <v>45239.0</v>
      </c>
      <c r="I2709" s="22" t="s">
        <v>2652</v>
      </c>
    </row>
    <row r="2710">
      <c r="A2710" s="5" t="str">
        <f t="array" ref="A2710">INDEX(event_table!$A$2:$A$69, RANDBETWEEN(1, COUNTA(event_table!$A$2:$A$69)))</f>
        <v>118</v>
      </c>
      <c r="B2710" s="6">
        <f t="array" ref="B2710">IFERROR(INDEX(event_table!$E$1:$E3686,MATCH(A2710,event_table!$A$1:$A3686,0)),"")
</f>
        <v>1</v>
      </c>
      <c r="C2710" s="7">
        <f t="shared" si="1"/>
        <v>43</v>
      </c>
      <c r="D2710" s="6" t="str">
        <f t="array" ref="D2710">IFERROR(INDEX(user_table!$C$2:$C3686,MATCH(C2710,user_table!$B$2:$B3686,0)),"")
</f>
        <v>Lina Putri</v>
      </c>
      <c r="E2710" s="6" t="str">
        <f t="array" ref="E2710">IFERROR(INDEX(user_table!$E$2:$E3686,MATCH(C2710,user_table!$B$2:$B3686,0)),"")
</f>
        <v>1, 6</v>
      </c>
      <c r="F2710" s="6" t="str">
        <f t="shared" si="2"/>
        <v>1181143</v>
      </c>
      <c r="G2710" s="21">
        <v>1.0</v>
      </c>
      <c r="H2710" s="3">
        <v>45234.0</v>
      </c>
      <c r="I2710" s="22" t="s">
        <v>2653</v>
      </c>
    </row>
    <row r="2711">
      <c r="A2711" s="5" t="str">
        <f t="array" ref="A2711">INDEX(event_table!$A$2:$A$69, RANDBETWEEN(1, COUNTA(event_table!$A$2:$A$69)))</f>
        <v>118</v>
      </c>
      <c r="B2711" s="6">
        <f t="array" ref="B2711">IFERROR(INDEX(event_table!$E$1:$E3686,MATCH(A2711,event_table!$A$1:$A3686,0)),"")
</f>
        <v>1</v>
      </c>
      <c r="C2711" s="7">
        <f t="shared" si="1"/>
        <v>81</v>
      </c>
      <c r="D2711" s="6" t="str">
        <f t="array" ref="D2711">IFERROR(INDEX(user_table!$C$2:$C3686,MATCH(C2711,user_table!$B$2:$B3686,0)),"")
</f>
        <v>Lina Rahayu</v>
      </c>
      <c r="E2711" s="6" t="str">
        <f t="array" ref="E2711">IFERROR(INDEX(user_table!$E$2:$E3686,MATCH(C2711,user_table!$B$2:$B3686,0)),"")
</f>
        <v>2, 1</v>
      </c>
      <c r="F2711" s="6" t="str">
        <f t="shared" si="2"/>
        <v>1181181</v>
      </c>
      <c r="G2711" s="21">
        <v>1.0</v>
      </c>
      <c r="H2711" s="3">
        <v>45211.0</v>
      </c>
      <c r="I2711" s="22" t="s">
        <v>2654</v>
      </c>
    </row>
    <row r="2712">
      <c r="A2712" s="5" t="str">
        <f t="array" ref="A2712">INDEX(event_table!$A$2:$A$69, RANDBETWEEN(1, COUNTA(event_table!$A$2:$A$69)))</f>
        <v>111</v>
      </c>
      <c r="B2712" s="6">
        <f t="array" ref="B2712">IFERROR(INDEX(event_table!$E$1:$E3686,MATCH(A2712,event_table!$A$1:$A3686,0)),"")
</f>
        <v>1</v>
      </c>
      <c r="C2712" s="7">
        <f t="shared" si="1"/>
        <v>142</v>
      </c>
      <c r="D2712" s="6" t="str">
        <f t="array" ref="D2712">IFERROR(INDEX(user_table!$C$2:$C3686,MATCH(C2712,user_table!$B$2:$B3686,0)),"")
</f>
        <v>Siti Rahayu</v>
      </c>
      <c r="E2712" s="6" t="str">
        <f t="array" ref="E2712">IFERROR(INDEX(user_table!$E$2:$E3686,MATCH(C2712,user_table!$B$2:$B3686,0)),"")
</f>
        <v>6, 3</v>
      </c>
      <c r="F2712" s="6" t="str">
        <f t="shared" si="2"/>
        <v>11111142</v>
      </c>
      <c r="G2712" s="21">
        <v>1.0</v>
      </c>
      <c r="H2712" s="3">
        <v>45172.0</v>
      </c>
      <c r="I2712" s="22" t="s">
        <v>2655</v>
      </c>
    </row>
    <row r="2713">
      <c r="A2713" s="5" t="str">
        <f t="array" ref="A2713">INDEX(event_table!$A$2:$A$69, RANDBETWEEN(1, COUNTA(event_table!$A$2:$A$69)))</f>
        <v>1643</v>
      </c>
      <c r="B2713" s="6">
        <f t="array" ref="B2713">IFERROR(INDEX(event_table!$E$1:$E3686,MATCH(A2713,event_table!$A$1:$A3686,0)),"")
</f>
        <v>6</v>
      </c>
      <c r="C2713" s="7">
        <f t="shared" si="1"/>
        <v>43</v>
      </c>
      <c r="D2713" s="6" t="str">
        <f t="array" ref="D2713">IFERROR(INDEX(user_table!$C$2:$C3686,MATCH(C2713,user_table!$B$2:$B3686,0)),"")
</f>
        <v>Lina Putri</v>
      </c>
      <c r="E2713" s="6" t="str">
        <f t="array" ref="E2713">IFERROR(INDEX(user_table!$E$2:$E3686,MATCH(C2713,user_table!$B$2:$B3686,0)),"")
</f>
        <v>1, 6</v>
      </c>
      <c r="F2713" s="6" t="str">
        <f t="shared" si="2"/>
        <v>16431643</v>
      </c>
      <c r="G2713" s="21">
        <v>1.0</v>
      </c>
      <c r="H2713" s="3">
        <v>45143.0</v>
      </c>
      <c r="I2713" s="22" t="s">
        <v>2656</v>
      </c>
    </row>
    <row r="2714">
      <c r="A2714" s="5" t="str">
        <f t="array" ref="A2714">INDEX(event_table!$A$2:$A$69, RANDBETWEEN(1, COUNTA(event_table!$A$2:$A$69)))</f>
        <v>1636</v>
      </c>
      <c r="B2714" s="6">
        <f t="array" ref="B2714">IFERROR(INDEX(event_table!$E$1:$E3686,MATCH(A2714,event_table!$A$1:$A3686,0)),"")
</f>
        <v>6</v>
      </c>
      <c r="C2714" s="7">
        <f t="shared" si="1"/>
        <v>148</v>
      </c>
      <c r="D2714" s="6" t="str">
        <f t="array" ref="D2714">IFERROR(INDEX(user_table!$C$2:$C3686,MATCH(C2714,user_table!$B$2:$B3686,0)),"")
</f>
        <v>Fajar Setiawan</v>
      </c>
      <c r="E2714" s="6" t="str">
        <f t="array" ref="E2714">IFERROR(INDEX(user_table!$E$2:$E3686,MATCH(C2714,user_table!$B$2:$B3686,0)),"")
</f>
        <v>6, 4</v>
      </c>
      <c r="F2714" s="6" t="str">
        <f t="shared" si="2"/>
        <v>163616148</v>
      </c>
      <c r="G2714" s="21">
        <v>1.0</v>
      </c>
      <c r="H2714" s="3">
        <v>45143.0</v>
      </c>
      <c r="I2714" s="22" t="s">
        <v>2657</v>
      </c>
    </row>
    <row r="2715">
      <c r="A2715" s="5" t="str">
        <f t="array" ref="A2715">INDEX(event_table!$A$2:$A$69, RANDBETWEEN(1, COUNTA(event_table!$A$2:$A$69)))</f>
        <v>1335</v>
      </c>
      <c r="B2715" s="6">
        <f t="array" ref="B2715">IFERROR(INDEX(event_table!$E$1:$E3686,MATCH(A2715,event_table!$A$1:$A3686,0)),"")
</f>
        <v>3</v>
      </c>
      <c r="C2715" s="7">
        <f t="shared" si="1"/>
        <v>121</v>
      </c>
      <c r="D2715" s="6" t="str">
        <f t="array" ref="D2715">IFERROR(INDEX(user_table!$C$2:$C3686,MATCH(C2715,user_table!$B$2:$B3686,0)),"")
</f>
        <v>Wahyu Saputra</v>
      </c>
      <c r="E2715" s="6" t="str">
        <f t="array" ref="E2715">IFERROR(INDEX(user_table!$E$2:$E3686,MATCH(C2715,user_table!$B$2:$B3686,0)),"")
</f>
        <v>6, 3</v>
      </c>
      <c r="F2715" s="6" t="str">
        <f t="shared" si="2"/>
        <v>133513121</v>
      </c>
      <c r="G2715" s="21">
        <v>1.0</v>
      </c>
      <c r="H2715" s="3">
        <v>45028.0</v>
      </c>
      <c r="I2715" s="22" t="s">
        <v>2658</v>
      </c>
    </row>
    <row r="2716">
      <c r="A2716" s="5" t="str">
        <f t="array" ref="A2716">INDEX(event_table!$A$2:$A$69, RANDBETWEEN(1, COUNTA(event_table!$A$2:$A$69)))</f>
        <v>1427</v>
      </c>
      <c r="B2716" s="6">
        <f t="array" ref="B2716">IFERROR(INDEX(event_table!$E$1:$E3686,MATCH(A2716,event_table!$A$1:$A3686,0)),"")
</f>
        <v>4</v>
      </c>
      <c r="C2716" s="7">
        <f t="shared" si="1"/>
        <v>124</v>
      </c>
      <c r="D2716" s="6" t="str">
        <f t="array" ref="D2716">IFERROR(INDEX(user_table!$C$2:$C3686,MATCH(C2716,user_table!$B$2:$B3686,0)),"")
</f>
        <v>Fandi Setiawan</v>
      </c>
      <c r="E2716" s="6" t="str">
        <f t="array" ref="E2716">IFERROR(INDEX(user_table!$E$2:$E3686,MATCH(C2716,user_table!$B$2:$B3686,0)),"")
</f>
        <v>5, 4</v>
      </c>
      <c r="F2716" s="6" t="str">
        <f t="shared" si="2"/>
        <v>142754124</v>
      </c>
      <c r="G2716" s="21">
        <v>5.0</v>
      </c>
      <c r="H2716" s="3">
        <v>44739.0</v>
      </c>
      <c r="I2716" s="22" t="s">
        <v>2659</v>
      </c>
    </row>
    <row r="2717">
      <c r="A2717" s="5" t="str">
        <f t="array" ref="A2717">INDEX(event_table!$A$2:$A$69, RANDBETWEEN(1, COUNTA(event_table!$A$2:$A$69)))</f>
        <v>1641</v>
      </c>
      <c r="B2717" s="6">
        <f t="array" ref="B2717">IFERROR(INDEX(event_table!$E$1:$E3686,MATCH(A2717,event_table!$A$1:$A3686,0)),"")
</f>
        <v>6</v>
      </c>
      <c r="C2717" s="7">
        <f t="shared" si="1"/>
        <v>23</v>
      </c>
      <c r="D2717" s="6" t="str">
        <f t="array" ref="D2717">IFERROR(INDEX(user_table!$C$2:$C3686,MATCH(C2717,user_table!$B$2:$B3686,0)),"")
</f>
        <v>Fajar Kusuma</v>
      </c>
      <c r="E2717" s="6" t="str">
        <f t="array" ref="E2717">IFERROR(INDEX(user_table!$E$2:$E3686,MATCH(C2717,user_table!$B$2:$B3686,0)),"")
</f>
        <v>4, 1</v>
      </c>
      <c r="F2717" s="6" t="str">
        <f t="shared" si="2"/>
        <v>16415623</v>
      </c>
      <c r="G2717" s="21">
        <v>5.0</v>
      </c>
      <c r="H2717" s="3">
        <v>44737.0</v>
      </c>
      <c r="I2717" s="22" t="s">
        <v>2660</v>
      </c>
    </row>
    <row r="2718">
      <c r="A2718" s="5" t="str">
        <f t="array" ref="A2718">INDEX(event_table!$A$2:$A$69, RANDBETWEEN(1, COUNTA(event_table!$A$2:$A$69)))</f>
        <v>3454</v>
      </c>
      <c r="B2718" s="6">
        <f t="array" ref="B2718">IFERROR(INDEX(event_table!$E$1:$E3686,MATCH(A2718,event_table!$A$1:$A3686,0)),"")
</f>
        <v>4</v>
      </c>
      <c r="C2718" s="7">
        <f t="shared" si="1"/>
        <v>172</v>
      </c>
      <c r="D2718" s="6" t="str">
        <f t="array" ref="D2718">IFERROR(INDEX(user_table!$C$2:$C3686,MATCH(C2718,user_table!$B$2:$B3686,0)),"")
</f>
        <v>Dian Kurniawan</v>
      </c>
      <c r="E2718" s="6" t="str">
        <f t="array" ref="E2718">IFERROR(INDEX(user_table!$E$2:$E3686,MATCH(C2718,user_table!$B$2:$B3686,0)),"")
</f>
        <v>1, 2</v>
      </c>
      <c r="F2718" s="6" t="str">
        <f t="shared" si="2"/>
        <v>345454172</v>
      </c>
      <c r="G2718" s="21">
        <v>5.0</v>
      </c>
      <c r="H2718" s="3">
        <v>44703.0</v>
      </c>
      <c r="I2718" s="22" t="s">
        <v>2661</v>
      </c>
    </row>
    <row r="2719">
      <c r="A2719" s="5" t="str">
        <f t="array" ref="A2719">INDEX(event_table!$A$2:$A$69, RANDBETWEEN(1, COUNTA(event_table!$A$2:$A$69)))</f>
        <v>1110</v>
      </c>
      <c r="B2719" s="6">
        <f t="array" ref="B2719">IFERROR(INDEX(event_table!$E$1:$E3686,MATCH(A2719,event_table!$A$1:$A3686,0)),"")
</f>
        <v>1</v>
      </c>
      <c r="C2719" s="7">
        <f t="shared" si="1"/>
        <v>199</v>
      </c>
      <c r="D2719" s="6" t="str">
        <f t="array" ref="D2719">IFERROR(INDEX(user_table!$C$2:$C3686,MATCH(C2719,user_table!$B$2:$B3686,0)),"")
</f>
        <v>Rudi Putri</v>
      </c>
      <c r="E2719" s="6" t="str">
        <f t="array" ref="E2719">IFERROR(INDEX(user_table!$E$2:$E3686,MATCH(C2719,user_table!$B$2:$B3686,0)),"")
</f>
        <v>2, 1</v>
      </c>
      <c r="F2719" s="6" t="str">
        <f t="shared" si="2"/>
        <v>111051199</v>
      </c>
      <c r="G2719" s="21">
        <v>5.0</v>
      </c>
      <c r="H2719" s="3">
        <v>44696.0</v>
      </c>
      <c r="I2719" s="22" t="s">
        <v>2662</v>
      </c>
    </row>
    <row r="2720">
      <c r="A2720" s="5" t="str">
        <f t="array" ref="A2720">INDEX(event_table!$A$2:$A$69, RANDBETWEEN(1, COUNTA(event_table!$A$2:$A$69)))</f>
        <v>1422</v>
      </c>
      <c r="B2720" s="6">
        <f t="array" ref="B2720">IFERROR(INDEX(event_table!$E$1:$E3686,MATCH(A2720,event_table!$A$1:$A3686,0)),"")
</f>
        <v>4</v>
      </c>
      <c r="C2720" s="7">
        <f t="shared" si="1"/>
        <v>91</v>
      </c>
      <c r="D2720" s="6" t="str">
        <f t="array" ref="D2720">IFERROR(INDEX(user_table!$C$2:$C3686,MATCH(C2720,user_table!$B$2:$B3686,0)),"")
</f>
        <v>Bambang Wijaya</v>
      </c>
      <c r="E2720" s="6" t="str">
        <f t="array" ref="E2720">IFERROR(INDEX(user_table!$E$2:$E3686,MATCH(C2720,user_table!$B$2:$B3686,0)),"")
</f>
        <v>1, 2</v>
      </c>
      <c r="F2720" s="6" t="str">
        <f t="shared" si="2"/>
        <v>14225491</v>
      </c>
      <c r="G2720" s="21">
        <v>5.0</v>
      </c>
      <c r="H2720" s="3">
        <v>44692.0</v>
      </c>
      <c r="I2720" s="22" t="s">
        <v>2663</v>
      </c>
    </row>
    <row r="2721">
      <c r="A2721" s="5" t="str">
        <f t="array" ref="A2721">INDEX(event_table!$A$2:$A$69, RANDBETWEEN(1, COUNTA(event_table!$A$2:$A$69)))</f>
        <v>1646</v>
      </c>
      <c r="B2721" s="6">
        <f t="array" ref="B2721">IFERROR(INDEX(event_table!$E$1:$E3686,MATCH(A2721,event_table!$A$1:$A3686,0)),"")
</f>
        <v>6</v>
      </c>
      <c r="C2721" s="7">
        <f t="shared" si="1"/>
        <v>173</v>
      </c>
      <c r="D2721" s="6" t="str">
        <f t="array" ref="D2721">IFERROR(INDEX(user_table!$C$2:$C3686,MATCH(C2721,user_table!$B$2:$B3686,0)),"")
</f>
        <v>Fajar Putri</v>
      </c>
      <c r="E2721" s="6" t="str">
        <f t="array" ref="E2721">IFERROR(INDEX(user_table!$E$2:$E3686,MATCH(C2721,user_table!$B$2:$B3686,0)),"")
</f>
        <v>2, 6</v>
      </c>
      <c r="F2721" s="6" t="str">
        <f t="shared" si="2"/>
        <v>164656173</v>
      </c>
      <c r="G2721" s="21">
        <v>5.0</v>
      </c>
      <c r="H2721" s="3">
        <v>44688.0</v>
      </c>
      <c r="I2721" s="22" t="s">
        <v>2664</v>
      </c>
    </row>
    <row r="2722">
      <c r="A2722" s="5" t="str">
        <f t="array" ref="A2722">INDEX(event_table!$A$2:$A$69, RANDBETWEEN(1, COUNTA(event_table!$A$2:$A$69)))</f>
        <v>1425</v>
      </c>
      <c r="B2722" s="6">
        <f t="array" ref="B2722">IFERROR(INDEX(event_table!$E$1:$E3686,MATCH(A2722,event_table!$A$1:$A3686,0)),"")
</f>
        <v>4</v>
      </c>
      <c r="C2722" s="7">
        <f t="shared" si="1"/>
        <v>78</v>
      </c>
      <c r="D2722" s="6" t="str">
        <f t="array" ref="D2722">IFERROR(INDEX(user_table!$C$2:$C3686,MATCH(C2722,user_table!$B$2:$B3686,0)),"")
</f>
        <v>Fandi Putri</v>
      </c>
      <c r="E2722" s="6" t="str">
        <f t="array" ref="E2722">IFERROR(INDEX(user_table!$E$2:$E3686,MATCH(C2722,user_table!$B$2:$B3686,0)),"")
</f>
        <v>3, 3</v>
      </c>
      <c r="F2722" s="6" t="str">
        <f t="shared" si="2"/>
        <v>14255478</v>
      </c>
      <c r="G2722" s="21">
        <v>5.0</v>
      </c>
      <c r="H2722" s="3">
        <v>44686.0</v>
      </c>
      <c r="I2722" s="22" t="s">
        <v>2665</v>
      </c>
    </row>
    <row r="2723">
      <c r="A2723" s="5" t="str">
        <f t="array" ref="A2723">INDEX(event_table!$A$2:$A$69, RANDBETWEEN(1, COUNTA(event_table!$A$2:$A$69)))</f>
        <v>3162</v>
      </c>
      <c r="B2723" s="6">
        <f t="array" ref="B2723">IFERROR(INDEX(event_table!$E$1:$E3686,MATCH(A2723,event_table!$A$1:$A3686,0)),"")
</f>
        <v>1</v>
      </c>
      <c r="C2723" s="7">
        <f t="shared" si="1"/>
        <v>131</v>
      </c>
      <c r="D2723" s="6" t="str">
        <f t="array" ref="D2723">IFERROR(INDEX(user_table!$C$2:$C3686,MATCH(C2723,user_table!$B$2:$B3686,0)),"")
</f>
        <v>Dian Purnama</v>
      </c>
      <c r="E2723" s="6" t="str">
        <f t="array" ref="E2723">IFERROR(INDEX(user_table!$E$2:$E3686,MATCH(C2723,user_table!$B$2:$B3686,0)),"")
</f>
        <v>3, 5</v>
      </c>
      <c r="F2723" s="6" t="str">
        <f t="shared" si="2"/>
        <v>316251131</v>
      </c>
      <c r="G2723" s="21">
        <v>5.0</v>
      </c>
      <c r="H2723" s="3">
        <v>44925.0</v>
      </c>
      <c r="I2723" s="23" t="str">
        <f>+ Cocok utk keluarga + Ada nursery room yg bersih dan cukup nyaman + Ada restoran tp makanan standar - kolam touch pool tidak available - pemberian makan piranha kurang seru karena ikan-ikannya spt tidak lapar, umpan yg diberikan tidak diserbu</f>
        <v>#ERROR!</v>
      </c>
    </row>
    <row r="2724">
      <c r="A2724" s="5" t="str">
        <f t="array" ref="A2724">INDEX(event_table!$A$2:$A$69, RANDBETWEEN(1, COUNTA(event_table!$A$2:$A$69)))</f>
        <v>118</v>
      </c>
      <c r="B2724" s="6">
        <f t="array" ref="B2724">IFERROR(INDEX(event_table!$E$1:$E3686,MATCH(A2724,event_table!$A$1:$A3686,0)),"")
</f>
        <v>1</v>
      </c>
      <c r="C2724" s="7">
        <f t="shared" si="1"/>
        <v>82</v>
      </c>
      <c r="D2724" s="6" t="str">
        <f t="array" ref="D2724">IFERROR(INDEX(user_table!$C$2:$C3686,MATCH(C2724,user_table!$B$2:$B3686,0)),"")
</f>
        <v>Fandi Nurhayati</v>
      </c>
      <c r="E2724" s="6" t="str">
        <f t="array" ref="E2724">IFERROR(INDEX(user_table!$E$2:$E3686,MATCH(C2724,user_table!$B$2:$B3686,0)),"")
</f>
        <v>3, 2</v>
      </c>
      <c r="F2724" s="6" t="str">
        <f t="shared" si="2"/>
        <v>1185182</v>
      </c>
      <c r="G2724" s="21">
        <v>5.0</v>
      </c>
      <c r="H2724" s="3">
        <v>44900.0</v>
      </c>
      <c r="I2724" s="22" t="s">
        <v>1823</v>
      </c>
    </row>
    <row r="2725">
      <c r="A2725" s="5" t="str">
        <f t="array" ref="A2725">INDEX(event_table!$A$2:$A$69, RANDBETWEEN(1, COUNTA(event_table!$A$2:$A$69)))</f>
        <v>1420</v>
      </c>
      <c r="B2725" s="6">
        <f t="array" ref="B2725">IFERROR(INDEX(event_table!$E$1:$E3686,MATCH(A2725,event_table!$A$1:$A3686,0)),"")
</f>
        <v>4</v>
      </c>
      <c r="C2725" s="7">
        <f t="shared" si="1"/>
        <v>122</v>
      </c>
      <c r="D2725" s="6" t="str">
        <f t="array" ref="D2725">IFERROR(INDEX(user_table!$C$2:$C3686,MATCH(C2725,user_table!$B$2:$B3686,0)),"")
</f>
        <v>Maya Setiawan</v>
      </c>
      <c r="E2725" s="6" t="str">
        <f t="array" ref="E2725">IFERROR(INDEX(user_table!$E$2:$E3686,MATCH(C2725,user_table!$B$2:$B3686,0)),"")
</f>
        <v>2, 3</v>
      </c>
      <c r="F2725" s="6" t="str">
        <f t="shared" si="2"/>
        <v>142054122</v>
      </c>
      <c r="G2725" s="21">
        <v>5.0</v>
      </c>
      <c r="H2725" s="3">
        <v>44871.0</v>
      </c>
      <c r="I2725" s="22" t="s">
        <v>2666</v>
      </c>
    </row>
    <row r="2726">
      <c r="A2726" s="5" t="str">
        <f t="array" ref="A2726">INDEX(event_table!$A$2:$A$69, RANDBETWEEN(1, COUNTA(event_table!$A$2:$A$69)))</f>
        <v>1416</v>
      </c>
      <c r="B2726" s="6">
        <f t="array" ref="B2726">IFERROR(INDEX(event_table!$E$1:$E3686,MATCH(A2726,event_table!$A$1:$A3686,0)),"")
</f>
        <v>4</v>
      </c>
      <c r="C2726" s="7">
        <f t="shared" si="1"/>
        <v>96</v>
      </c>
      <c r="D2726" s="6" t="str">
        <f t="array" ref="D2726">IFERROR(INDEX(user_table!$C$2:$C3686,MATCH(C2726,user_table!$B$2:$B3686,0)),"")
</f>
        <v>Budi Sari</v>
      </c>
      <c r="E2726" s="6" t="str">
        <f t="array" ref="E2726">IFERROR(INDEX(user_table!$E$2:$E3686,MATCH(C2726,user_table!$B$2:$B3686,0)),"")
</f>
        <v>3, 2</v>
      </c>
      <c r="F2726" s="6" t="str">
        <f t="shared" si="2"/>
        <v>14165496</v>
      </c>
      <c r="G2726" s="21">
        <v>5.0</v>
      </c>
      <c r="H2726" s="3">
        <v>44848.0</v>
      </c>
      <c r="I2726" s="22" t="s">
        <v>2667</v>
      </c>
    </row>
    <row r="2727">
      <c r="A2727" s="5" t="str">
        <f t="array" ref="A2727">INDEX(event_table!$A$2:$A$69, RANDBETWEEN(1, COUNTA(event_table!$A$2:$A$69)))</f>
        <v>1645</v>
      </c>
      <c r="B2727" s="6">
        <f t="array" ref="B2727">IFERROR(INDEX(event_table!$E$1:$E3686,MATCH(A2727,event_table!$A$1:$A3686,0)),"")
</f>
        <v>6</v>
      </c>
      <c r="C2727" s="7">
        <f t="shared" si="1"/>
        <v>48</v>
      </c>
      <c r="D2727" s="6" t="str">
        <f t="array" ref="D2727">IFERROR(INDEX(user_table!$C$2:$C3686,MATCH(C2727,user_table!$B$2:$B3686,0)),"")
</f>
        <v>Maya Kusuma</v>
      </c>
      <c r="E2727" s="6" t="str">
        <f t="array" ref="E2727">IFERROR(INDEX(user_table!$E$2:$E3686,MATCH(C2727,user_table!$B$2:$B3686,0)),"")
</f>
        <v>2, 3</v>
      </c>
      <c r="F2727" s="6" t="str">
        <f t="shared" si="2"/>
        <v>16455648</v>
      </c>
      <c r="G2727" s="21">
        <v>5.0</v>
      </c>
      <c r="H2727" s="3">
        <v>44689.0</v>
      </c>
      <c r="I2727" s="22" t="s">
        <v>2668</v>
      </c>
    </row>
    <row r="2728">
      <c r="A2728" s="5" t="str">
        <f t="array" ref="A2728">INDEX(event_table!$A$2:$A$69, RANDBETWEEN(1, COUNTA(event_table!$A$2:$A$69)))</f>
        <v>3659</v>
      </c>
      <c r="B2728" s="6">
        <f t="array" ref="B2728">IFERROR(INDEX(event_table!$E$1:$E3686,MATCH(A2728,event_table!$A$1:$A3686,0)),"")
</f>
        <v>6</v>
      </c>
      <c r="C2728" s="7">
        <f t="shared" si="1"/>
        <v>59</v>
      </c>
      <c r="D2728" s="6" t="str">
        <f t="array" ref="D2728">IFERROR(INDEX(user_table!$C$2:$C3686,MATCH(C2728,user_table!$B$2:$B3686,0)),"")
</f>
        <v>Siti Rahayu</v>
      </c>
      <c r="E2728" s="6" t="str">
        <f t="array" ref="E2728">IFERROR(INDEX(user_table!$E$2:$E3686,MATCH(C2728,user_table!$B$2:$B3686,0)),"")
</f>
        <v>3, 5</v>
      </c>
      <c r="F2728" s="6" t="str">
        <f t="shared" si="2"/>
        <v>36594659</v>
      </c>
      <c r="G2728" s="21">
        <v>4.0</v>
      </c>
      <c r="H2728" s="3">
        <v>45109.0</v>
      </c>
      <c r="I2728" s="22" t="s">
        <v>2669</v>
      </c>
    </row>
    <row r="2729">
      <c r="A2729" s="5" t="str">
        <f t="array" ref="A2729">INDEX(event_table!$A$2:$A$69, RANDBETWEEN(1, COUNTA(event_table!$A$2:$A$69)))</f>
        <v>1530</v>
      </c>
      <c r="B2729" s="6">
        <f t="array" ref="B2729">IFERROR(INDEX(event_table!$E$1:$E3686,MATCH(A2729,event_table!$A$1:$A3686,0)),"")
</f>
        <v>5</v>
      </c>
      <c r="C2729" s="7">
        <f t="shared" si="1"/>
        <v>126</v>
      </c>
      <c r="D2729" s="6" t="str">
        <f t="array" ref="D2729">IFERROR(INDEX(user_table!$C$2:$C3686,MATCH(C2729,user_table!$B$2:$B3686,0)),"")
</f>
        <v>Agus Santoso</v>
      </c>
      <c r="E2729" s="6" t="str">
        <f t="array" ref="E2729">IFERROR(INDEX(user_table!$E$2:$E3686,MATCH(C2729,user_table!$B$2:$B3686,0)),"")
</f>
        <v>3, 6</v>
      </c>
      <c r="F2729" s="6" t="str">
        <f t="shared" si="2"/>
        <v>153045126</v>
      </c>
      <c r="G2729" s="21">
        <v>4.0</v>
      </c>
      <c r="H2729" s="3">
        <v>44893.0</v>
      </c>
      <c r="I2729" s="22" t="s">
        <v>2670</v>
      </c>
    </row>
    <row r="2730">
      <c r="A2730" s="5" t="str">
        <f t="array" ref="A2730">INDEX(event_table!$A$2:$A$69, RANDBETWEEN(1, COUNTA(event_table!$A$2:$A$69)))</f>
        <v>1646</v>
      </c>
      <c r="B2730" s="6">
        <f t="array" ref="B2730">IFERROR(INDEX(event_table!$E$1:$E3686,MATCH(A2730,event_table!$A$1:$A3686,0)),"")
</f>
        <v>6</v>
      </c>
      <c r="C2730" s="7">
        <f t="shared" si="1"/>
        <v>138</v>
      </c>
      <c r="D2730" s="6" t="str">
        <f t="array" ref="D2730">IFERROR(INDEX(user_table!$C$2:$C3686,MATCH(C2730,user_table!$B$2:$B3686,0)),"")
</f>
        <v>Joko Hermawan</v>
      </c>
      <c r="E2730" s="6" t="str">
        <f t="array" ref="E2730">IFERROR(INDEX(user_table!$E$2:$E3686,MATCH(C2730,user_table!$B$2:$B3686,0)),"")
</f>
        <v>4, 1</v>
      </c>
      <c r="F2730" s="6" t="str">
        <f t="shared" si="2"/>
        <v>164646138</v>
      </c>
      <c r="G2730" s="21">
        <v>4.0</v>
      </c>
      <c r="H2730" s="3">
        <v>45003.0</v>
      </c>
      <c r="I2730" s="22" t="s">
        <v>2671</v>
      </c>
    </row>
    <row r="2731">
      <c r="A2731" s="5" t="str">
        <f t="array" ref="A2731">INDEX(event_table!$A$2:$A$69, RANDBETWEEN(1, COUNTA(event_table!$A$2:$A$69)))</f>
        <v>1334</v>
      </c>
      <c r="B2731" s="6">
        <f t="array" ref="B2731">IFERROR(INDEX(event_table!$E$1:$E3686,MATCH(A2731,event_table!$A$1:$A3686,0)),"")
</f>
        <v>3</v>
      </c>
      <c r="C2731" s="7">
        <f t="shared" si="1"/>
        <v>185</v>
      </c>
      <c r="D2731" s="6" t="str">
        <f t="array" ref="D2731">IFERROR(INDEX(user_table!$C$2:$C3686,MATCH(C2731,user_table!$B$2:$B3686,0)),"")
</f>
        <v>Budi Wijaya</v>
      </c>
      <c r="E2731" s="6" t="str">
        <f t="array" ref="E2731">IFERROR(INDEX(user_table!$E$2:$E3686,MATCH(C2731,user_table!$B$2:$B3686,0)),"")
</f>
        <v>6, 3</v>
      </c>
      <c r="F2731" s="6" t="str">
        <f t="shared" si="2"/>
        <v>133443185</v>
      </c>
      <c r="G2731" s="21">
        <v>4.0</v>
      </c>
      <c r="H2731" s="3">
        <v>44857.0</v>
      </c>
      <c r="I2731" s="22" t="s">
        <v>2672</v>
      </c>
    </row>
    <row r="2732">
      <c r="A2732" s="5" t="str">
        <f t="array" ref="A2732">INDEX(event_table!$A$2:$A$69, RANDBETWEEN(1, COUNTA(event_table!$A$2:$A$69)))</f>
        <v>1643</v>
      </c>
      <c r="B2732" s="6">
        <f t="array" ref="B2732">IFERROR(INDEX(event_table!$E$1:$E3686,MATCH(A2732,event_table!$A$1:$A3686,0)),"")
</f>
        <v>6</v>
      </c>
      <c r="C2732" s="7">
        <f t="shared" si="1"/>
        <v>93</v>
      </c>
      <c r="D2732" s="6" t="str">
        <f t="array" ref="D2732">IFERROR(INDEX(user_table!$C$2:$C3686,MATCH(C2732,user_table!$B$2:$B3686,0)),"")
</f>
        <v>Hadi Putri</v>
      </c>
      <c r="E2732" s="6" t="str">
        <f t="array" ref="E2732">IFERROR(INDEX(user_table!$E$2:$E3686,MATCH(C2732,user_table!$B$2:$B3686,0)),"")
</f>
        <v>5, 6</v>
      </c>
      <c r="F2732" s="6" t="str">
        <f t="shared" si="2"/>
        <v>16434693</v>
      </c>
      <c r="G2732" s="21">
        <v>4.0</v>
      </c>
      <c r="H2732" s="3">
        <v>45049.0</v>
      </c>
      <c r="I2732" s="22" t="s">
        <v>2673</v>
      </c>
    </row>
    <row r="2733">
      <c r="A2733" s="5" t="str">
        <f t="array" ref="A2733">INDEX(event_table!$A$2:$A$69, RANDBETWEEN(1, COUNTA(event_table!$A$2:$A$69)))</f>
        <v>1111</v>
      </c>
      <c r="B2733" s="6">
        <f t="array" ref="B2733">IFERROR(INDEX(event_table!$E$1:$E3686,MATCH(A2733,event_table!$A$1:$A3686,0)),"")
</f>
        <v>1</v>
      </c>
      <c r="C2733" s="7">
        <f t="shared" si="1"/>
        <v>128</v>
      </c>
      <c r="D2733" s="6" t="str">
        <f t="array" ref="D2733">IFERROR(INDEX(user_table!$C$2:$C3686,MATCH(C2733,user_table!$B$2:$B3686,0)),"")
</f>
        <v>Bambang Utami</v>
      </c>
      <c r="E2733" s="6" t="str">
        <f t="array" ref="E2733">IFERROR(INDEX(user_table!$E$2:$E3686,MATCH(C2733,user_table!$B$2:$B3686,0)),"")
</f>
        <v>3, 6</v>
      </c>
      <c r="F2733" s="6" t="str">
        <f t="shared" si="2"/>
        <v>111141128</v>
      </c>
      <c r="G2733" s="21">
        <v>4.0</v>
      </c>
      <c r="H2733" s="3">
        <v>44738.0</v>
      </c>
      <c r="I2733" s="22" t="s">
        <v>2674</v>
      </c>
    </row>
    <row r="2734">
      <c r="A2734" s="5" t="str">
        <f t="array" ref="A2734">INDEX(event_table!$A$2:$A$69, RANDBETWEEN(1, COUNTA(event_table!$A$2:$A$69)))</f>
        <v>1528</v>
      </c>
      <c r="B2734" s="6">
        <f t="array" ref="B2734">IFERROR(INDEX(event_table!$E$1:$E3686,MATCH(A2734,event_table!$A$1:$A3686,0)),"")
</f>
        <v>5</v>
      </c>
      <c r="C2734" s="7">
        <f t="shared" si="1"/>
        <v>7</v>
      </c>
      <c r="D2734" s="6" t="str">
        <f t="array" ref="D2734">IFERROR(INDEX(user_table!$C$2:$C3686,MATCH(C2734,user_table!$B$2:$B3686,0)),"")
</f>
        <v>Maya Sari</v>
      </c>
      <c r="E2734" s="6" t="str">
        <f t="array" ref="E2734">IFERROR(INDEX(user_table!$E$2:$E3686,MATCH(C2734,user_table!$B$2:$B3686,0)),"")
</f>
        <v>5, 2</v>
      </c>
      <c r="F2734" s="6" t="str">
        <f t="shared" si="2"/>
        <v>1528457</v>
      </c>
      <c r="G2734" s="21">
        <v>4.0</v>
      </c>
      <c r="H2734" s="3">
        <v>44681.0</v>
      </c>
      <c r="I2734" s="22" t="s">
        <v>2675</v>
      </c>
    </row>
    <row r="2735">
      <c r="A2735" s="5" t="str">
        <f t="array" ref="A2735">INDEX(event_table!$A$2:$A$69, RANDBETWEEN(1, COUNTA(event_table!$A$2:$A$69)))</f>
        <v>3455</v>
      </c>
      <c r="B2735" s="6">
        <f t="array" ref="B2735">IFERROR(INDEX(event_table!$E$1:$E3686,MATCH(A2735,event_table!$A$1:$A3686,0)),"")
</f>
        <v>4</v>
      </c>
      <c r="C2735" s="7">
        <f t="shared" si="1"/>
        <v>176</v>
      </c>
      <c r="D2735" s="6" t="str">
        <f t="array" ref="D2735">IFERROR(INDEX(user_table!$C$2:$C3686,MATCH(C2735,user_table!$B$2:$B3686,0)),"")
</f>
        <v>Ani Hartono</v>
      </c>
      <c r="E2735" s="6" t="str">
        <f t="array" ref="E2735">IFERROR(INDEX(user_table!$E$2:$E3686,MATCH(C2735,user_table!$B$2:$B3686,0)),"")
</f>
        <v>2, 3</v>
      </c>
      <c r="F2735" s="6" t="str">
        <f t="shared" si="2"/>
        <v>345544176</v>
      </c>
      <c r="G2735" s="21">
        <v>4.0</v>
      </c>
      <c r="H2735" s="3">
        <v>44955.0</v>
      </c>
      <c r="I2735" s="22" t="s">
        <v>2676</v>
      </c>
    </row>
    <row r="2736">
      <c r="A2736" s="5" t="str">
        <f t="array" ref="A2736">INDEX(event_table!$A$2:$A$69, RANDBETWEEN(1, COUNTA(event_table!$A$2:$A$69)))</f>
        <v>1641</v>
      </c>
      <c r="B2736" s="6">
        <f t="array" ref="B2736">IFERROR(INDEX(event_table!$E$1:$E3686,MATCH(A2736,event_table!$A$1:$A3686,0)),"")
</f>
        <v>6</v>
      </c>
      <c r="C2736" s="7">
        <f t="shared" si="1"/>
        <v>178</v>
      </c>
      <c r="D2736" s="6" t="str">
        <f t="array" ref="D2736">IFERROR(INDEX(user_table!$C$2:$C3686,MATCH(C2736,user_table!$B$2:$B3686,0)),"")
</f>
        <v>Dewi Hidayat</v>
      </c>
      <c r="E2736" s="6" t="str">
        <f t="array" ref="E2736">IFERROR(INDEX(user_table!$E$2:$E3686,MATCH(C2736,user_table!$B$2:$B3686,0)),"")
</f>
        <v>3, 2</v>
      </c>
      <c r="F2736" s="6" t="str">
        <f t="shared" si="2"/>
        <v>164146178</v>
      </c>
      <c r="G2736" s="21">
        <v>4.0</v>
      </c>
      <c r="H2736" s="3">
        <v>44928.0</v>
      </c>
      <c r="I2736" s="22" t="s">
        <v>2677</v>
      </c>
    </row>
    <row r="2737">
      <c r="A2737" s="5" t="str">
        <f t="array" ref="A2737">INDEX(event_table!$A$2:$A$69, RANDBETWEEN(1, COUNTA(event_table!$A$2:$A$69)))</f>
        <v>1529</v>
      </c>
      <c r="B2737" s="6">
        <f t="array" ref="B2737">IFERROR(INDEX(event_table!$E$1:$E3686,MATCH(A2737,event_table!$A$1:$A3686,0)),"")
</f>
        <v>5</v>
      </c>
      <c r="C2737" s="7">
        <f t="shared" si="1"/>
        <v>73</v>
      </c>
      <c r="D2737" s="6" t="str">
        <f t="array" ref="D2737">IFERROR(INDEX(user_table!$C$2:$C3686,MATCH(C2737,user_table!$B$2:$B3686,0)),"")
</f>
        <v>Hadi Santoso</v>
      </c>
      <c r="E2737" s="6" t="str">
        <f t="array" ref="E2737">IFERROR(INDEX(user_table!$E$2:$E3686,MATCH(C2737,user_table!$B$2:$B3686,0)),"")
</f>
        <v>6, 3</v>
      </c>
      <c r="F2737" s="6" t="str">
        <f t="shared" si="2"/>
        <v>15294573</v>
      </c>
      <c r="G2737" s="21">
        <v>4.0</v>
      </c>
      <c r="H2737" s="3">
        <v>44879.0</v>
      </c>
      <c r="I2737" s="22" t="s">
        <v>2678</v>
      </c>
    </row>
    <row r="2738">
      <c r="A2738" s="5" t="str">
        <f t="array" ref="A2738">INDEX(event_table!$A$2:$A$69, RANDBETWEEN(1, COUNTA(event_table!$A$2:$A$69)))</f>
        <v>1425</v>
      </c>
      <c r="B2738" s="6">
        <f t="array" ref="B2738">IFERROR(INDEX(event_table!$E$1:$E3686,MATCH(A2738,event_table!$A$1:$A3686,0)),"")
</f>
        <v>4</v>
      </c>
      <c r="C2738" s="7">
        <f t="shared" si="1"/>
        <v>58</v>
      </c>
      <c r="D2738" s="6" t="str">
        <f t="array" ref="D2738">IFERROR(INDEX(user_table!$C$2:$C3686,MATCH(C2738,user_table!$B$2:$B3686,0)),"")
</f>
        <v>Joko Septiani</v>
      </c>
      <c r="E2738" s="6" t="str">
        <f t="array" ref="E2738">IFERROR(INDEX(user_table!$E$2:$E3686,MATCH(C2738,user_table!$B$2:$B3686,0)),"")
</f>
        <v>2, 5</v>
      </c>
      <c r="F2738" s="6" t="str">
        <f t="shared" si="2"/>
        <v>14254458</v>
      </c>
      <c r="G2738" s="21">
        <v>4.0</v>
      </c>
      <c r="H2738" s="3">
        <v>44795.0</v>
      </c>
      <c r="I2738" s="22" t="s">
        <v>2679</v>
      </c>
    </row>
    <row r="2739">
      <c r="A2739" s="5" t="str">
        <f t="array" ref="A2739">INDEX(event_table!$A$2:$A$69, RANDBETWEEN(1, COUNTA(event_table!$A$2:$A$69)))</f>
        <v>3170</v>
      </c>
      <c r="B2739" s="6">
        <f t="array" ref="B2739">IFERROR(INDEX(event_table!$E$1:$E3686,MATCH(A2739,event_table!$A$1:$A3686,0)),"")
</f>
        <v>1</v>
      </c>
      <c r="C2739" s="7">
        <f t="shared" si="1"/>
        <v>28</v>
      </c>
      <c r="D2739" s="6" t="str">
        <f t="array" ref="D2739">IFERROR(INDEX(user_table!$C$2:$C3686,MATCH(C2739,user_table!$B$2:$B3686,0)),"")
</f>
        <v>Fandi Putri</v>
      </c>
      <c r="E2739" s="6" t="str">
        <f t="array" ref="E2739">IFERROR(INDEX(user_table!$E$2:$E3686,MATCH(C2739,user_table!$B$2:$B3686,0)),"")
</f>
        <v>5, 1</v>
      </c>
      <c r="F2739" s="6" t="str">
        <f t="shared" si="2"/>
        <v>31704128</v>
      </c>
      <c r="G2739" s="21">
        <v>4.0</v>
      </c>
      <c r="H2739" s="3">
        <v>44741.0</v>
      </c>
      <c r="I2739" s="22" t="s">
        <v>2680</v>
      </c>
    </row>
    <row r="2740">
      <c r="A2740" s="5" t="str">
        <f t="array" ref="A2740">INDEX(event_table!$A$2:$A$69, RANDBETWEEN(1, COUNTA(event_table!$A$2:$A$69)))</f>
        <v>1110</v>
      </c>
      <c r="B2740" s="6">
        <f t="array" ref="B2740">IFERROR(INDEX(event_table!$E$1:$E3686,MATCH(A2740,event_table!$A$1:$A3686,0)),"")
</f>
        <v>1</v>
      </c>
      <c r="C2740" s="7">
        <f t="shared" si="1"/>
        <v>143</v>
      </c>
      <c r="D2740" s="6" t="str">
        <f t="array" ref="D2740">IFERROR(INDEX(user_table!$C$2:$C3686,MATCH(C2740,user_table!$B$2:$B3686,0)),"")
</f>
        <v>Agus Putri</v>
      </c>
      <c r="E2740" s="6" t="str">
        <f t="array" ref="E2740">IFERROR(INDEX(user_table!$E$2:$E3686,MATCH(C2740,user_table!$B$2:$B3686,0)),"")
</f>
        <v>3, 3</v>
      </c>
      <c r="F2740" s="6" t="str">
        <f t="shared" si="2"/>
        <v>111041143</v>
      </c>
      <c r="G2740" s="21">
        <v>4.0</v>
      </c>
      <c r="H2740" s="3">
        <v>44682.0</v>
      </c>
      <c r="I2740" s="22" t="s">
        <v>2681</v>
      </c>
    </row>
    <row r="2741">
      <c r="A2741" s="5" t="str">
        <f t="array" ref="A2741">INDEX(event_table!$A$2:$A$69, RANDBETWEEN(1, COUNTA(event_table!$A$2:$A$69)))</f>
        <v>1110</v>
      </c>
      <c r="B2741" s="6">
        <f t="array" ref="B2741">IFERROR(INDEX(event_table!$E$1:$E3686,MATCH(A2741,event_table!$A$1:$A3686,0)),"")
</f>
        <v>1</v>
      </c>
      <c r="C2741" s="7">
        <f t="shared" si="1"/>
        <v>80</v>
      </c>
      <c r="D2741" s="6" t="str">
        <f t="array" ref="D2741">IFERROR(INDEX(user_table!$C$2:$C3686,MATCH(C2741,user_table!$B$2:$B3686,0)),"")
</f>
        <v>Sinta Susanto</v>
      </c>
      <c r="E2741" s="6" t="str">
        <f t="array" ref="E2741">IFERROR(INDEX(user_table!$E$2:$E3686,MATCH(C2741,user_table!$B$2:$B3686,0)),"")
</f>
        <v>5, 2</v>
      </c>
      <c r="F2741" s="6" t="str">
        <f t="shared" si="2"/>
        <v>11103180</v>
      </c>
      <c r="G2741" s="21">
        <v>3.0</v>
      </c>
      <c r="H2741" s="3">
        <v>44904.0</v>
      </c>
      <c r="I2741" s="22" t="s">
        <v>2682</v>
      </c>
    </row>
    <row r="2742">
      <c r="A2742" s="5" t="str">
        <f t="array" ref="A2742">INDEX(event_table!$A$2:$A$69, RANDBETWEEN(1, COUNTA(event_table!$A$2:$A$69)))</f>
        <v>113</v>
      </c>
      <c r="B2742" s="6">
        <f t="array" ref="B2742">IFERROR(INDEX(event_table!$E$1:$E3686,MATCH(A2742,event_table!$A$1:$A3686,0)),"")
</f>
        <v>1</v>
      </c>
      <c r="C2742" s="7">
        <f t="shared" si="1"/>
        <v>144</v>
      </c>
      <c r="D2742" s="6" t="str">
        <f t="array" ref="D2742">IFERROR(INDEX(user_table!$C$2:$C3686,MATCH(C2742,user_table!$B$2:$B3686,0)),"")
</f>
        <v>Sinta Rahayu</v>
      </c>
      <c r="E2742" s="6" t="str">
        <f t="array" ref="E2742">IFERROR(INDEX(user_table!$E$2:$E3686,MATCH(C2742,user_table!$B$2:$B3686,0)),"")
</f>
        <v>6, 3</v>
      </c>
      <c r="F2742" s="6" t="str">
        <f t="shared" si="2"/>
        <v>11331144</v>
      </c>
      <c r="G2742" s="21">
        <v>3.0</v>
      </c>
      <c r="H2742" s="3">
        <v>45256.0</v>
      </c>
      <c r="I2742" s="22" t="s">
        <v>2683</v>
      </c>
    </row>
    <row r="2743">
      <c r="A2743" s="5" t="str">
        <f t="array" ref="A2743">INDEX(event_table!$A$2:$A$69, RANDBETWEEN(1, COUNTA(event_table!$A$2:$A$69)))</f>
        <v>1334</v>
      </c>
      <c r="B2743" s="6">
        <f t="array" ref="B2743">IFERROR(INDEX(event_table!$E$1:$E3686,MATCH(A2743,event_table!$A$1:$A3686,0)),"")
</f>
        <v>3</v>
      </c>
      <c r="C2743" s="7">
        <f t="shared" si="1"/>
        <v>104</v>
      </c>
      <c r="D2743" s="6" t="str">
        <f t="array" ref="D2743">IFERROR(INDEX(user_table!$C$2:$C3686,MATCH(C2743,user_table!$B$2:$B3686,0)),"")
</f>
        <v>Fajar Utami</v>
      </c>
      <c r="E2743" s="6" t="str">
        <f t="array" ref="E2743">IFERROR(INDEX(user_table!$E$2:$E3686,MATCH(C2743,user_table!$B$2:$B3686,0)),"")
</f>
        <v>2, 5</v>
      </c>
      <c r="F2743" s="6" t="str">
        <f t="shared" si="2"/>
        <v>133433104</v>
      </c>
      <c r="G2743" s="21">
        <v>3.0</v>
      </c>
      <c r="H2743" s="3">
        <v>45139.0</v>
      </c>
      <c r="I2743" s="22" t="s">
        <v>2684</v>
      </c>
    </row>
    <row r="2744">
      <c r="A2744" s="5" t="str">
        <f t="array" ref="A2744">INDEX(event_table!$A$2:$A$69, RANDBETWEEN(1, COUNTA(event_table!$A$2:$A$69)))</f>
        <v>1637</v>
      </c>
      <c r="B2744" s="6">
        <f t="array" ref="B2744">IFERROR(INDEX(event_table!$E$1:$E3686,MATCH(A2744,event_table!$A$1:$A3686,0)),"")
</f>
        <v>6</v>
      </c>
      <c r="C2744" s="7">
        <f t="shared" si="1"/>
        <v>37</v>
      </c>
      <c r="D2744" s="6" t="str">
        <f t="array" ref="D2744">IFERROR(INDEX(user_table!$C$2:$C3686,MATCH(C2744,user_table!$B$2:$B3686,0)),"")
</f>
        <v>Lina Susanto</v>
      </c>
      <c r="E2744" s="6" t="str">
        <f t="array" ref="E2744">IFERROR(INDEX(user_table!$E$2:$E3686,MATCH(C2744,user_table!$B$2:$B3686,0)),"")
</f>
        <v>2, 2</v>
      </c>
      <c r="F2744" s="6" t="str">
        <f t="shared" si="2"/>
        <v>16372637</v>
      </c>
      <c r="G2744" s="21">
        <v>2.0</v>
      </c>
      <c r="H2744" s="3">
        <v>45016.0</v>
      </c>
      <c r="I2744" s="22" t="s">
        <v>2685</v>
      </c>
    </row>
    <row r="2745">
      <c r="A2745" s="5" t="str">
        <f t="array" ref="A2745">INDEX(event_table!$A$2:$A$69, RANDBETWEEN(1, COUNTA(event_table!$A$2:$A$69)))</f>
        <v>1638</v>
      </c>
      <c r="B2745" s="6">
        <f t="array" ref="B2745">IFERROR(INDEX(event_table!$E$1:$E3686,MATCH(A2745,event_table!$A$1:$A3686,0)),"")
</f>
        <v>6</v>
      </c>
      <c r="C2745" s="7">
        <f t="shared" si="1"/>
        <v>32</v>
      </c>
      <c r="D2745" s="6" t="str">
        <f t="array" ref="D2745">IFERROR(INDEX(user_table!$C$2:$C3686,MATCH(C2745,user_table!$B$2:$B3686,0)),"")
</f>
        <v>Ani Setiawan</v>
      </c>
      <c r="E2745" s="6" t="str">
        <f t="array" ref="E2745">IFERROR(INDEX(user_table!$E$2:$E3686,MATCH(C2745,user_table!$B$2:$B3686,0)),"")
</f>
        <v>6, 3</v>
      </c>
      <c r="F2745" s="6" t="str">
        <f t="shared" si="2"/>
        <v>16382632</v>
      </c>
      <c r="G2745" s="21">
        <v>2.0</v>
      </c>
      <c r="H2745" s="3">
        <v>44689.0</v>
      </c>
      <c r="I2745" s="22" t="s">
        <v>2686</v>
      </c>
    </row>
    <row r="2746">
      <c r="A2746" s="5" t="str">
        <f t="array" ref="A2746">INDEX(event_table!$A$2:$A$69, RANDBETWEEN(1, COUNTA(event_table!$A$2:$A$69)))</f>
        <v>3659</v>
      </c>
      <c r="B2746" s="6">
        <f t="array" ref="B2746">IFERROR(INDEX(event_table!$E$1:$E3686,MATCH(A2746,event_table!$A$1:$A3686,0)),"")
</f>
        <v>6</v>
      </c>
      <c r="C2746" s="7">
        <f t="shared" si="1"/>
        <v>190</v>
      </c>
      <c r="D2746" s="6" t="str">
        <f t="array" ref="D2746">IFERROR(INDEX(user_table!$C$2:$C3686,MATCH(C2746,user_table!$B$2:$B3686,0)),"")
</f>
        <v>Fajar Santoso</v>
      </c>
      <c r="E2746" s="6" t="str">
        <f t="array" ref="E2746">IFERROR(INDEX(user_table!$E$2:$E3686,MATCH(C2746,user_table!$B$2:$B3686,0)),"")
</f>
        <v>1, 3</v>
      </c>
      <c r="F2746" s="6" t="str">
        <f t="shared" si="2"/>
        <v>365926190</v>
      </c>
      <c r="G2746" s="21">
        <v>2.0</v>
      </c>
      <c r="H2746" s="3">
        <v>44635.0</v>
      </c>
      <c r="I2746" s="22" t="s">
        <v>2687</v>
      </c>
    </row>
    <row r="2747">
      <c r="A2747" s="5" t="str">
        <f t="array" ref="A2747">INDEX(event_table!$A$2:$A$69, RANDBETWEEN(1, COUNTA(event_table!$A$2:$A$69)))</f>
        <v>1421</v>
      </c>
      <c r="B2747" s="6">
        <f t="array" ref="B2747">IFERROR(INDEX(event_table!$E$1:$E3686,MATCH(A2747,event_table!$A$1:$A3686,0)),"")
</f>
        <v>4</v>
      </c>
      <c r="C2747" s="7">
        <f t="shared" si="1"/>
        <v>129</v>
      </c>
      <c r="D2747" s="6" t="str">
        <f t="array" ref="D2747">IFERROR(INDEX(user_table!$C$2:$C3686,MATCH(C2747,user_table!$B$2:$B3686,0)),"")
</f>
        <v>Maya Kusuma</v>
      </c>
      <c r="E2747" s="6" t="str">
        <f t="array" ref="E2747">IFERROR(INDEX(user_table!$E$2:$E3686,MATCH(C2747,user_table!$B$2:$B3686,0)),"")
</f>
        <v>4, 6</v>
      </c>
      <c r="F2747" s="6" t="str">
        <f t="shared" si="2"/>
        <v>142124129</v>
      </c>
      <c r="G2747" s="21">
        <v>2.0</v>
      </c>
      <c r="H2747" s="3">
        <v>44501.0</v>
      </c>
      <c r="I2747" s="22" t="s">
        <v>777</v>
      </c>
    </row>
    <row r="2748">
      <c r="A2748" s="5" t="str">
        <f t="array" ref="A2748">INDEX(event_table!$A$2:$A$69, RANDBETWEEN(1, COUNTA(event_table!$A$2:$A$69)))</f>
        <v>1650</v>
      </c>
      <c r="B2748" s="6">
        <f t="array" ref="B2748">IFERROR(INDEX(event_table!$E$1:$E3686,MATCH(A2748,event_table!$A$1:$A3686,0)),"")
</f>
        <v>6</v>
      </c>
      <c r="C2748" s="7">
        <f t="shared" si="1"/>
        <v>97</v>
      </c>
      <c r="D2748" s="6" t="str">
        <f t="array" ref="D2748">IFERROR(INDEX(user_table!$C$2:$C3686,MATCH(C2748,user_table!$B$2:$B3686,0)),"")
</f>
        <v>Dewi Hidayat</v>
      </c>
      <c r="E2748" s="6" t="str">
        <f t="array" ref="E2748">IFERROR(INDEX(user_table!$E$2:$E3686,MATCH(C2748,user_table!$B$2:$B3686,0)),"")
</f>
        <v>2, 2</v>
      </c>
      <c r="F2748" s="6" t="str">
        <f t="shared" si="2"/>
        <v>16502697</v>
      </c>
      <c r="G2748" s="21">
        <v>2.0</v>
      </c>
      <c r="H2748" s="3">
        <v>45176.0</v>
      </c>
      <c r="I2748" s="22" t="s">
        <v>2688</v>
      </c>
    </row>
    <row r="2749">
      <c r="A2749" s="5" t="str">
        <f t="array" ref="A2749">INDEX(event_table!$A$2:$A$69, RANDBETWEEN(1, COUNTA(event_table!$A$2:$A$69)))</f>
        <v>1648</v>
      </c>
      <c r="B2749" s="6">
        <f t="array" ref="B2749">IFERROR(INDEX(event_table!$E$1:$E3686,MATCH(A2749,event_table!$A$1:$A3686,0)),"")
</f>
        <v>6</v>
      </c>
      <c r="C2749" s="7">
        <f t="shared" si="1"/>
        <v>40</v>
      </c>
      <c r="D2749" s="6" t="str">
        <f t="array" ref="D2749">IFERROR(INDEX(user_table!$C$2:$C3686,MATCH(C2749,user_table!$B$2:$B3686,0)),"")
</f>
        <v>Joko Sari</v>
      </c>
      <c r="E2749" s="6" t="str">
        <f t="array" ref="E2749">IFERROR(INDEX(user_table!$E$2:$E3686,MATCH(C2749,user_table!$B$2:$B3686,0)),"")
</f>
        <v>5, 6</v>
      </c>
      <c r="F2749" s="6" t="str">
        <f t="shared" si="2"/>
        <v>16481640</v>
      </c>
      <c r="G2749" s="21">
        <v>1.0</v>
      </c>
      <c r="H2749" s="3">
        <v>45250.0</v>
      </c>
      <c r="I2749" s="22" t="s">
        <v>2689</v>
      </c>
    </row>
    <row r="2750">
      <c r="A2750" s="5" t="str">
        <f t="array" ref="A2750">INDEX(event_table!$A$2:$A$69, RANDBETWEEN(1, COUNTA(event_table!$A$2:$A$69)))</f>
        <v>1418</v>
      </c>
      <c r="B2750" s="6">
        <f t="array" ref="B2750">IFERROR(INDEX(event_table!$E$1:$E3686,MATCH(A2750,event_table!$A$1:$A3686,0)),"")
</f>
        <v>4</v>
      </c>
      <c r="C2750" s="7">
        <f t="shared" si="1"/>
        <v>74</v>
      </c>
      <c r="D2750" s="6" t="str">
        <f t="array" ref="D2750">IFERROR(INDEX(user_table!$C$2:$C3686,MATCH(C2750,user_table!$B$2:$B3686,0)),"")
</f>
        <v>Arif Purnama</v>
      </c>
      <c r="E2750" s="6" t="str">
        <f t="array" ref="E2750">IFERROR(INDEX(user_table!$E$2:$E3686,MATCH(C2750,user_table!$B$2:$B3686,0)),"")
</f>
        <v>3, 2</v>
      </c>
      <c r="F2750" s="6" t="str">
        <f t="shared" si="2"/>
        <v>14181474</v>
      </c>
      <c r="G2750" s="21">
        <v>1.0</v>
      </c>
      <c r="H2750" s="3">
        <v>45238.0</v>
      </c>
      <c r="I2750" s="22" t="s">
        <v>2690</v>
      </c>
    </row>
    <row r="2751">
      <c r="A2751" s="5" t="str">
        <f t="array" ref="A2751">INDEX(event_table!$A$2:$A$69, RANDBETWEEN(1, COUNTA(event_table!$A$2:$A$69)))</f>
        <v>1647</v>
      </c>
      <c r="B2751" s="6">
        <f t="array" ref="B2751">IFERROR(INDEX(event_table!$E$1:$E3686,MATCH(A2751,event_table!$A$1:$A3686,0)),"")
</f>
        <v>6</v>
      </c>
      <c r="C2751" s="7">
        <f t="shared" si="1"/>
        <v>53</v>
      </c>
      <c r="D2751" s="6" t="str">
        <f t="array" ref="D2751">IFERROR(INDEX(user_table!$C$2:$C3686,MATCH(C2751,user_table!$B$2:$B3686,0)),"")
</f>
        <v>Wahyu Santoso</v>
      </c>
      <c r="E2751" s="6" t="str">
        <f t="array" ref="E2751">IFERROR(INDEX(user_table!$E$2:$E3686,MATCH(C2751,user_table!$B$2:$B3686,0)),"")
</f>
        <v>4, 5</v>
      </c>
      <c r="F2751" s="6" t="str">
        <f t="shared" si="2"/>
        <v>16471653</v>
      </c>
      <c r="G2751" s="21">
        <v>1.0</v>
      </c>
      <c r="H2751" s="3">
        <v>45202.0</v>
      </c>
      <c r="I2751" s="22" t="s">
        <v>2691</v>
      </c>
    </row>
    <row r="2752">
      <c r="A2752" s="5" t="str">
        <f t="array" ref="A2752">INDEX(event_table!$A$2:$A$69, RANDBETWEEN(1, COUNTA(event_table!$A$2:$A$69)))</f>
        <v>1650</v>
      </c>
      <c r="B2752" s="6">
        <f t="array" ref="B2752">IFERROR(INDEX(event_table!$E$1:$E3686,MATCH(A2752,event_table!$A$1:$A3686,0)),"")
</f>
        <v>6</v>
      </c>
      <c r="C2752" s="7">
        <f t="shared" si="1"/>
        <v>59</v>
      </c>
      <c r="D2752" s="6" t="str">
        <f t="array" ref="D2752">IFERROR(INDEX(user_table!$C$2:$C3686,MATCH(C2752,user_table!$B$2:$B3686,0)),"")
</f>
        <v>Siti Rahayu</v>
      </c>
      <c r="E2752" s="6" t="str">
        <f t="array" ref="E2752">IFERROR(INDEX(user_table!$E$2:$E3686,MATCH(C2752,user_table!$B$2:$B3686,0)),"")
</f>
        <v>3, 5</v>
      </c>
      <c r="F2752" s="6" t="str">
        <f t="shared" si="2"/>
        <v>16501659</v>
      </c>
      <c r="G2752" s="21">
        <v>1.0</v>
      </c>
      <c r="H2752" s="3">
        <v>45232.0</v>
      </c>
      <c r="I2752" s="22" t="s">
        <v>2692</v>
      </c>
    </row>
    <row r="2753">
      <c r="A2753" s="5" t="str">
        <f t="array" ref="A2753">INDEX(event_table!$A$2:$A$69, RANDBETWEEN(1, COUNTA(event_table!$A$2:$A$69)))</f>
        <v>1313</v>
      </c>
      <c r="B2753" s="6">
        <f t="array" ref="B2753">IFERROR(INDEX(event_table!$E$1:$E3686,MATCH(A2753,event_table!$A$1:$A3686,0)),"")
</f>
        <v>3</v>
      </c>
      <c r="C2753" s="7">
        <f t="shared" si="1"/>
        <v>70</v>
      </c>
      <c r="D2753" s="6" t="str">
        <f t="array" ref="D2753">IFERROR(INDEX(user_table!$C$2:$C3686,MATCH(C2753,user_table!$B$2:$B3686,0)),"")
</f>
        <v>Fandi Hadiwijaya</v>
      </c>
      <c r="E2753" s="6" t="str">
        <f t="array" ref="E2753">IFERROR(INDEX(user_table!$E$2:$E3686,MATCH(C2753,user_table!$B$2:$B3686,0)),"")
</f>
        <v>1, 4</v>
      </c>
      <c r="F2753" s="6" t="str">
        <f t="shared" si="2"/>
        <v>13131370</v>
      </c>
      <c r="G2753" s="21">
        <v>1.0</v>
      </c>
      <c r="H2753" s="3">
        <v>45185.0</v>
      </c>
      <c r="I2753" s="22" t="s">
        <v>2693</v>
      </c>
    </row>
    <row r="2754">
      <c r="A2754" s="5" t="str">
        <f t="array" ref="A2754">INDEX(event_table!$A$2:$A$69, RANDBETWEEN(1, COUNTA(event_table!$A$2:$A$69)))</f>
        <v>1333</v>
      </c>
      <c r="B2754" s="6">
        <f t="array" ref="B2754">IFERROR(INDEX(event_table!$E$1:$E3686,MATCH(A2754,event_table!$A$1:$A3686,0)),"")
</f>
        <v>3</v>
      </c>
      <c r="C2754" s="7">
        <f t="shared" si="1"/>
        <v>28</v>
      </c>
      <c r="D2754" s="6" t="str">
        <f t="array" ref="D2754">IFERROR(INDEX(user_table!$C$2:$C3686,MATCH(C2754,user_table!$B$2:$B3686,0)),"")
</f>
        <v>Fandi Putri</v>
      </c>
      <c r="E2754" s="6" t="str">
        <f t="array" ref="E2754">IFERROR(INDEX(user_table!$E$2:$E3686,MATCH(C2754,user_table!$B$2:$B3686,0)),"")
</f>
        <v>5, 1</v>
      </c>
      <c r="F2754" s="6" t="str">
        <f t="shared" si="2"/>
        <v>13331328</v>
      </c>
      <c r="G2754" s="21">
        <v>1.0</v>
      </c>
      <c r="H2754" s="3">
        <v>45134.0</v>
      </c>
      <c r="I2754" s="22" t="s">
        <v>2694</v>
      </c>
    </row>
    <row r="2755">
      <c r="A2755" s="5" t="str">
        <f t="array" ref="A2755">INDEX(event_table!$A$2:$A$69, RANDBETWEEN(1, COUNTA(event_table!$A$2:$A$69)))</f>
        <v>1111</v>
      </c>
      <c r="B2755" s="6">
        <f t="array" ref="B2755">IFERROR(INDEX(event_table!$E$1:$E3686,MATCH(A2755,event_table!$A$1:$A3686,0)),"")
</f>
        <v>1</v>
      </c>
      <c r="C2755" s="7">
        <f t="shared" si="1"/>
        <v>37</v>
      </c>
      <c r="D2755" s="6" t="str">
        <f t="array" ref="D2755">IFERROR(INDEX(user_table!$C$2:$C3686,MATCH(C2755,user_table!$B$2:$B3686,0)),"")
</f>
        <v>Lina Susanto</v>
      </c>
      <c r="E2755" s="6" t="str">
        <f t="array" ref="E2755">IFERROR(INDEX(user_table!$E$2:$E3686,MATCH(C2755,user_table!$B$2:$B3686,0)),"")
</f>
        <v>2, 2</v>
      </c>
      <c r="F2755" s="6" t="str">
        <f t="shared" si="2"/>
        <v>11111137</v>
      </c>
      <c r="G2755" s="21">
        <v>1.0</v>
      </c>
      <c r="H2755" s="3">
        <v>45263.0</v>
      </c>
      <c r="I2755" s="22" t="s">
        <v>2695</v>
      </c>
    </row>
    <row r="2756">
      <c r="A2756" s="5" t="str">
        <f t="array" ref="A2756">INDEX(event_table!$A$2:$A$69, RANDBETWEEN(1, COUNTA(event_table!$A$2:$A$69)))</f>
        <v>1637</v>
      </c>
      <c r="B2756" s="6">
        <f t="array" ref="B2756">IFERROR(INDEX(event_table!$E$1:$E3686,MATCH(A2756,event_table!$A$1:$A3686,0)),"")
</f>
        <v>6</v>
      </c>
      <c r="C2756" s="7">
        <f t="shared" si="1"/>
        <v>183</v>
      </c>
      <c r="D2756" s="6" t="str">
        <f t="array" ref="D2756">IFERROR(INDEX(user_table!$C$2:$C3686,MATCH(C2756,user_table!$B$2:$B3686,0)),"")
</f>
        <v>Siti Nugroho</v>
      </c>
      <c r="E2756" s="6" t="str">
        <f t="array" ref="E2756">IFERROR(INDEX(user_table!$E$2:$E3686,MATCH(C2756,user_table!$B$2:$B3686,0)),"")
</f>
        <v>4, 6</v>
      </c>
      <c r="F2756" s="6" t="str">
        <f t="shared" si="2"/>
        <v>163716183</v>
      </c>
      <c r="G2756" s="21">
        <v>1.0</v>
      </c>
      <c r="H2756" s="3">
        <v>45260.0</v>
      </c>
      <c r="I2756" s="22" t="s">
        <v>2696</v>
      </c>
    </row>
    <row r="2757">
      <c r="A2757" s="5" t="str">
        <f t="array" ref="A2757">INDEX(event_table!$A$2:$A$69, RANDBETWEEN(1, COUNTA(event_table!$A$2:$A$69)))</f>
        <v>1421</v>
      </c>
      <c r="B2757" s="6">
        <f t="array" ref="B2757">IFERROR(INDEX(event_table!$E$1:$E3686,MATCH(A2757,event_table!$A$1:$A3686,0)),"")
</f>
        <v>4</v>
      </c>
      <c r="C2757" s="7">
        <f t="shared" si="1"/>
        <v>21</v>
      </c>
      <c r="D2757" s="6" t="str">
        <f t="array" ref="D2757">IFERROR(INDEX(user_table!$C$2:$C3686,MATCH(C2757,user_table!$B$2:$B3686,0)),"")
</f>
        <v>Budi Santoso</v>
      </c>
      <c r="E2757" s="6" t="str">
        <f t="array" ref="E2757">IFERROR(INDEX(user_table!$E$2:$E3686,MATCH(C2757,user_table!$B$2:$B3686,0)),"")
</f>
        <v>6, 1</v>
      </c>
      <c r="F2757" s="6" t="str">
        <f t="shared" si="2"/>
        <v>14211421</v>
      </c>
      <c r="G2757" s="21">
        <v>1.0</v>
      </c>
      <c r="H2757" s="3">
        <v>45223.0</v>
      </c>
      <c r="I2757" s="22" t="s">
        <v>2697</v>
      </c>
    </row>
    <row r="2758">
      <c r="A2758" s="5" t="str">
        <f t="array" ref="A2758">INDEX(event_table!$A$2:$A$69, RANDBETWEEN(1, COUNTA(event_table!$A$2:$A$69)))</f>
        <v>1650</v>
      </c>
      <c r="B2758" s="6">
        <f t="array" ref="B2758">IFERROR(INDEX(event_table!$E$1:$E3686,MATCH(A2758,event_table!$A$1:$A3686,0)),"")
</f>
        <v>6</v>
      </c>
      <c r="C2758" s="7">
        <f t="shared" si="1"/>
        <v>160</v>
      </c>
      <c r="D2758" s="6" t="str">
        <f t="array" ref="D2758">IFERROR(INDEX(user_table!$C$2:$C3686,MATCH(C2758,user_table!$B$2:$B3686,0)),"")
</f>
        <v>Hadi Hadiwijaya</v>
      </c>
      <c r="E2758" s="6" t="str">
        <f t="array" ref="E2758">IFERROR(INDEX(user_table!$E$2:$E3686,MATCH(C2758,user_table!$B$2:$B3686,0)),"")
</f>
        <v>2, 4</v>
      </c>
      <c r="F2758" s="6" t="str">
        <f t="shared" si="2"/>
        <v>165016160</v>
      </c>
      <c r="G2758" s="21">
        <v>1.0</v>
      </c>
      <c r="H2758" s="3">
        <v>45202.0</v>
      </c>
      <c r="I2758" s="22" t="s">
        <v>2698</v>
      </c>
    </row>
    <row r="2759">
      <c r="A2759" s="5" t="str">
        <f t="array" ref="A2759">INDEX(event_table!$A$2:$A$69, RANDBETWEEN(1, COUNTA(event_table!$A$2:$A$69)))</f>
        <v>1421</v>
      </c>
      <c r="B2759" s="6">
        <f t="array" ref="B2759">IFERROR(INDEX(event_table!$E$1:$E3686,MATCH(A2759,event_table!$A$1:$A3686,0)),"")
</f>
        <v>4</v>
      </c>
      <c r="C2759" s="7">
        <f t="shared" si="1"/>
        <v>172</v>
      </c>
      <c r="D2759" s="6" t="str">
        <f t="array" ref="D2759">IFERROR(INDEX(user_table!$C$2:$C3686,MATCH(C2759,user_table!$B$2:$B3686,0)),"")
</f>
        <v>Dian Kurniawan</v>
      </c>
      <c r="E2759" s="6" t="str">
        <f t="array" ref="E2759">IFERROR(INDEX(user_table!$E$2:$E3686,MATCH(C2759,user_table!$B$2:$B3686,0)),"")
</f>
        <v>1, 2</v>
      </c>
      <c r="F2759" s="6" t="str">
        <f t="shared" si="2"/>
        <v>142114172</v>
      </c>
      <c r="G2759" s="21">
        <v>1.0</v>
      </c>
      <c r="H2759" s="3">
        <v>45193.0</v>
      </c>
      <c r="I2759" s="22" t="s">
        <v>2699</v>
      </c>
    </row>
    <row r="2760">
      <c r="A2760" s="5" t="str">
        <f t="array" ref="A2760">INDEX(event_table!$A$2:$A$69, RANDBETWEEN(1, COUNTA(event_table!$A$2:$A$69)))</f>
        <v>111</v>
      </c>
      <c r="B2760" s="6">
        <f t="array" ref="B2760">IFERROR(INDEX(event_table!$E$1:$E3686,MATCH(A2760,event_table!$A$1:$A3686,0)),"")
</f>
        <v>1</v>
      </c>
      <c r="C2760" s="7">
        <f t="shared" si="1"/>
        <v>199</v>
      </c>
      <c r="D2760" s="6" t="str">
        <f t="array" ref="D2760">IFERROR(INDEX(user_table!$C$2:$C3686,MATCH(C2760,user_table!$B$2:$B3686,0)),"")
</f>
        <v>Rudi Putri</v>
      </c>
      <c r="E2760" s="6" t="str">
        <f t="array" ref="E2760">IFERROR(INDEX(user_table!$E$2:$E3686,MATCH(C2760,user_table!$B$2:$B3686,0)),"")
</f>
        <v>2, 1</v>
      </c>
      <c r="F2760" s="6" t="str">
        <f t="shared" si="2"/>
        <v>11111199</v>
      </c>
      <c r="G2760" s="21">
        <v>1.0</v>
      </c>
      <c r="H2760" s="3">
        <v>45156.0</v>
      </c>
      <c r="I2760" s="22" t="s">
        <v>2700</v>
      </c>
    </row>
    <row r="2761">
      <c r="A2761" s="5" t="str">
        <f t="array" ref="A2761">INDEX(event_table!$A$2:$A$69, RANDBETWEEN(1, COUNTA(event_table!$A$2:$A$69)))</f>
        <v>3658</v>
      </c>
      <c r="B2761" s="6">
        <f t="array" ref="B2761">IFERROR(INDEX(event_table!$E$1:$E3686,MATCH(A2761,event_table!$A$1:$A3686,0)),"")
</f>
        <v>6</v>
      </c>
      <c r="C2761" s="7">
        <f t="shared" si="1"/>
        <v>142</v>
      </c>
      <c r="D2761" s="6" t="str">
        <f t="array" ref="D2761">IFERROR(INDEX(user_table!$C$2:$C3686,MATCH(C2761,user_table!$B$2:$B3686,0)),"")
</f>
        <v>Siti Rahayu</v>
      </c>
      <c r="E2761" s="6" t="str">
        <f t="array" ref="E2761">IFERROR(INDEX(user_table!$E$2:$E3686,MATCH(C2761,user_table!$B$2:$B3686,0)),"")
</f>
        <v>6, 3</v>
      </c>
      <c r="F2761" s="6" t="str">
        <f t="shared" si="2"/>
        <v>365816142</v>
      </c>
      <c r="G2761" s="21">
        <v>1.0</v>
      </c>
      <c r="H2761" s="3">
        <v>45143.0</v>
      </c>
      <c r="I2761" s="22" t="s">
        <v>2701</v>
      </c>
    </row>
    <row r="2762">
      <c r="A2762" s="5" t="str">
        <f t="array" ref="A2762">INDEX(event_table!$A$2:$A$69, RANDBETWEEN(1, COUNTA(event_table!$A$2:$A$69)))</f>
        <v>119</v>
      </c>
      <c r="B2762" s="6">
        <f t="array" ref="B2762">IFERROR(INDEX(event_table!$E$1:$E3686,MATCH(A2762,event_table!$A$1:$A3686,0)),"")
</f>
        <v>1</v>
      </c>
      <c r="C2762" s="7">
        <f t="shared" si="1"/>
        <v>189</v>
      </c>
      <c r="D2762" s="6" t="str">
        <f t="array" ref="D2762">IFERROR(INDEX(user_table!$C$2:$C3686,MATCH(C2762,user_table!$B$2:$B3686,0)),"")
</f>
        <v>Arif Putri</v>
      </c>
      <c r="E2762" s="6" t="str">
        <f t="array" ref="E2762">IFERROR(INDEX(user_table!$E$2:$E3686,MATCH(C2762,user_table!$B$2:$B3686,0)),"")
</f>
        <v>4, 2</v>
      </c>
      <c r="F2762" s="6" t="str">
        <f t="shared" si="2"/>
        <v>11911189</v>
      </c>
      <c r="G2762" s="21">
        <v>1.0</v>
      </c>
      <c r="H2762" s="3">
        <v>45109.0</v>
      </c>
      <c r="I2762" s="22" t="s">
        <v>2702</v>
      </c>
    </row>
    <row r="2763">
      <c r="A2763" s="5" t="str">
        <f t="array" ref="A2763">INDEX(event_table!$A$2:$A$69, RANDBETWEEN(1, COUNTA(event_table!$A$2:$A$69)))</f>
        <v>1531</v>
      </c>
      <c r="B2763" s="6">
        <f t="array" ref="B2763">IFERROR(INDEX(event_table!$E$1:$E3686,MATCH(A2763,event_table!$A$1:$A3686,0)),"")
</f>
        <v>5</v>
      </c>
      <c r="C2763" s="7">
        <f t="shared" si="1"/>
        <v>41</v>
      </c>
      <c r="D2763" s="6" t="str">
        <f t="array" ref="D2763">IFERROR(INDEX(user_table!$C$2:$C3686,MATCH(C2763,user_table!$B$2:$B3686,0)),"")
</f>
        <v>Wahyu Susanto</v>
      </c>
      <c r="E2763" s="6" t="str">
        <f t="array" ref="E2763">IFERROR(INDEX(user_table!$E$2:$E3686,MATCH(C2763,user_table!$B$2:$B3686,0)),"")
</f>
        <v>5, 4</v>
      </c>
      <c r="F2763" s="6" t="str">
        <f t="shared" si="2"/>
        <v>15311541</v>
      </c>
      <c r="G2763" s="21">
        <v>1.0</v>
      </c>
      <c r="H2763" s="3">
        <v>45088.0</v>
      </c>
      <c r="I2763" s="22" t="s">
        <v>2703</v>
      </c>
    </row>
    <row r="2764">
      <c r="A2764" s="5" t="str">
        <f t="array" ref="A2764">INDEX(event_table!$A$2:$A$69, RANDBETWEEN(1, COUNTA(event_table!$A$2:$A$69)))</f>
        <v>1425</v>
      </c>
      <c r="B2764" s="6">
        <f t="array" ref="B2764">IFERROR(INDEX(event_table!$E$1:$E3686,MATCH(A2764,event_table!$A$1:$A3686,0)),"")
</f>
        <v>4</v>
      </c>
      <c r="C2764" s="7">
        <f t="shared" si="1"/>
        <v>180</v>
      </c>
      <c r="D2764" s="6" t="str">
        <f t="array" ref="D2764">IFERROR(INDEX(user_table!$C$2:$C3686,MATCH(C2764,user_table!$B$2:$B3686,0)),"")
</f>
        <v>Andi Susanto</v>
      </c>
      <c r="E2764" s="6" t="str">
        <f t="array" ref="E2764">IFERROR(INDEX(user_table!$E$2:$E3686,MATCH(C2764,user_table!$B$2:$B3686,0)),"")
</f>
        <v>6, 5</v>
      </c>
      <c r="F2764" s="6" t="str">
        <f t="shared" si="2"/>
        <v>142514180</v>
      </c>
      <c r="G2764" s="21">
        <v>1.0</v>
      </c>
      <c r="H2764" s="3">
        <v>45078.0</v>
      </c>
      <c r="I2764" s="22" t="s">
        <v>2704</v>
      </c>
    </row>
    <row r="2765">
      <c r="A2765" s="5" t="str">
        <f t="array" ref="A2765">INDEX(event_table!$A$2:$A$69, RANDBETWEEN(1, COUNTA(event_table!$A$2:$A$69)))</f>
        <v>3356</v>
      </c>
      <c r="B2765" s="6">
        <f t="array" ref="B2765">IFERROR(INDEX(event_table!$E$1:$E3686,MATCH(A2765,event_table!$A$1:$A3686,0)),"")
</f>
        <v>3</v>
      </c>
      <c r="C2765" s="7">
        <f t="shared" si="1"/>
        <v>124</v>
      </c>
      <c r="D2765" s="6" t="str">
        <f t="array" ref="D2765">IFERROR(INDEX(user_table!$C$2:$C3686,MATCH(C2765,user_table!$B$2:$B3686,0)),"")
</f>
        <v>Fandi Setiawan</v>
      </c>
      <c r="E2765" s="6" t="str">
        <f t="array" ref="E2765">IFERROR(INDEX(user_table!$E$2:$E3686,MATCH(C2765,user_table!$B$2:$B3686,0)),"")
</f>
        <v>5, 4</v>
      </c>
      <c r="F2765" s="6" t="str">
        <f t="shared" si="2"/>
        <v>335653124</v>
      </c>
      <c r="G2765" s="21">
        <v>5.0</v>
      </c>
      <c r="H2765" s="3">
        <v>44745.0</v>
      </c>
      <c r="I2765" s="22" t="s">
        <v>2705</v>
      </c>
    </row>
    <row r="2766">
      <c r="A2766" s="5" t="str">
        <f t="array" ref="A2766">INDEX(event_table!$A$2:$A$69, RANDBETWEEN(1, COUNTA(event_table!$A$2:$A$69)))</f>
        <v>1416</v>
      </c>
      <c r="B2766" s="6">
        <f t="array" ref="B2766">IFERROR(INDEX(event_table!$E$1:$E3686,MATCH(A2766,event_table!$A$1:$A3686,0)),"")
</f>
        <v>4</v>
      </c>
      <c r="C2766" s="7">
        <f t="shared" si="1"/>
        <v>105</v>
      </c>
      <c r="D2766" s="6" t="str">
        <f t="array" ref="D2766">IFERROR(INDEX(user_table!$C$2:$C3686,MATCH(C2766,user_table!$B$2:$B3686,0)),"")
</f>
        <v>Siti Susanto</v>
      </c>
      <c r="E2766" s="6" t="str">
        <f t="array" ref="E2766">IFERROR(INDEX(user_table!$E$2:$E3686,MATCH(C2766,user_table!$B$2:$B3686,0)),"")
</f>
        <v>2, 6</v>
      </c>
      <c r="F2766" s="6" t="str">
        <f t="shared" si="2"/>
        <v>141654105</v>
      </c>
      <c r="G2766" s="21">
        <v>5.0</v>
      </c>
      <c r="H2766" s="3">
        <v>44744.0</v>
      </c>
      <c r="I2766" s="22" t="s">
        <v>2706</v>
      </c>
    </row>
    <row r="2767">
      <c r="A2767" s="5" t="str">
        <f t="array" ref="A2767">INDEX(event_table!$A$2:$A$69, RANDBETWEEN(1, COUNTA(event_table!$A$2:$A$69)))</f>
        <v>3163</v>
      </c>
      <c r="B2767" s="6">
        <f t="array" ref="B2767">IFERROR(INDEX(event_table!$E$1:$E3686,MATCH(A2767,event_table!$A$1:$A3686,0)),"")
</f>
        <v>1</v>
      </c>
      <c r="C2767" s="7">
        <f t="shared" si="1"/>
        <v>125</v>
      </c>
      <c r="D2767" s="6" t="str">
        <f t="array" ref="D2767">IFERROR(INDEX(user_table!$C$2:$C3686,MATCH(C2767,user_table!$B$2:$B3686,0)),"")
</f>
        <v>Fandi Hidayat</v>
      </c>
      <c r="E2767" s="6" t="str">
        <f t="array" ref="E2767">IFERROR(INDEX(user_table!$E$2:$E3686,MATCH(C2767,user_table!$B$2:$B3686,0)),"")
</f>
        <v>5, 2</v>
      </c>
      <c r="F2767" s="6" t="str">
        <f t="shared" si="2"/>
        <v>316351125</v>
      </c>
      <c r="G2767" s="21">
        <v>5.0</v>
      </c>
      <c r="H2767" s="3">
        <v>44743.0</v>
      </c>
      <c r="I2767" s="22" t="s">
        <v>2707</v>
      </c>
    </row>
    <row r="2768">
      <c r="A2768" s="5" t="str">
        <f t="array" ref="A2768">INDEX(event_table!$A$2:$A$69, RANDBETWEEN(1, COUNTA(event_table!$A$2:$A$69)))</f>
        <v>1652</v>
      </c>
      <c r="B2768" s="6">
        <f t="array" ref="B2768">IFERROR(INDEX(event_table!$E$1:$E3686,MATCH(A2768,event_table!$A$1:$A3686,0)),"")
</f>
        <v>6</v>
      </c>
      <c r="C2768" s="7">
        <f t="shared" si="1"/>
        <v>55</v>
      </c>
      <c r="D2768" s="6" t="str">
        <f t="array" ref="D2768">IFERROR(INDEX(user_table!$C$2:$C3686,MATCH(C2768,user_table!$B$2:$B3686,0)),"")
</f>
        <v>Joko Sari</v>
      </c>
      <c r="E2768" s="6" t="str">
        <f t="array" ref="E2768">IFERROR(INDEX(user_table!$E$2:$E3686,MATCH(C2768,user_table!$B$2:$B3686,0)),"")
</f>
        <v>6, 6</v>
      </c>
      <c r="F2768" s="6" t="str">
        <f t="shared" si="2"/>
        <v>16525655</v>
      </c>
      <c r="G2768" s="21">
        <v>5.0</v>
      </c>
      <c r="H2768" s="3">
        <v>44741.0</v>
      </c>
      <c r="I2768" s="22" t="s">
        <v>2708</v>
      </c>
    </row>
    <row r="2769">
      <c r="A2769" s="5" t="str">
        <f t="array" ref="A2769">INDEX(event_table!$A$2:$A$69, RANDBETWEEN(1, COUNTA(event_table!$A$2:$A$69)))</f>
        <v>3164</v>
      </c>
      <c r="B2769" s="6">
        <f t="array" ref="B2769">IFERROR(INDEX(event_table!$E$1:$E3686,MATCH(A2769,event_table!$A$1:$A3686,0)),"")
</f>
        <v>1</v>
      </c>
      <c r="C2769" s="7">
        <f t="shared" si="1"/>
        <v>143</v>
      </c>
      <c r="D2769" s="6" t="str">
        <f t="array" ref="D2769">IFERROR(INDEX(user_table!$C$2:$C3686,MATCH(C2769,user_table!$B$2:$B3686,0)),"")
</f>
        <v>Agus Putri</v>
      </c>
      <c r="E2769" s="6" t="str">
        <f t="array" ref="E2769">IFERROR(INDEX(user_table!$E$2:$E3686,MATCH(C2769,user_table!$B$2:$B3686,0)),"")
</f>
        <v>3, 3</v>
      </c>
      <c r="F2769" s="6" t="str">
        <f t="shared" si="2"/>
        <v>316451143</v>
      </c>
      <c r="G2769" s="21">
        <v>5.0</v>
      </c>
      <c r="H2769" s="3">
        <v>44732.0</v>
      </c>
      <c r="I2769" s="22" t="s">
        <v>2709</v>
      </c>
    </row>
    <row r="2770">
      <c r="A2770" s="5" t="str">
        <f t="array" ref="A2770">INDEX(event_table!$A$2:$A$69, RANDBETWEEN(1, COUNTA(event_table!$A$2:$A$69)))</f>
        <v>1420</v>
      </c>
      <c r="B2770" s="6">
        <f t="array" ref="B2770">IFERROR(INDEX(event_table!$E$1:$E3686,MATCH(A2770,event_table!$A$1:$A3686,0)),"")
</f>
        <v>4</v>
      </c>
      <c r="C2770" s="7">
        <f t="shared" si="1"/>
        <v>198</v>
      </c>
      <c r="D2770" s="6" t="str">
        <f t="array" ref="D2770">IFERROR(INDEX(user_table!$C$2:$C3686,MATCH(C2770,user_table!$B$2:$B3686,0)),"")
</f>
        <v>Siti Nugroho</v>
      </c>
      <c r="E2770" s="6" t="str">
        <f t="array" ref="E2770">IFERROR(INDEX(user_table!$E$2:$E3686,MATCH(C2770,user_table!$B$2:$B3686,0)),"")
</f>
        <v>5, 2</v>
      </c>
      <c r="F2770" s="6" t="str">
        <f t="shared" si="2"/>
        <v>142054198</v>
      </c>
      <c r="G2770" s="21">
        <v>5.0</v>
      </c>
      <c r="H2770" s="3">
        <v>44720.0</v>
      </c>
      <c r="I2770" s="22" t="s">
        <v>2710</v>
      </c>
    </row>
    <row r="2771">
      <c r="A2771" s="5" t="str">
        <f t="array" ref="A2771">INDEX(event_table!$A$2:$A$69, RANDBETWEEN(1, COUNTA(event_table!$A$2:$A$69)))</f>
        <v>1647</v>
      </c>
      <c r="B2771" s="6">
        <f t="array" ref="B2771">IFERROR(INDEX(event_table!$E$1:$E3686,MATCH(A2771,event_table!$A$1:$A3686,0)),"")
</f>
        <v>6</v>
      </c>
      <c r="C2771" s="7">
        <f t="shared" si="1"/>
        <v>62</v>
      </c>
      <c r="D2771" s="6" t="str">
        <f t="array" ref="D2771">IFERROR(INDEX(user_table!$C$2:$C3686,MATCH(C2771,user_table!$B$2:$B3686,0)),"")
</f>
        <v>Joko Sari</v>
      </c>
      <c r="E2771" s="6" t="str">
        <f t="array" ref="E2771">IFERROR(INDEX(user_table!$E$2:$E3686,MATCH(C2771,user_table!$B$2:$B3686,0)),"")
</f>
        <v>6, 1</v>
      </c>
      <c r="F2771" s="6" t="str">
        <f t="shared" si="2"/>
        <v>16475662</v>
      </c>
      <c r="G2771" s="21">
        <v>5.0</v>
      </c>
      <c r="H2771" s="3">
        <v>44711.0</v>
      </c>
      <c r="I2771" s="22" t="s">
        <v>2711</v>
      </c>
    </row>
    <row r="2772">
      <c r="A2772" s="5" t="str">
        <f t="array" ref="A2772">INDEX(event_table!$A$2:$A$69, RANDBETWEEN(1, COUNTA(event_table!$A$2:$A$69)))</f>
        <v>1313</v>
      </c>
      <c r="B2772" s="6">
        <f t="array" ref="B2772">IFERROR(INDEX(event_table!$E$1:$E3686,MATCH(A2772,event_table!$A$1:$A3686,0)),"")
</f>
        <v>3</v>
      </c>
      <c r="C2772" s="7">
        <f t="shared" si="1"/>
        <v>34</v>
      </c>
      <c r="D2772" s="6" t="str">
        <f t="array" ref="D2772">IFERROR(INDEX(user_table!$C$2:$C3686,MATCH(C2772,user_table!$B$2:$B3686,0)),"")
</f>
        <v>Bambang Putri</v>
      </c>
      <c r="E2772" s="6" t="str">
        <f t="array" ref="E2772">IFERROR(INDEX(user_table!$E$2:$E3686,MATCH(C2772,user_table!$B$2:$B3686,0)),"")
</f>
        <v>3, 5</v>
      </c>
      <c r="F2772" s="6" t="str">
        <f t="shared" si="2"/>
        <v>13135334</v>
      </c>
      <c r="G2772" s="21">
        <v>5.0</v>
      </c>
      <c r="H2772" s="3">
        <v>44708.0</v>
      </c>
      <c r="I2772" s="22" t="s">
        <v>2712</v>
      </c>
    </row>
    <row r="2773">
      <c r="A2773" s="5" t="str">
        <f t="array" ref="A2773">INDEX(event_table!$A$2:$A$69, RANDBETWEEN(1, COUNTA(event_table!$A$2:$A$69)))</f>
        <v>1111</v>
      </c>
      <c r="B2773" s="6">
        <f t="array" ref="B2773">IFERROR(INDEX(event_table!$E$1:$E3686,MATCH(A2773,event_table!$A$1:$A3686,0)),"")
</f>
        <v>1</v>
      </c>
      <c r="C2773" s="7">
        <f t="shared" si="1"/>
        <v>109</v>
      </c>
      <c r="D2773" s="6" t="str">
        <f t="array" ref="D2773">IFERROR(INDEX(user_table!$C$2:$C3686,MATCH(C2773,user_table!$B$2:$B3686,0)),"")
</f>
        <v>Ani Sari</v>
      </c>
      <c r="E2773" s="6" t="str">
        <f t="array" ref="E2773">IFERROR(INDEX(user_table!$E$2:$E3686,MATCH(C2773,user_table!$B$2:$B3686,0)),"")
</f>
        <v>4, 5</v>
      </c>
      <c r="F2773" s="6" t="str">
        <f t="shared" si="2"/>
        <v>111151109</v>
      </c>
      <c r="G2773" s="21">
        <v>5.0</v>
      </c>
      <c r="H2773" s="3">
        <v>44686.0</v>
      </c>
      <c r="I2773" s="22" t="s">
        <v>2713</v>
      </c>
    </row>
    <row r="2774">
      <c r="A2774" s="5" t="str">
        <f t="array" ref="A2774">INDEX(event_table!$A$2:$A$69, RANDBETWEEN(1, COUNTA(event_table!$A$2:$A$69)))</f>
        <v>1416</v>
      </c>
      <c r="B2774" s="6">
        <f t="array" ref="B2774">IFERROR(INDEX(event_table!$E$1:$E3686,MATCH(A2774,event_table!$A$1:$A3686,0)),"")
</f>
        <v>4</v>
      </c>
      <c r="C2774" s="7">
        <f t="shared" si="1"/>
        <v>98</v>
      </c>
      <c r="D2774" s="6" t="str">
        <f t="array" ref="D2774">IFERROR(INDEX(user_table!$C$2:$C3686,MATCH(C2774,user_table!$B$2:$B3686,0)),"")
</f>
        <v>Agus Hidayat</v>
      </c>
      <c r="E2774" s="6" t="str">
        <f t="array" ref="E2774">IFERROR(INDEX(user_table!$E$2:$E3686,MATCH(C2774,user_table!$B$2:$B3686,0)),"")
</f>
        <v>3, 6</v>
      </c>
      <c r="F2774" s="6" t="str">
        <f t="shared" si="2"/>
        <v>14165498</v>
      </c>
      <c r="G2774" s="21">
        <v>5.0</v>
      </c>
      <c r="H2774" s="3">
        <v>45127.0</v>
      </c>
      <c r="I2774" s="22" t="s">
        <v>2714</v>
      </c>
    </row>
    <row r="2775">
      <c r="A2775" s="5" t="str">
        <f t="array" ref="A2775">INDEX(event_table!$A$2:$A$69, RANDBETWEEN(1, COUNTA(event_table!$A$2:$A$69)))</f>
        <v>122</v>
      </c>
      <c r="B2775" s="6">
        <f t="array" ref="B2775">IFERROR(INDEX(event_table!$E$1:$E3686,MATCH(A2775,event_table!$A$1:$A3686,0)),"")
</f>
        <v>2</v>
      </c>
      <c r="C2775" s="7">
        <f t="shared" si="1"/>
        <v>159</v>
      </c>
      <c r="D2775" s="6" t="str">
        <f t="array" ref="D2775">IFERROR(INDEX(user_table!$C$2:$C3686,MATCH(C2775,user_table!$B$2:$B3686,0)),"")
</f>
        <v>Rudi Santoso</v>
      </c>
      <c r="E2775" s="6" t="str">
        <f t="array" ref="E2775">IFERROR(INDEX(user_table!$E$2:$E3686,MATCH(C2775,user_table!$B$2:$B3686,0)),"")
</f>
        <v>5, 1</v>
      </c>
      <c r="F2775" s="6" t="str">
        <f t="shared" si="2"/>
        <v>12252159</v>
      </c>
      <c r="G2775" s="21">
        <v>5.0</v>
      </c>
      <c r="H2775" s="3">
        <v>45089.0</v>
      </c>
      <c r="I2775" s="22" t="s">
        <v>2715</v>
      </c>
    </row>
    <row r="2776">
      <c r="A2776" s="5" t="str">
        <f t="array" ref="A2776">INDEX(event_table!$A$2:$A$69, RANDBETWEEN(1, COUNTA(event_table!$A$2:$A$69)))</f>
        <v>1638</v>
      </c>
      <c r="B2776" s="6">
        <f t="array" ref="B2776">IFERROR(INDEX(event_table!$E$1:$E3686,MATCH(A2776,event_table!$A$1:$A3686,0)),"")
</f>
        <v>6</v>
      </c>
      <c r="C2776" s="7">
        <f t="shared" si="1"/>
        <v>148</v>
      </c>
      <c r="D2776" s="6" t="str">
        <f t="array" ref="D2776">IFERROR(INDEX(user_table!$C$2:$C3686,MATCH(C2776,user_table!$B$2:$B3686,0)),"")
</f>
        <v>Fajar Setiawan</v>
      </c>
      <c r="E2776" s="6" t="str">
        <f t="array" ref="E2776">IFERROR(INDEX(user_table!$E$2:$E3686,MATCH(C2776,user_table!$B$2:$B3686,0)),"")
</f>
        <v>6, 4</v>
      </c>
      <c r="F2776" s="6" t="str">
        <f t="shared" si="2"/>
        <v>163856148</v>
      </c>
      <c r="G2776" s="21">
        <v>5.0</v>
      </c>
      <c r="H2776" s="3">
        <v>45079.0</v>
      </c>
      <c r="I2776" s="22" t="s">
        <v>2716</v>
      </c>
    </row>
    <row r="2777">
      <c r="A2777" s="5" t="str">
        <f t="array" ref="A2777">INDEX(event_table!$A$2:$A$69, RANDBETWEEN(1, COUNTA(event_table!$A$2:$A$69)))</f>
        <v>1417</v>
      </c>
      <c r="B2777" s="6">
        <f t="array" ref="B2777">IFERROR(INDEX(event_table!$E$1:$E3686,MATCH(A2777,event_table!$A$1:$A3686,0)),"")
</f>
        <v>4</v>
      </c>
      <c r="C2777" s="7">
        <f t="shared" si="1"/>
        <v>197</v>
      </c>
      <c r="D2777" s="6" t="str">
        <f t="array" ref="D2777">IFERROR(INDEX(user_table!$C$2:$C3686,MATCH(C2777,user_table!$B$2:$B3686,0)),"")
</f>
        <v>Dian Sari</v>
      </c>
      <c r="E2777" s="6" t="str">
        <f t="array" ref="E2777">IFERROR(INDEX(user_table!$E$2:$E3686,MATCH(C2777,user_table!$B$2:$B3686,0)),"")
</f>
        <v>6, 3</v>
      </c>
      <c r="F2777" s="6" t="str">
        <f t="shared" si="2"/>
        <v>141754197</v>
      </c>
      <c r="G2777" s="21">
        <v>5.0</v>
      </c>
      <c r="H2777" s="3">
        <v>44850.0</v>
      </c>
      <c r="I2777" s="22" t="s">
        <v>2717</v>
      </c>
    </row>
    <row r="2778">
      <c r="A2778" s="5" t="str">
        <f t="array" ref="A2778">INDEX(event_table!$A$2:$A$69, RANDBETWEEN(1, COUNTA(event_table!$A$2:$A$69)))</f>
        <v>1416</v>
      </c>
      <c r="B2778" s="6">
        <f t="array" ref="B2778">IFERROR(INDEX(event_table!$E$1:$E3686,MATCH(A2778,event_table!$A$1:$A3686,0)),"")
</f>
        <v>4</v>
      </c>
      <c r="C2778" s="7">
        <f t="shared" si="1"/>
        <v>10</v>
      </c>
      <c r="D2778" s="6" t="str">
        <f t="array" ref="D2778">IFERROR(INDEX(user_table!$C$2:$C3686,MATCH(C2778,user_table!$B$2:$B3686,0)),"")
</f>
        <v>Dina Susanto</v>
      </c>
      <c r="E2778" s="6" t="str">
        <f t="array" ref="E2778">IFERROR(INDEX(user_table!$E$2:$E3686,MATCH(C2778,user_table!$B$2:$B3686,0)),"")
</f>
        <v>4, 5</v>
      </c>
      <c r="F2778" s="6" t="str">
        <f t="shared" si="2"/>
        <v>14165410</v>
      </c>
      <c r="G2778" s="21">
        <v>5.0</v>
      </c>
      <c r="H2778" s="3">
        <v>44790.0</v>
      </c>
      <c r="I2778" s="22" t="s">
        <v>2718</v>
      </c>
    </row>
    <row r="2779">
      <c r="A2779" s="5" t="str">
        <f t="array" ref="A2779">INDEX(event_table!$A$2:$A$69, RANDBETWEEN(1, COUNTA(event_table!$A$2:$A$69)))</f>
        <v>1427</v>
      </c>
      <c r="B2779" s="6">
        <f t="array" ref="B2779">IFERROR(INDEX(event_table!$E$1:$E3686,MATCH(A2779,event_table!$A$1:$A3686,0)),"")
</f>
        <v>4</v>
      </c>
      <c r="C2779" s="7">
        <f t="shared" si="1"/>
        <v>93</v>
      </c>
      <c r="D2779" s="6" t="str">
        <f t="array" ref="D2779">IFERROR(INDEX(user_table!$C$2:$C3686,MATCH(C2779,user_table!$B$2:$B3686,0)),"")
</f>
        <v>Hadi Putri</v>
      </c>
      <c r="E2779" s="6" t="str">
        <f t="array" ref="E2779">IFERROR(INDEX(user_table!$E$2:$E3686,MATCH(C2779,user_table!$B$2:$B3686,0)),"")
</f>
        <v>5, 6</v>
      </c>
      <c r="F2779" s="6" t="str">
        <f t="shared" si="2"/>
        <v>14275493</v>
      </c>
      <c r="G2779" s="21">
        <v>5.0</v>
      </c>
      <c r="H2779" s="3">
        <v>44753.0</v>
      </c>
      <c r="I2779" s="22" t="s">
        <v>2719</v>
      </c>
    </row>
    <row r="2780">
      <c r="A2780" s="5" t="str">
        <f t="array" ref="A2780">INDEX(event_table!$A$2:$A$69, RANDBETWEEN(1, COUNTA(event_table!$A$2:$A$69)))</f>
        <v>114</v>
      </c>
      <c r="B2780" s="6">
        <f t="array" ref="B2780">IFERROR(INDEX(event_table!$E$1:$E3686,MATCH(A2780,event_table!$A$1:$A3686,0)),"")
</f>
        <v>1</v>
      </c>
      <c r="C2780" s="7">
        <f t="shared" si="1"/>
        <v>101</v>
      </c>
      <c r="D2780" s="6" t="str">
        <f t="array" ref="D2780">IFERROR(INDEX(user_table!$C$2:$C3686,MATCH(C2780,user_table!$B$2:$B3686,0)),"")
</f>
        <v>Maya Hadiwijaya</v>
      </c>
      <c r="E2780" s="6" t="str">
        <f t="array" ref="E2780">IFERROR(INDEX(user_table!$E$2:$E3686,MATCH(C2780,user_table!$B$2:$B3686,0)),"")
</f>
        <v>5, 4</v>
      </c>
      <c r="F2780" s="6" t="str">
        <f t="shared" si="2"/>
        <v>11451101</v>
      </c>
      <c r="G2780" s="21">
        <v>5.0</v>
      </c>
      <c r="H2780" s="3">
        <v>44697.0</v>
      </c>
      <c r="I2780" s="22" t="s">
        <v>2720</v>
      </c>
    </row>
    <row r="2781">
      <c r="A2781" s="5" t="str">
        <f t="array" ref="A2781">INDEX(event_table!$A$2:$A$69, RANDBETWEEN(1, COUNTA(event_table!$A$2:$A$69)))</f>
        <v>1423</v>
      </c>
      <c r="B2781" s="6">
        <f t="array" ref="B2781">IFERROR(INDEX(event_table!$E$1:$E3686,MATCH(A2781,event_table!$A$1:$A3686,0)),"")
</f>
        <v>4</v>
      </c>
      <c r="C2781" s="7">
        <f t="shared" si="1"/>
        <v>36</v>
      </c>
      <c r="D2781" s="6" t="str">
        <f t="array" ref="D2781">IFERROR(INDEX(user_table!$C$2:$C3686,MATCH(C2781,user_table!$B$2:$B3686,0)),"")
</f>
        <v>Arif Susanto</v>
      </c>
      <c r="E2781" s="6" t="str">
        <f t="array" ref="E2781">IFERROR(INDEX(user_table!$E$2:$E3686,MATCH(C2781,user_table!$B$2:$B3686,0)),"")
</f>
        <v>3, 5</v>
      </c>
      <c r="F2781" s="6" t="str">
        <f t="shared" si="2"/>
        <v>14235436</v>
      </c>
      <c r="G2781" s="21">
        <v>5.0</v>
      </c>
      <c r="H2781" s="3">
        <v>44695.0</v>
      </c>
      <c r="I2781" s="22" t="s">
        <v>2721</v>
      </c>
    </row>
    <row r="2782">
      <c r="A2782" s="5" t="str">
        <f t="array" ref="A2782">INDEX(event_table!$A$2:$A$69, RANDBETWEEN(1, COUNTA(event_table!$A$2:$A$69)))</f>
        <v>1110</v>
      </c>
      <c r="B2782" s="6">
        <f t="array" ref="B2782">IFERROR(INDEX(event_table!$E$1:$E3686,MATCH(A2782,event_table!$A$1:$A3686,0)),"")
</f>
        <v>1</v>
      </c>
      <c r="C2782" s="7">
        <f t="shared" si="1"/>
        <v>171</v>
      </c>
      <c r="D2782" s="6" t="str">
        <f t="array" ref="D2782">IFERROR(INDEX(user_table!$C$2:$C3686,MATCH(C2782,user_table!$B$2:$B3686,0)),"")
</f>
        <v>Andi Santoso</v>
      </c>
      <c r="E2782" s="6" t="str">
        <f t="array" ref="E2782">IFERROR(INDEX(user_table!$E$2:$E3686,MATCH(C2782,user_table!$B$2:$B3686,0)),"")
</f>
        <v>4, 3</v>
      </c>
      <c r="F2782" s="6" t="str">
        <f t="shared" si="2"/>
        <v>111051171</v>
      </c>
      <c r="G2782" s="21">
        <v>5.0</v>
      </c>
      <c r="H2782" s="3">
        <v>44689.0</v>
      </c>
      <c r="I2782" s="22" t="s">
        <v>2722</v>
      </c>
    </row>
    <row r="2783">
      <c r="A2783" s="5" t="str">
        <f t="array" ref="A2783">INDEX(event_table!$A$2:$A$69, RANDBETWEEN(1, COUNTA(event_table!$A$2:$A$69)))</f>
        <v>1652</v>
      </c>
      <c r="B2783" s="6">
        <f t="array" ref="B2783">IFERROR(INDEX(event_table!$E$1:$E3686,MATCH(A2783,event_table!$A$1:$A3686,0)),"")
</f>
        <v>6</v>
      </c>
      <c r="C2783" s="7">
        <f t="shared" si="1"/>
        <v>25</v>
      </c>
      <c r="D2783" s="6" t="str">
        <f t="array" ref="D2783">IFERROR(INDEX(user_table!$C$2:$C3686,MATCH(C2783,user_table!$B$2:$B3686,0)),"")
</f>
        <v>Agus Hartono</v>
      </c>
      <c r="E2783" s="6" t="str">
        <f t="array" ref="E2783">IFERROR(INDEX(user_table!$E$2:$E3686,MATCH(C2783,user_table!$B$2:$B3686,0)),"")
</f>
        <v>6, 3</v>
      </c>
      <c r="F2783" s="6" t="str">
        <f t="shared" si="2"/>
        <v>16524625</v>
      </c>
      <c r="G2783" s="21">
        <v>4.0</v>
      </c>
      <c r="H2783" s="3">
        <v>45104.0</v>
      </c>
      <c r="I2783" s="22" t="s">
        <v>2723</v>
      </c>
    </row>
    <row r="2784">
      <c r="A2784" s="5" t="str">
        <f t="array" ref="A2784">INDEX(event_table!$A$2:$A$69, RANDBETWEEN(1, COUNTA(event_table!$A$2:$A$69)))</f>
        <v>3162</v>
      </c>
      <c r="B2784" s="6">
        <f t="array" ref="B2784">IFERROR(INDEX(event_table!$E$1:$E3686,MATCH(A2784,event_table!$A$1:$A3686,0)),"")
</f>
        <v>1</v>
      </c>
      <c r="C2784" s="7">
        <f t="shared" si="1"/>
        <v>161</v>
      </c>
      <c r="D2784" s="6" t="str">
        <f t="array" ref="D2784">IFERROR(INDEX(user_table!$C$2:$C3686,MATCH(C2784,user_table!$B$2:$B3686,0)),"")
</f>
        <v>Lina Nugroho</v>
      </c>
      <c r="E2784" s="6" t="str">
        <f t="array" ref="E2784">IFERROR(INDEX(user_table!$E$2:$E3686,MATCH(C2784,user_table!$B$2:$B3686,0)),"")
</f>
        <v>6, 5</v>
      </c>
      <c r="F2784" s="6" t="str">
        <f t="shared" si="2"/>
        <v>316241161</v>
      </c>
      <c r="G2784" s="21">
        <v>4.0</v>
      </c>
      <c r="H2784" s="3">
        <v>45067.0</v>
      </c>
      <c r="I2784" s="22" t="s">
        <v>2724</v>
      </c>
    </row>
    <row r="2785">
      <c r="A2785" s="5" t="str">
        <f t="array" ref="A2785">INDEX(event_table!$A$2:$A$69, RANDBETWEEN(1, COUNTA(event_table!$A$2:$A$69)))</f>
        <v>1424</v>
      </c>
      <c r="B2785" s="6">
        <f t="array" ref="B2785">IFERROR(INDEX(event_table!$E$1:$E3686,MATCH(A2785,event_table!$A$1:$A3686,0)),"")
</f>
        <v>4</v>
      </c>
      <c r="C2785" s="7">
        <f t="shared" si="1"/>
        <v>82</v>
      </c>
      <c r="D2785" s="6" t="str">
        <f t="array" ref="D2785">IFERROR(INDEX(user_table!$C$2:$C3686,MATCH(C2785,user_table!$B$2:$B3686,0)),"")
</f>
        <v>Fandi Nurhayati</v>
      </c>
      <c r="E2785" s="6" t="str">
        <f t="array" ref="E2785">IFERROR(INDEX(user_table!$E$2:$E3686,MATCH(C2785,user_table!$B$2:$B3686,0)),"")
</f>
        <v>3, 2</v>
      </c>
      <c r="F2785" s="6" t="str">
        <f t="shared" si="2"/>
        <v>14244482</v>
      </c>
      <c r="G2785" s="21">
        <v>4.0</v>
      </c>
      <c r="H2785" s="3">
        <v>45063.0</v>
      </c>
      <c r="I2785" s="22" t="s">
        <v>2725</v>
      </c>
    </row>
    <row r="2786">
      <c r="A2786" s="5" t="str">
        <f t="array" ref="A2786">INDEX(event_table!$A$2:$A$69, RANDBETWEEN(1, COUNTA(event_table!$A$2:$A$69)))</f>
        <v>3165</v>
      </c>
      <c r="B2786" s="6">
        <f t="array" ref="B2786">IFERROR(INDEX(event_table!$E$1:$E3686,MATCH(A2786,event_table!$A$1:$A3686,0)),"")
</f>
        <v>1</v>
      </c>
      <c r="C2786" s="7">
        <f t="shared" si="1"/>
        <v>93</v>
      </c>
      <c r="D2786" s="6" t="str">
        <f t="array" ref="D2786">IFERROR(INDEX(user_table!$C$2:$C3686,MATCH(C2786,user_table!$B$2:$B3686,0)),"")
</f>
        <v>Hadi Putri</v>
      </c>
      <c r="E2786" s="6" t="str">
        <f t="array" ref="E2786">IFERROR(INDEX(user_table!$E$2:$E3686,MATCH(C2786,user_table!$B$2:$B3686,0)),"")
</f>
        <v>5, 6</v>
      </c>
      <c r="F2786" s="6" t="str">
        <f t="shared" si="2"/>
        <v>31654193</v>
      </c>
      <c r="G2786" s="21">
        <v>4.0</v>
      </c>
      <c r="H2786" s="3">
        <v>45157.0</v>
      </c>
      <c r="I2786" s="22" t="s">
        <v>2726</v>
      </c>
    </row>
    <row r="2787">
      <c r="A2787" s="5" t="str">
        <f t="array" ref="A2787">INDEX(event_table!$A$2:$A$69, RANDBETWEEN(1, COUNTA(event_table!$A$2:$A$69)))</f>
        <v>1425</v>
      </c>
      <c r="B2787" s="6">
        <f t="array" ref="B2787">IFERROR(INDEX(event_table!$E$1:$E3686,MATCH(A2787,event_table!$A$1:$A3686,0)),"")
</f>
        <v>4</v>
      </c>
      <c r="C2787" s="7">
        <f t="shared" si="1"/>
        <v>7</v>
      </c>
      <c r="D2787" s="6" t="str">
        <f t="array" ref="D2787">IFERROR(INDEX(user_table!$C$2:$C3686,MATCH(C2787,user_table!$B$2:$B3686,0)),"")
</f>
        <v>Maya Sari</v>
      </c>
      <c r="E2787" s="6" t="str">
        <f t="array" ref="E2787">IFERROR(INDEX(user_table!$E$2:$E3686,MATCH(C2787,user_table!$B$2:$B3686,0)),"")
</f>
        <v>5, 2</v>
      </c>
      <c r="F2787" s="6" t="str">
        <f t="shared" si="2"/>
        <v>1425447</v>
      </c>
      <c r="G2787" s="21">
        <v>4.0</v>
      </c>
      <c r="H2787" s="3">
        <v>44865.0</v>
      </c>
      <c r="I2787" s="22" t="s">
        <v>2727</v>
      </c>
    </row>
    <row r="2788">
      <c r="A2788" s="5" t="str">
        <f t="array" ref="A2788">INDEX(event_table!$A$2:$A$69, RANDBETWEEN(1, COUNTA(event_table!$A$2:$A$69)))</f>
        <v>1332</v>
      </c>
      <c r="B2788" s="6">
        <f t="array" ref="B2788">IFERROR(INDEX(event_table!$E$1:$E3686,MATCH(A2788,event_table!$A$1:$A3686,0)),"")
</f>
        <v>3</v>
      </c>
      <c r="C2788" s="7">
        <f t="shared" si="1"/>
        <v>6</v>
      </c>
      <c r="D2788" s="6" t="str">
        <f t="array" ref="D2788">IFERROR(INDEX(user_table!$C$2:$C3686,MATCH(C2788,user_table!$B$2:$B3686,0)),"")
</f>
        <v>Arif Putri</v>
      </c>
      <c r="E2788" s="6" t="str">
        <f t="array" ref="E2788">IFERROR(INDEX(user_table!$E$2:$E3686,MATCH(C2788,user_table!$B$2:$B3686,0)),"")
</f>
        <v>5, 2</v>
      </c>
      <c r="F2788" s="6" t="str">
        <f t="shared" si="2"/>
        <v>1332436</v>
      </c>
      <c r="G2788" s="21">
        <v>4.0</v>
      </c>
      <c r="H2788" s="3">
        <v>44696.0</v>
      </c>
      <c r="I2788" s="22" t="s">
        <v>2728</v>
      </c>
    </row>
    <row r="2789">
      <c r="A2789" s="5" t="str">
        <f t="array" ref="A2789">INDEX(event_table!$A$2:$A$69, RANDBETWEEN(1, COUNTA(event_table!$A$2:$A$69)))</f>
        <v>1636</v>
      </c>
      <c r="B2789" s="6">
        <f t="array" ref="B2789">IFERROR(INDEX(event_table!$E$1:$E3686,MATCH(A2789,event_table!$A$1:$A3686,0)),"")
</f>
        <v>6</v>
      </c>
      <c r="C2789" s="7">
        <f t="shared" si="1"/>
        <v>95</v>
      </c>
      <c r="D2789" s="6" t="str">
        <f t="array" ref="D2789">IFERROR(INDEX(user_table!$C$2:$C3686,MATCH(C2789,user_table!$B$2:$B3686,0)),"")
</f>
        <v>Ani Pratama</v>
      </c>
      <c r="E2789" s="6" t="str">
        <f t="array" ref="E2789">IFERROR(INDEX(user_table!$E$2:$E3686,MATCH(C2789,user_table!$B$2:$B3686,0)),"")
</f>
        <v>3, 5</v>
      </c>
      <c r="F2789" s="6" t="str">
        <f t="shared" si="2"/>
        <v>16364695</v>
      </c>
      <c r="G2789" s="21">
        <v>4.0</v>
      </c>
      <c r="H2789" s="3">
        <v>44691.0</v>
      </c>
      <c r="I2789" s="22" t="s">
        <v>2729</v>
      </c>
    </row>
    <row r="2790">
      <c r="A2790" s="5" t="str">
        <f t="array" ref="A2790">INDEX(event_table!$A$2:$A$69, RANDBETWEEN(1, COUNTA(event_table!$A$2:$A$69)))</f>
        <v>1421</v>
      </c>
      <c r="B2790" s="6">
        <f t="array" ref="B2790">IFERROR(INDEX(event_table!$E$1:$E3686,MATCH(A2790,event_table!$A$1:$A3686,0)),"")
</f>
        <v>4</v>
      </c>
      <c r="C2790" s="7">
        <f t="shared" si="1"/>
        <v>186</v>
      </c>
      <c r="D2790" s="6" t="str">
        <f t="array" ref="D2790">IFERROR(INDEX(user_table!$C$2:$C3686,MATCH(C2790,user_table!$B$2:$B3686,0)),"")
</f>
        <v>Budi Wijaya</v>
      </c>
      <c r="E2790" s="6" t="str">
        <f t="array" ref="E2790">IFERROR(INDEX(user_table!$E$2:$E3686,MATCH(C2790,user_table!$B$2:$B3686,0)),"")
</f>
        <v>1, 4</v>
      </c>
      <c r="F2790" s="6" t="str">
        <f t="shared" si="2"/>
        <v>142144186</v>
      </c>
      <c r="G2790" s="21">
        <v>4.0</v>
      </c>
      <c r="H2790" s="3">
        <v>44689.0</v>
      </c>
      <c r="I2790" s="22" t="s">
        <v>2730</v>
      </c>
    </row>
    <row r="2791">
      <c r="A2791" s="5" t="str">
        <f t="array" ref="A2791">INDEX(event_table!$A$2:$A$69, RANDBETWEEN(1, COUNTA(event_table!$A$2:$A$69)))</f>
        <v>3166</v>
      </c>
      <c r="B2791" s="6">
        <f t="array" ref="B2791">IFERROR(INDEX(event_table!$E$1:$E3686,MATCH(A2791,event_table!$A$1:$A3686,0)),"")
</f>
        <v>1</v>
      </c>
      <c r="C2791" s="7">
        <f t="shared" si="1"/>
        <v>173</v>
      </c>
      <c r="D2791" s="6" t="str">
        <f t="array" ref="D2791">IFERROR(INDEX(user_table!$C$2:$C3686,MATCH(C2791,user_table!$B$2:$B3686,0)),"")
</f>
        <v>Fajar Putri</v>
      </c>
      <c r="E2791" s="6" t="str">
        <f t="array" ref="E2791">IFERROR(INDEX(user_table!$E$2:$E3686,MATCH(C2791,user_table!$B$2:$B3686,0)),"")
</f>
        <v>2, 6</v>
      </c>
      <c r="F2791" s="6" t="str">
        <f t="shared" si="2"/>
        <v>316631173</v>
      </c>
      <c r="G2791" s="21">
        <v>3.0</v>
      </c>
      <c r="H2791" s="3">
        <v>45257.0</v>
      </c>
      <c r="I2791" s="22" t="s">
        <v>83</v>
      </c>
    </row>
    <row r="2792">
      <c r="A2792" s="5" t="str">
        <f t="array" ref="A2792">INDEX(event_table!$A$2:$A$69, RANDBETWEEN(1, COUNTA(event_table!$A$2:$A$69)))</f>
        <v>1645</v>
      </c>
      <c r="B2792" s="6">
        <f t="array" ref="B2792">IFERROR(INDEX(event_table!$E$1:$E3686,MATCH(A2792,event_table!$A$1:$A3686,0)),"")
</f>
        <v>6</v>
      </c>
      <c r="C2792" s="7">
        <f t="shared" si="1"/>
        <v>7</v>
      </c>
      <c r="D2792" s="6" t="str">
        <f t="array" ref="D2792">IFERROR(INDEX(user_table!$C$2:$C3686,MATCH(C2792,user_table!$B$2:$B3686,0)),"")
</f>
        <v>Maya Sari</v>
      </c>
      <c r="E2792" s="6" t="str">
        <f t="array" ref="E2792">IFERROR(INDEX(user_table!$E$2:$E3686,MATCH(C2792,user_table!$B$2:$B3686,0)),"")
</f>
        <v>5, 2</v>
      </c>
      <c r="F2792" s="6" t="str">
        <f t="shared" si="2"/>
        <v>1645367</v>
      </c>
      <c r="G2792" s="21">
        <v>3.0</v>
      </c>
      <c r="H2792" s="3">
        <v>45230.0</v>
      </c>
      <c r="I2792" s="22" t="s">
        <v>914</v>
      </c>
    </row>
    <row r="2793">
      <c r="A2793" s="5" t="str">
        <f t="array" ref="A2793">INDEX(event_table!$A$2:$A$69, RANDBETWEEN(1, COUNTA(event_table!$A$2:$A$69)))</f>
        <v>1639</v>
      </c>
      <c r="B2793" s="6">
        <f t="array" ref="B2793">IFERROR(INDEX(event_table!$E$1:$E3686,MATCH(A2793,event_table!$A$1:$A3686,0)),"")
</f>
        <v>6</v>
      </c>
      <c r="C2793" s="7">
        <f t="shared" si="1"/>
        <v>107</v>
      </c>
      <c r="D2793" s="6" t="str">
        <f t="array" ref="D2793">IFERROR(INDEX(user_table!$C$2:$C3686,MATCH(C2793,user_table!$B$2:$B3686,0)),"")
</f>
        <v>Citra Rahayu</v>
      </c>
      <c r="E2793" s="6" t="str">
        <f t="array" ref="E2793">IFERROR(INDEX(user_table!$E$2:$E3686,MATCH(C2793,user_table!$B$2:$B3686,0)),"")
</f>
        <v>1, 5</v>
      </c>
      <c r="F2793" s="6" t="str">
        <f t="shared" si="2"/>
        <v>163926107</v>
      </c>
      <c r="G2793" s="21">
        <v>2.0</v>
      </c>
      <c r="H2793" s="3">
        <v>45129.0</v>
      </c>
      <c r="I2793" s="22" t="s">
        <v>2731</v>
      </c>
    </row>
    <row r="2794">
      <c r="A2794" s="5" t="str">
        <f t="array" ref="A2794">INDEX(event_table!$A$2:$A$69, RANDBETWEEN(1, COUNTA(event_table!$A$2:$A$69)))</f>
        <v>1114</v>
      </c>
      <c r="B2794" s="6">
        <f t="array" ref="B2794">IFERROR(INDEX(event_table!$E$1:$E3686,MATCH(A2794,event_table!$A$1:$A3686,0)),"")
</f>
        <v>1</v>
      </c>
      <c r="C2794" s="7">
        <f t="shared" si="1"/>
        <v>150</v>
      </c>
      <c r="D2794" s="6" t="str">
        <f t="array" ref="D2794">IFERROR(INDEX(user_table!$C$2:$C3686,MATCH(C2794,user_table!$B$2:$B3686,0)),"")
</f>
        <v>Dina Susanto</v>
      </c>
      <c r="E2794" s="6" t="str">
        <f t="array" ref="E2794">IFERROR(INDEX(user_table!$E$2:$E3686,MATCH(C2794,user_table!$B$2:$B3686,0)),"")
</f>
        <v>2, 6</v>
      </c>
      <c r="F2794" s="6" t="str">
        <f t="shared" si="2"/>
        <v>111421150</v>
      </c>
      <c r="G2794" s="21">
        <v>2.0</v>
      </c>
      <c r="H2794" s="3">
        <v>44862.0</v>
      </c>
      <c r="I2794" s="22" t="s">
        <v>2732</v>
      </c>
    </row>
    <row r="2795">
      <c r="A2795" s="5" t="str">
        <f t="array" ref="A2795">INDEX(event_table!$A$2:$A$69, RANDBETWEEN(1, COUNTA(event_table!$A$2:$A$69)))</f>
        <v>1215</v>
      </c>
      <c r="B2795" s="6">
        <f t="array" ref="B2795">IFERROR(INDEX(event_table!$E$1:$E3686,MATCH(A2795,event_table!$A$1:$A3686,0)),"")
</f>
        <v>2</v>
      </c>
      <c r="C2795" s="7">
        <f t="shared" si="1"/>
        <v>153</v>
      </c>
      <c r="D2795" s="6" t="str">
        <f t="array" ref="D2795">IFERROR(INDEX(user_table!$C$2:$C3686,MATCH(C2795,user_table!$B$2:$B3686,0)),"")
</f>
        <v>Budi Hartono</v>
      </c>
      <c r="E2795" s="6" t="str">
        <f t="array" ref="E2795">IFERROR(INDEX(user_table!$E$2:$E3686,MATCH(C2795,user_table!$B$2:$B3686,0)),"")
</f>
        <v>5, 2</v>
      </c>
      <c r="F2795" s="6" t="str">
        <f t="shared" si="2"/>
        <v>121522153</v>
      </c>
      <c r="G2795" s="21">
        <v>2.0</v>
      </c>
      <c r="H2795" s="3">
        <v>44685.0</v>
      </c>
      <c r="I2795" s="22" t="s">
        <v>2733</v>
      </c>
    </row>
    <row r="2796">
      <c r="A2796" s="5" t="str">
        <f t="array" ref="A2796">INDEX(event_table!$A$2:$A$69, RANDBETWEEN(1, COUNTA(event_table!$A$2:$A$69)))</f>
        <v>1423</v>
      </c>
      <c r="B2796" s="6">
        <f t="array" ref="B2796">IFERROR(INDEX(event_table!$E$1:$E3686,MATCH(A2796,event_table!$A$1:$A3686,0)),"")
</f>
        <v>4</v>
      </c>
      <c r="C2796" s="7">
        <f t="shared" si="1"/>
        <v>32</v>
      </c>
      <c r="D2796" s="6" t="str">
        <f t="array" ref="D2796">IFERROR(INDEX(user_table!$C$2:$C3686,MATCH(C2796,user_table!$B$2:$B3686,0)),"")
</f>
        <v>Ani Setiawan</v>
      </c>
      <c r="E2796" s="6" t="str">
        <f t="array" ref="E2796">IFERROR(INDEX(user_table!$E$2:$E3686,MATCH(C2796,user_table!$B$2:$B3686,0)),"")
</f>
        <v>6, 3</v>
      </c>
      <c r="F2796" s="6" t="str">
        <f t="shared" si="2"/>
        <v>14232432</v>
      </c>
      <c r="G2796" s="21">
        <v>2.0</v>
      </c>
      <c r="H2796" s="3">
        <v>44432.0</v>
      </c>
      <c r="I2796" s="22" t="s">
        <v>2734</v>
      </c>
    </row>
    <row r="2797">
      <c r="A2797" s="5" t="str">
        <f t="array" ref="A2797">INDEX(event_table!$A$2:$A$69, RANDBETWEEN(1, COUNTA(event_table!$A$2:$A$69)))</f>
        <v>114</v>
      </c>
      <c r="B2797" s="6">
        <f t="array" ref="B2797">IFERROR(INDEX(event_table!$E$1:$E3686,MATCH(A2797,event_table!$A$1:$A3686,0)),"")
</f>
        <v>1</v>
      </c>
      <c r="C2797" s="7">
        <f t="shared" si="1"/>
        <v>183</v>
      </c>
      <c r="D2797" s="6" t="str">
        <f t="array" ref="D2797">IFERROR(INDEX(user_table!$C$2:$C3686,MATCH(C2797,user_table!$B$2:$B3686,0)),"")
</f>
        <v>Siti Nugroho</v>
      </c>
      <c r="E2797" s="6" t="str">
        <f t="array" ref="E2797">IFERROR(INDEX(user_table!$E$2:$E3686,MATCH(C2797,user_table!$B$2:$B3686,0)),"")
</f>
        <v>4, 6</v>
      </c>
      <c r="F2797" s="6" t="str">
        <f t="shared" si="2"/>
        <v>11421183</v>
      </c>
      <c r="G2797" s="21">
        <v>2.0</v>
      </c>
      <c r="H2797" s="3">
        <v>44330.0</v>
      </c>
      <c r="I2797" s="22" t="s">
        <v>2735</v>
      </c>
    </row>
    <row r="2798">
      <c r="A2798" s="5" t="str">
        <f t="array" ref="A2798">INDEX(event_table!$A$2:$A$69, RANDBETWEEN(1, COUNTA(event_table!$A$2:$A$69)))</f>
        <v>1649</v>
      </c>
      <c r="B2798" s="6">
        <f t="array" ref="B2798">IFERROR(INDEX(event_table!$E$1:$E3686,MATCH(A2798,event_table!$A$1:$A3686,0)),"")
</f>
        <v>6</v>
      </c>
      <c r="C2798" s="7">
        <f t="shared" si="1"/>
        <v>150</v>
      </c>
      <c r="D2798" s="6" t="str">
        <f t="array" ref="D2798">IFERROR(INDEX(user_table!$C$2:$C3686,MATCH(C2798,user_table!$B$2:$B3686,0)),"")
</f>
        <v>Dina Susanto</v>
      </c>
      <c r="E2798" s="6" t="str">
        <f t="array" ref="E2798">IFERROR(INDEX(user_table!$E$2:$E3686,MATCH(C2798,user_table!$B$2:$B3686,0)),"")
</f>
        <v>2, 6</v>
      </c>
      <c r="F2798" s="6" t="str">
        <f t="shared" si="2"/>
        <v>164926150</v>
      </c>
      <c r="G2798" s="21">
        <v>2.0</v>
      </c>
      <c r="H2798" s="3">
        <v>45174.0</v>
      </c>
      <c r="I2798" s="22" t="s">
        <v>2736</v>
      </c>
    </row>
    <row r="2799">
      <c r="A2799" s="5" t="str">
        <f t="array" ref="A2799">INDEX(event_table!$A$2:$A$69, RANDBETWEEN(1, COUNTA(event_table!$A$2:$A$69)))</f>
        <v>1110</v>
      </c>
      <c r="B2799" s="6">
        <f t="array" ref="B2799">IFERROR(INDEX(event_table!$E$1:$E3686,MATCH(A2799,event_table!$A$1:$A3686,0)),"")
</f>
        <v>1</v>
      </c>
      <c r="C2799" s="7">
        <f t="shared" si="1"/>
        <v>83</v>
      </c>
      <c r="D2799" s="6" t="str">
        <f t="array" ref="D2799">IFERROR(INDEX(user_table!$C$2:$C3686,MATCH(C2799,user_table!$B$2:$B3686,0)),"")
</f>
        <v>Sinta Nurhayati</v>
      </c>
      <c r="E2799" s="6" t="str">
        <f t="array" ref="E2799">IFERROR(INDEX(user_table!$E$2:$E3686,MATCH(C2799,user_table!$B$2:$B3686,0)),"")
</f>
        <v>5, 5</v>
      </c>
      <c r="F2799" s="6" t="str">
        <f t="shared" si="2"/>
        <v>11102183</v>
      </c>
      <c r="G2799" s="21">
        <v>2.0</v>
      </c>
      <c r="H2799" s="3">
        <v>45058.0</v>
      </c>
      <c r="I2799" s="22" t="s">
        <v>2737</v>
      </c>
    </row>
    <row r="2800">
      <c r="A2800" s="5" t="str">
        <f t="array" ref="A2800">INDEX(event_table!$A$2:$A$69, RANDBETWEEN(1, COUNTA(event_table!$A$2:$A$69)))</f>
        <v>1418</v>
      </c>
      <c r="B2800" s="6">
        <f t="array" ref="B2800">IFERROR(INDEX(event_table!$E$1:$E3686,MATCH(A2800,event_table!$A$1:$A3686,0)),"")
</f>
        <v>4</v>
      </c>
      <c r="C2800" s="7">
        <f t="shared" si="1"/>
        <v>10</v>
      </c>
      <c r="D2800" s="6" t="str">
        <f t="array" ref="D2800">IFERROR(INDEX(user_table!$C$2:$C3686,MATCH(C2800,user_table!$B$2:$B3686,0)),"")
</f>
        <v>Dina Susanto</v>
      </c>
      <c r="E2800" s="6" t="str">
        <f t="array" ref="E2800">IFERROR(INDEX(user_table!$E$2:$E3686,MATCH(C2800,user_table!$B$2:$B3686,0)),"")
</f>
        <v>4, 5</v>
      </c>
      <c r="F2800" s="6" t="str">
        <f t="shared" si="2"/>
        <v>14181410</v>
      </c>
      <c r="G2800" s="21">
        <v>1.0</v>
      </c>
      <c r="H2800" s="3">
        <v>45236.0</v>
      </c>
      <c r="I2800" s="22" t="s">
        <v>2738</v>
      </c>
    </row>
    <row r="2801">
      <c r="A2801" s="5" t="str">
        <f t="array" ref="A2801">INDEX(event_table!$A$2:$A$69, RANDBETWEEN(1, COUNTA(event_table!$A$2:$A$69)))</f>
        <v>1333</v>
      </c>
      <c r="B2801" s="6">
        <f t="array" ref="B2801">IFERROR(INDEX(event_table!$E$1:$E3686,MATCH(A2801,event_table!$A$1:$A3686,0)),"")
</f>
        <v>3</v>
      </c>
      <c r="C2801" s="7">
        <f t="shared" si="1"/>
        <v>38</v>
      </c>
      <c r="D2801" s="6" t="str">
        <f t="array" ref="D2801">IFERROR(INDEX(user_table!$C$2:$C3686,MATCH(C2801,user_table!$B$2:$B3686,0)),"")
</f>
        <v>Maya Utami</v>
      </c>
      <c r="E2801" s="6" t="str">
        <f t="array" ref="E2801">IFERROR(INDEX(user_table!$E$2:$E3686,MATCH(C2801,user_table!$B$2:$B3686,0)),"")
</f>
        <v>2, 1</v>
      </c>
      <c r="F2801" s="6" t="str">
        <f t="shared" si="2"/>
        <v>13331338</v>
      </c>
      <c r="G2801" s="21">
        <v>1.0</v>
      </c>
      <c r="H2801" s="3">
        <v>45202.0</v>
      </c>
      <c r="I2801" s="22" t="s">
        <v>2739</v>
      </c>
    </row>
    <row r="2802">
      <c r="A2802" s="5" t="str">
        <f t="array" ref="A2802">INDEX(event_table!$A$2:$A$69, RANDBETWEEN(1, COUNTA(event_table!$A$2:$A$69)))</f>
        <v>115</v>
      </c>
      <c r="B2802" s="6">
        <f t="array" ref="B2802">IFERROR(INDEX(event_table!$E$1:$E3686,MATCH(A2802,event_table!$A$1:$A3686,0)),"")
</f>
        <v>1</v>
      </c>
      <c r="C2802" s="7">
        <f t="shared" si="1"/>
        <v>166</v>
      </c>
      <c r="D2802" s="6" t="str">
        <f t="array" ref="D2802">IFERROR(INDEX(user_table!$C$2:$C3686,MATCH(C2802,user_table!$B$2:$B3686,0)),"")
</f>
        <v>Fajar Nurhayati</v>
      </c>
      <c r="E2802" s="6" t="str">
        <f t="array" ref="E2802">IFERROR(INDEX(user_table!$E$2:$E3686,MATCH(C2802,user_table!$B$2:$B3686,0)),"")
</f>
        <v>3, 5</v>
      </c>
      <c r="F2802" s="6" t="str">
        <f t="shared" si="2"/>
        <v>11511166</v>
      </c>
      <c r="G2802" s="21">
        <v>1.0</v>
      </c>
      <c r="H2802" s="3">
        <v>45192.0</v>
      </c>
      <c r="I2802" s="22" t="s">
        <v>2740</v>
      </c>
    </row>
    <row r="2803">
      <c r="A2803" s="5" t="str">
        <f t="array" ref="A2803">INDEX(event_table!$A$2:$A$69, RANDBETWEEN(1, COUNTA(event_table!$A$2:$A$69)))</f>
        <v>1531</v>
      </c>
      <c r="B2803" s="6">
        <f t="array" ref="B2803">IFERROR(INDEX(event_table!$E$1:$E3686,MATCH(A2803,event_table!$A$1:$A3686,0)),"")
</f>
        <v>5</v>
      </c>
      <c r="C2803" s="7">
        <f t="shared" si="1"/>
        <v>52</v>
      </c>
      <c r="D2803" s="6" t="str">
        <f t="array" ref="D2803">IFERROR(INDEX(user_table!$C$2:$C3686,MATCH(C2803,user_table!$B$2:$B3686,0)),"")
</f>
        <v>Ani Nurhayati</v>
      </c>
      <c r="E2803" s="6" t="str">
        <f t="array" ref="E2803">IFERROR(INDEX(user_table!$E$2:$E3686,MATCH(C2803,user_table!$B$2:$B3686,0)),"")
</f>
        <v>2, 2</v>
      </c>
      <c r="F2803" s="6" t="str">
        <f t="shared" si="2"/>
        <v>15311552</v>
      </c>
      <c r="G2803" s="21">
        <v>1.0</v>
      </c>
      <c r="H2803" s="3">
        <v>45195.0</v>
      </c>
      <c r="I2803" s="22" t="s">
        <v>2741</v>
      </c>
    </row>
    <row r="2804">
      <c r="A2804" s="5" t="str">
        <f t="array" ref="A2804">INDEX(event_table!$A$2:$A$69, RANDBETWEEN(1, COUNTA(event_table!$A$2:$A$69)))</f>
        <v>3163</v>
      </c>
      <c r="B2804" s="6">
        <f t="array" ref="B2804">IFERROR(INDEX(event_table!$E$1:$E3686,MATCH(A2804,event_table!$A$1:$A3686,0)),"")
</f>
        <v>1</v>
      </c>
      <c r="C2804" s="7">
        <f t="shared" si="1"/>
        <v>135</v>
      </c>
      <c r="D2804" s="6" t="str">
        <f t="array" ref="D2804">IFERROR(INDEX(user_table!$C$2:$C3686,MATCH(C2804,user_table!$B$2:$B3686,0)),"")
</f>
        <v>Sinta Hermawan</v>
      </c>
      <c r="E2804" s="6" t="str">
        <f t="array" ref="E2804">IFERROR(INDEX(user_table!$E$2:$E3686,MATCH(C2804,user_table!$B$2:$B3686,0)),"")
</f>
        <v>1, 5</v>
      </c>
      <c r="F2804" s="6" t="str">
        <f t="shared" si="2"/>
        <v>316311135</v>
      </c>
      <c r="G2804" s="21">
        <v>1.0</v>
      </c>
      <c r="H2804" s="3">
        <v>45142.0</v>
      </c>
      <c r="I2804" s="22" t="s">
        <v>2742</v>
      </c>
    </row>
    <row r="2805">
      <c r="A2805" s="5" t="str">
        <f t="array" ref="A2805">INDEX(event_table!$A$2:$A$69, RANDBETWEEN(1, COUNTA(event_table!$A$2:$A$69)))</f>
        <v>1111</v>
      </c>
      <c r="B2805" s="6">
        <f t="array" ref="B2805">IFERROR(INDEX(event_table!$E$1:$E3686,MATCH(A2805,event_table!$A$1:$A3686,0)),"")
</f>
        <v>1</v>
      </c>
      <c r="C2805" s="7">
        <f t="shared" si="1"/>
        <v>29</v>
      </c>
      <c r="D2805" s="6" t="str">
        <f t="array" ref="D2805">IFERROR(INDEX(user_table!$C$2:$C3686,MATCH(C2805,user_table!$B$2:$B3686,0)),"")
</f>
        <v>Bambang Putri</v>
      </c>
      <c r="E2805" s="6" t="str">
        <f t="array" ref="E2805">IFERROR(INDEX(user_table!$E$2:$E3686,MATCH(C2805,user_table!$B$2:$B3686,0)),"")
</f>
        <v>3, 4</v>
      </c>
      <c r="F2805" s="6" t="str">
        <f t="shared" si="2"/>
        <v>11111129</v>
      </c>
      <c r="G2805" s="21">
        <v>1.0</v>
      </c>
      <c r="H2805" s="3">
        <v>45084.0</v>
      </c>
      <c r="I2805" s="22" t="s">
        <v>2743</v>
      </c>
    </row>
    <row r="2806">
      <c r="A2806" s="5" t="str">
        <f t="array" ref="A2806">INDEX(event_table!$A$2:$A$69, RANDBETWEEN(1, COUNTA(event_table!$A$2:$A$69)))</f>
        <v>1530</v>
      </c>
      <c r="B2806" s="6">
        <f t="array" ref="B2806">IFERROR(INDEX(event_table!$E$1:$E3686,MATCH(A2806,event_table!$A$1:$A3686,0)),"")
</f>
        <v>5</v>
      </c>
      <c r="C2806" s="7">
        <f t="shared" si="1"/>
        <v>199</v>
      </c>
      <c r="D2806" s="6" t="str">
        <f t="array" ref="D2806">IFERROR(INDEX(user_table!$C$2:$C3686,MATCH(C2806,user_table!$B$2:$B3686,0)),"")
</f>
        <v>Rudi Putri</v>
      </c>
      <c r="E2806" s="6" t="str">
        <f t="array" ref="E2806">IFERROR(INDEX(user_table!$E$2:$E3686,MATCH(C2806,user_table!$B$2:$B3686,0)),"")
</f>
        <v>2, 1</v>
      </c>
      <c r="F2806" s="6" t="str">
        <f t="shared" si="2"/>
        <v>153055199</v>
      </c>
      <c r="G2806" s="21">
        <v>5.0</v>
      </c>
      <c r="H2806" s="3">
        <v>44749.0</v>
      </c>
      <c r="I2806" s="22" t="s">
        <v>2744</v>
      </c>
    </row>
    <row r="2807">
      <c r="A2807" s="5" t="str">
        <f t="array" ref="A2807">INDEX(event_table!$A$2:$A$69, RANDBETWEEN(1, COUNTA(event_table!$A$2:$A$69)))</f>
        <v>1526</v>
      </c>
      <c r="B2807" s="6">
        <f t="array" ref="B2807">IFERROR(INDEX(event_table!$E$1:$E3686,MATCH(A2807,event_table!$A$1:$A3686,0)),"")
</f>
        <v>5</v>
      </c>
      <c r="C2807" s="7">
        <f t="shared" si="1"/>
        <v>59</v>
      </c>
      <c r="D2807" s="6" t="str">
        <f t="array" ref="D2807">IFERROR(INDEX(user_table!$C$2:$C3686,MATCH(C2807,user_table!$B$2:$B3686,0)),"")
</f>
        <v>Siti Rahayu</v>
      </c>
      <c r="E2807" s="6" t="str">
        <f t="array" ref="E2807">IFERROR(INDEX(user_table!$E$2:$E3686,MATCH(C2807,user_table!$B$2:$B3686,0)),"")
</f>
        <v>3, 5</v>
      </c>
      <c r="F2807" s="6" t="str">
        <f t="shared" si="2"/>
        <v>15265559</v>
      </c>
      <c r="G2807" s="21">
        <v>5.0</v>
      </c>
      <c r="H2807" s="3">
        <v>44747.0</v>
      </c>
      <c r="I2807" s="22" t="s">
        <v>2745</v>
      </c>
    </row>
    <row r="2808">
      <c r="A2808" s="5" t="str">
        <f t="array" ref="A2808">INDEX(event_table!$A$2:$A$69, RANDBETWEEN(1, COUNTA(event_table!$A$2:$A$69)))</f>
        <v>3164</v>
      </c>
      <c r="B2808" s="6">
        <f t="array" ref="B2808">IFERROR(INDEX(event_table!$E$1:$E3686,MATCH(A2808,event_table!$A$1:$A3686,0)),"")
</f>
        <v>1</v>
      </c>
      <c r="C2808" s="7">
        <f t="shared" si="1"/>
        <v>151</v>
      </c>
      <c r="D2808" s="6" t="str">
        <f t="array" ref="D2808">IFERROR(INDEX(user_table!$C$2:$C3686,MATCH(C2808,user_table!$B$2:$B3686,0)),"")
</f>
        <v>Maya Hidayat</v>
      </c>
      <c r="E2808" s="6" t="str">
        <f t="array" ref="E2808">IFERROR(INDEX(user_table!$E$2:$E3686,MATCH(C2808,user_table!$B$2:$B3686,0)),"")
</f>
        <v>2, 3</v>
      </c>
      <c r="F2808" s="6" t="str">
        <f t="shared" si="2"/>
        <v>316451151</v>
      </c>
      <c r="G2808" s="21">
        <v>5.0</v>
      </c>
      <c r="H2808" s="3">
        <v>44747.0</v>
      </c>
      <c r="I2808" s="22" t="s">
        <v>2746</v>
      </c>
    </row>
    <row r="2809">
      <c r="A2809" s="5" t="str">
        <f t="array" ref="A2809">INDEX(event_table!$A$2:$A$69, RANDBETWEEN(1, COUNTA(event_table!$A$2:$A$69)))</f>
        <v>1637</v>
      </c>
      <c r="B2809" s="6">
        <f t="array" ref="B2809">IFERROR(INDEX(event_table!$E$1:$E3686,MATCH(A2809,event_table!$A$1:$A3686,0)),"")
</f>
        <v>6</v>
      </c>
      <c r="C2809" s="7">
        <f t="shared" si="1"/>
        <v>87</v>
      </c>
      <c r="D2809" s="6" t="str">
        <f t="array" ref="D2809">IFERROR(INDEX(user_table!$C$2:$C3686,MATCH(C2809,user_table!$B$2:$B3686,0)),"")
</f>
        <v>Budi Setiawan</v>
      </c>
      <c r="E2809" s="6" t="str">
        <f t="array" ref="E2809">IFERROR(INDEX(user_table!$E$2:$E3686,MATCH(C2809,user_table!$B$2:$B3686,0)),"")
</f>
        <v>3, 5</v>
      </c>
      <c r="F2809" s="6" t="str">
        <f t="shared" si="2"/>
        <v>16375687</v>
      </c>
      <c r="G2809" s="21">
        <v>5.0</v>
      </c>
      <c r="H2809" s="3">
        <v>44715.0</v>
      </c>
      <c r="I2809" s="22" t="s">
        <v>2747</v>
      </c>
    </row>
    <row r="2810">
      <c r="A2810" s="5" t="str">
        <f t="array" ref="A2810">INDEX(event_table!$A$2:$A$69, RANDBETWEEN(1, COUNTA(event_table!$A$2:$A$69)))</f>
        <v>117</v>
      </c>
      <c r="B2810" s="6">
        <f t="array" ref="B2810">IFERROR(INDEX(event_table!$E$1:$E3686,MATCH(A2810,event_table!$A$1:$A3686,0)),"")
</f>
        <v>1</v>
      </c>
      <c r="C2810" s="7">
        <f t="shared" si="1"/>
        <v>166</v>
      </c>
      <c r="D2810" s="6" t="str">
        <f t="array" ref="D2810">IFERROR(INDEX(user_table!$C$2:$C3686,MATCH(C2810,user_table!$B$2:$B3686,0)),"")
</f>
        <v>Fajar Nurhayati</v>
      </c>
      <c r="E2810" s="6" t="str">
        <f t="array" ref="E2810">IFERROR(INDEX(user_table!$E$2:$E3686,MATCH(C2810,user_table!$B$2:$B3686,0)),"")
</f>
        <v>3, 5</v>
      </c>
      <c r="F2810" s="6" t="str">
        <f t="shared" si="2"/>
        <v>11751166</v>
      </c>
      <c r="G2810" s="21">
        <v>5.0</v>
      </c>
      <c r="H2810" s="3">
        <v>44708.0</v>
      </c>
      <c r="I2810" s="22" t="s">
        <v>2748</v>
      </c>
    </row>
    <row r="2811">
      <c r="A2811" s="5" t="str">
        <f t="array" ref="A2811">INDEX(event_table!$A$2:$A$69, RANDBETWEEN(1, COUNTA(event_table!$A$2:$A$69)))</f>
        <v>1212</v>
      </c>
      <c r="B2811" s="6">
        <f t="array" ref="B2811">IFERROR(INDEX(event_table!$E$1:$E3686,MATCH(A2811,event_table!$A$1:$A3686,0)),"")
</f>
        <v>2</v>
      </c>
      <c r="C2811" s="7">
        <f t="shared" si="1"/>
        <v>136</v>
      </c>
      <c r="D2811" s="6" t="str">
        <f t="array" ref="D2811">IFERROR(INDEX(user_table!$C$2:$C3686,MATCH(C2811,user_table!$B$2:$B3686,0)),"")
</f>
        <v>Fandi Purnama</v>
      </c>
      <c r="E2811" s="6" t="str">
        <f t="array" ref="E2811">IFERROR(INDEX(user_table!$E$2:$E3686,MATCH(C2811,user_table!$B$2:$B3686,0)),"")
</f>
        <v>5, 6</v>
      </c>
      <c r="F2811" s="6" t="str">
        <f t="shared" si="2"/>
        <v>121252136</v>
      </c>
      <c r="G2811" s="21">
        <v>5.0</v>
      </c>
      <c r="H2811" s="3">
        <v>44703.0</v>
      </c>
      <c r="I2811" s="22" t="s">
        <v>2749</v>
      </c>
    </row>
    <row r="2812">
      <c r="A2812" s="5" t="str">
        <f t="array" ref="A2812">INDEX(event_table!$A$2:$A$69, RANDBETWEEN(1, COUNTA(event_table!$A$2:$A$69)))</f>
        <v>1114</v>
      </c>
      <c r="B2812" s="6">
        <f t="array" ref="B2812">IFERROR(INDEX(event_table!$E$1:$E3686,MATCH(A2812,event_table!$A$1:$A3686,0)),"")
</f>
        <v>1</v>
      </c>
      <c r="C2812" s="7">
        <f t="shared" si="1"/>
        <v>180</v>
      </c>
      <c r="D2812" s="6" t="str">
        <f t="array" ref="D2812">IFERROR(INDEX(user_table!$C$2:$C3686,MATCH(C2812,user_table!$B$2:$B3686,0)),"")
</f>
        <v>Andi Susanto</v>
      </c>
      <c r="E2812" s="6" t="str">
        <f t="array" ref="E2812">IFERROR(INDEX(user_table!$E$2:$E3686,MATCH(C2812,user_table!$B$2:$B3686,0)),"")
</f>
        <v>6, 5</v>
      </c>
      <c r="F2812" s="6" t="str">
        <f t="shared" si="2"/>
        <v>111451180</v>
      </c>
      <c r="G2812" s="21">
        <v>5.0</v>
      </c>
      <c r="H2812" s="3">
        <v>44696.0</v>
      </c>
      <c r="I2812" s="22" t="s">
        <v>2750</v>
      </c>
    </row>
    <row r="2813">
      <c r="A2813" s="5" t="str">
        <f t="array" ref="A2813">INDEX(event_table!$A$2:$A$69, RANDBETWEEN(1, COUNTA(event_table!$A$2:$A$69)))</f>
        <v>118</v>
      </c>
      <c r="B2813" s="6">
        <f t="array" ref="B2813">IFERROR(INDEX(event_table!$E$1:$E3686,MATCH(A2813,event_table!$A$1:$A3686,0)),"")
</f>
        <v>1</v>
      </c>
      <c r="C2813" s="7">
        <f t="shared" si="1"/>
        <v>128</v>
      </c>
      <c r="D2813" s="6" t="str">
        <f t="array" ref="D2813">IFERROR(INDEX(user_table!$C$2:$C3686,MATCH(C2813,user_table!$B$2:$B3686,0)),"")
</f>
        <v>Bambang Utami</v>
      </c>
      <c r="E2813" s="6" t="str">
        <f t="array" ref="E2813">IFERROR(INDEX(user_table!$E$2:$E3686,MATCH(C2813,user_table!$B$2:$B3686,0)),"")
</f>
        <v>3, 6</v>
      </c>
      <c r="F2813" s="6" t="str">
        <f t="shared" si="2"/>
        <v>11851128</v>
      </c>
      <c r="G2813" s="21">
        <v>5.0</v>
      </c>
      <c r="H2813" s="3">
        <v>44688.0</v>
      </c>
      <c r="I2813" s="22" t="s">
        <v>2751</v>
      </c>
    </row>
    <row r="2814">
      <c r="A2814" s="5" t="str">
        <f t="array" ref="A2814">INDEX(event_table!$A$2:$A$69, RANDBETWEEN(1, COUNTA(event_table!$A$2:$A$69)))</f>
        <v>1646</v>
      </c>
      <c r="B2814" s="6">
        <f t="array" ref="B2814">IFERROR(INDEX(event_table!$E$1:$E3686,MATCH(A2814,event_table!$A$1:$A3686,0)),"")
</f>
        <v>6</v>
      </c>
      <c r="C2814" s="7">
        <f t="shared" si="1"/>
        <v>30</v>
      </c>
      <c r="D2814" s="6" t="str">
        <f t="array" ref="D2814">IFERROR(INDEX(user_table!$C$2:$C3686,MATCH(C2814,user_table!$B$2:$B3686,0)),"")
</f>
        <v>Fajar Kurniawan</v>
      </c>
      <c r="E2814" s="6" t="str">
        <f t="array" ref="E2814">IFERROR(INDEX(user_table!$E$2:$E3686,MATCH(C2814,user_table!$B$2:$B3686,0)),"")
</f>
        <v>5, 3</v>
      </c>
      <c r="F2814" s="6" t="str">
        <f t="shared" si="2"/>
        <v>16465630</v>
      </c>
      <c r="G2814" s="21">
        <v>5.0</v>
      </c>
      <c r="H2814" s="3">
        <v>45250.0</v>
      </c>
      <c r="I2814" s="22" t="s">
        <v>1266</v>
      </c>
    </row>
    <row r="2815">
      <c r="A2815" s="5" t="str">
        <f t="array" ref="A2815">INDEX(event_table!$A$2:$A$69, RANDBETWEEN(1, COUNTA(event_table!$A$2:$A$69)))</f>
        <v>3164</v>
      </c>
      <c r="B2815" s="6">
        <f t="array" ref="B2815">IFERROR(INDEX(event_table!$E$1:$E3686,MATCH(A2815,event_table!$A$1:$A3686,0)),"")
</f>
        <v>1</v>
      </c>
      <c r="C2815" s="7">
        <f t="shared" si="1"/>
        <v>54</v>
      </c>
      <c r="D2815" s="6" t="str">
        <f t="array" ref="D2815">IFERROR(INDEX(user_table!$C$2:$C3686,MATCH(C2815,user_table!$B$2:$B3686,0)),"")
</f>
        <v>Andi Kurniawan</v>
      </c>
      <c r="E2815" s="6" t="str">
        <f t="array" ref="E2815">IFERROR(INDEX(user_table!$E$2:$E3686,MATCH(C2815,user_table!$B$2:$B3686,0)),"")
</f>
        <v>4, 4</v>
      </c>
      <c r="F2815" s="6" t="str">
        <f t="shared" si="2"/>
        <v>31645154</v>
      </c>
      <c r="G2815" s="21">
        <v>5.0</v>
      </c>
      <c r="H2815" s="3">
        <v>45211.0</v>
      </c>
      <c r="I2815" s="22" t="s">
        <v>2752</v>
      </c>
    </row>
    <row r="2816">
      <c r="A2816" s="5" t="str">
        <f t="array" ref="A2816">INDEX(event_table!$A$2:$A$69, RANDBETWEEN(1, COUNTA(event_table!$A$2:$A$69)))</f>
        <v>1110</v>
      </c>
      <c r="B2816" s="6">
        <f t="array" ref="B2816">IFERROR(INDEX(event_table!$E$1:$E3686,MATCH(A2816,event_table!$A$1:$A3686,0)),"")
</f>
        <v>1</v>
      </c>
      <c r="C2816" s="7">
        <f t="shared" si="1"/>
        <v>193</v>
      </c>
      <c r="D2816" s="6" t="str">
        <f t="array" ref="D2816">IFERROR(INDEX(user_table!$C$2:$C3686,MATCH(C2816,user_table!$B$2:$B3686,0)),"")
</f>
        <v>Dina Wijaya</v>
      </c>
      <c r="E2816" s="6" t="str">
        <f t="array" ref="E2816">IFERROR(INDEX(user_table!$E$2:$E3686,MATCH(C2816,user_table!$B$2:$B3686,0)),"")
</f>
        <v>4, 5</v>
      </c>
      <c r="F2816" s="6" t="str">
        <f t="shared" si="2"/>
        <v>111051193</v>
      </c>
      <c r="G2816" s="21">
        <v>5.0</v>
      </c>
      <c r="H2816" s="3">
        <v>45099.0</v>
      </c>
      <c r="I2816" s="22" t="s">
        <v>2753</v>
      </c>
    </row>
    <row r="2817">
      <c r="A2817" s="5" t="str">
        <f t="array" ref="A2817">INDEX(event_table!$A$2:$A$69, RANDBETWEEN(1, COUNTA(event_table!$A$2:$A$69)))</f>
        <v>1332</v>
      </c>
      <c r="B2817" s="6">
        <f t="array" ref="B2817">IFERROR(INDEX(event_table!$E$1:$E3686,MATCH(A2817,event_table!$A$1:$A3686,0)),"")
</f>
        <v>3</v>
      </c>
      <c r="C2817" s="7">
        <f t="shared" si="1"/>
        <v>64</v>
      </c>
      <c r="D2817" s="6" t="str">
        <f t="array" ref="D2817">IFERROR(INDEX(user_table!$C$2:$C3686,MATCH(C2817,user_table!$B$2:$B3686,0)),"")
</f>
        <v>Fajar Utami</v>
      </c>
      <c r="E2817" s="6" t="str">
        <f t="array" ref="E2817">IFERROR(INDEX(user_table!$E$2:$E3686,MATCH(C2817,user_table!$B$2:$B3686,0)),"")
</f>
        <v>5, 2</v>
      </c>
      <c r="F2817" s="6" t="str">
        <f t="shared" si="2"/>
        <v>13325364</v>
      </c>
      <c r="G2817" s="21">
        <v>5.0</v>
      </c>
      <c r="H2817" s="3">
        <v>45026.0</v>
      </c>
      <c r="I2817" s="22" t="s">
        <v>2754</v>
      </c>
    </row>
    <row r="2818">
      <c r="A2818" s="5" t="str">
        <f t="array" ref="A2818">INDEX(event_table!$A$2:$A$69, RANDBETWEEN(1, COUNTA(event_table!$A$2:$A$69)))</f>
        <v>1530</v>
      </c>
      <c r="B2818" s="6">
        <f t="array" ref="B2818">IFERROR(INDEX(event_table!$E$1:$E3686,MATCH(A2818,event_table!$A$1:$A3686,0)),"")
</f>
        <v>5</v>
      </c>
      <c r="C2818" s="7">
        <f t="shared" si="1"/>
        <v>84</v>
      </c>
      <c r="D2818" s="6" t="str">
        <f t="array" ref="D2818">IFERROR(INDEX(user_table!$C$2:$C3686,MATCH(C2818,user_table!$B$2:$B3686,0)),"")
</f>
        <v>Budi Hermawan</v>
      </c>
      <c r="E2818" s="6" t="str">
        <f t="array" ref="E2818">IFERROR(INDEX(user_table!$E$2:$E3686,MATCH(C2818,user_table!$B$2:$B3686,0)),"")
</f>
        <v>5, 5</v>
      </c>
      <c r="F2818" s="6" t="str">
        <f t="shared" si="2"/>
        <v>15305584</v>
      </c>
      <c r="G2818" s="21">
        <v>5.0</v>
      </c>
      <c r="H2818" s="3">
        <v>44830.0</v>
      </c>
      <c r="I2818" s="22" t="s">
        <v>2755</v>
      </c>
    </row>
    <row r="2819">
      <c r="A2819" s="5" t="str">
        <f t="array" ref="A2819">INDEX(event_table!$A$2:$A$69, RANDBETWEEN(1, COUNTA(event_table!$A$2:$A$69)))</f>
        <v>3169</v>
      </c>
      <c r="B2819" s="6">
        <f t="array" ref="B2819">IFERROR(INDEX(event_table!$E$1:$E3686,MATCH(A2819,event_table!$A$1:$A3686,0)),"")
</f>
        <v>1</v>
      </c>
      <c r="C2819" s="7">
        <f t="shared" si="1"/>
        <v>108</v>
      </c>
      <c r="D2819" s="6" t="str">
        <f t="array" ref="D2819">IFERROR(INDEX(user_table!$C$2:$C3686,MATCH(C2819,user_table!$B$2:$B3686,0)),"")
</f>
        <v>Dewi Hadiwijaya</v>
      </c>
      <c r="E2819" s="6" t="str">
        <f t="array" ref="E2819">IFERROR(INDEX(user_table!$E$2:$E3686,MATCH(C2819,user_table!$B$2:$B3686,0)),"")
</f>
        <v>6, 6</v>
      </c>
      <c r="F2819" s="6" t="str">
        <f t="shared" si="2"/>
        <v>316951108</v>
      </c>
      <c r="G2819" s="21">
        <v>5.0</v>
      </c>
      <c r="H2819" s="3">
        <v>44795.0</v>
      </c>
      <c r="I2819" s="22" t="s">
        <v>2756</v>
      </c>
    </row>
    <row r="2820">
      <c r="A2820" s="5" t="str">
        <f t="array" ref="A2820">INDEX(event_table!$A$2:$A$69, RANDBETWEEN(1, COUNTA(event_table!$A$2:$A$69)))</f>
        <v>1420</v>
      </c>
      <c r="B2820" s="6">
        <f t="array" ref="B2820">IFERROR(INDEX(event_table!$E$1:$E3686,MATCH(A2820,event_table!$A$1:$A3686,0)),"")
</f>
        <v>4</v>
      </c>
      <c r="C2820" s="7">
        <f t="shared" si="1"/>
        <v>6</v>
      </c>
      <c r="D2820" s="6" t="str">
        <f t="array" ref="D2820">IFERROR(INDEX(user_table!$C$2:$C3686,MATCH(C2820,user_table!$B$2:$B3686,0)),"")
</f>
        <v>Arif Putri</v>
      </c>
      <c r="E2820" s="6" t="str">
        <f t="array" ref="E2820">IFERROR(INDEX(user_table!$E$2:$E3686,MATCH(C2820,user_table!$B$2:$B3686,0)),"")
</f>
        <v>5, 2</v>
      </c>
      <c r="F2820" s="6" t="str">
        <f t="shared" si="2"/>
        <v>1420446</v>
      </c>
      <c r="G2820" s="21">
        <v>4.0</v>
      </c>
      <c r="H2820" s="3">
        <v>44683.0</v>
      </c>
      <c r="I2820" s="22" t="s">
        <v>2757</v>
      </c>
    </row>
    <row r="2821">
      <c r="A2821" s="5" t="str">
        <f t="array" ref="A2821">INDEX(event_table!$A$2:$A$69, RANDBETWEEN(1, COUNTA(event_table!$A$2:$A$69)))</f>
        <v>111</v>
      </c>
      <c r="B2821" s="6">
        <f t="array" ref="B2821">IFERROR(INDEX(event_table!$E$1:$E3686,MATCH(A2821,event_table!$A$1:$A3686,0)),"")
</f>
        <v>1</v>
      </c>
      <c r="C2821" s="7">
        <f t="shared" si="1"/>
        <v>187</v>
      </c>
      <c r="D2821" s="6" t="str">
        <f t="array" ref="D2821">IFERROR(INDEX(user_table!$C$2:$C3686,MATCH(C2821,user_table!$B$2:$B3686,0)),"")
</f>
        <v>Bambang Saputra</v>
      </c>
      <c r="E2821" s="6" t="str">
        <f t="array" ref="E2821">IFERROR(INDEX(user_table!$E$2:$E3686,MATCH(C2821,user_table!$B$2:$B3686,0)),"")
</f>
        <v>3, 1</v>
      </c>
      <c r="F2821" s="6" t="str">
        <f t="shared" si="2"/>
        <v>11141187</v>
      </c>
      <c r="G2821" s="21">
        <v>4.0</v>
      </c>
      <c r="H2821" s="3">
        <v>44763.0</v>
      </c>
      <c r="I2821" s="22" t="s">
        <v>2758</v>
      </c>
    </row>
    <row r="2822">
      <c r="A2822" s="5" t="str">
        <f t="array" ref="A2822">INDEX(event_table!$A$2:$A$69, RANDBETWEEN(1, COUNTA(event_table!$A$2:$A$69)))</f>
        <v>1421</v>
      </c>
      <c r="B2822" s="6">
        <f t="array" ref="B2822">IFERROR(INDEX(event_table!$E$1:$E3686,MATCH(A2822,event_table!$A$1:$A3686,0)),"")
</f>
        <v>4</v>
      </c>
      <c r="C2822" s="7">
        <f t="shared" si="1"/>
        <v>22</v>
      </c>
      <c r="D2822" s="6" t="str">
        <f t="array" ref="D2822">IFERROR(INDEX(user_table!$C$2:$C3686,MATCH(C2822,user_table!$B$2:$B3686,0)),"")
</f>
        <v>Fajar Wijaya</v>
      </c>
      <c r="E2822" s="6" t="str">
        <f t="array" ref="E2822">IFERROR(INDEX(user_table!$E$2:$E3686,MATCH(C2822,user_table!$B$2:$B3686,0)),"")
</f>
        <v>2, 6</v>
      </c>
      <c r="F2822" s="6" t="str">
        <f t="shared" si="2"/>
        <v>14214422</v>
      </c>
      <c r="G2822" s="21">
        <v>4.0</v>
      </c>
      <c r="H2822" s="3">
        <v>44752.0</v>
      </c>
      <c r="I2822" s="22" t="s">
        <v>2759</v>
      </c>
    </row>
    <row r="2823">
      <c r="A2823" s="5" t="str">
        <f t="array" ref="A2823">INDEX(event_table!$A$2:$A$69, RANDBETWEEN(1, COUNTA(event_table!$A$2:$A$69)))</f>
        <v>3166</v>
      </c>
      <c r="B2823" s="6">
        <f t="array" ref="B2823">IFERROR(INDEX(event_table!$E$1:$E3686,MATCH(A2823,event_table!$A$1:$A3686,0)),"")
</f>
        <v>1</v>
      </c>
      <c r="C2823" s="7">
        <f t="shared" si="1"/>
        <v>143</v>
      </c>
      <c r="D2823" s="6" t="str">
        <f t="array" ref="D2823">IFERROR(INDEX(user_table!$C$2:$C3686,MATCH(C2823,user_table!$B$2:$B3686,0)),"")
</f>
        <v>Agus Putri</v>
      </c>
      <c r="E2823" s="6" t="str">
        <f t="array" ref="E2823">IFERROR(INDEX(user_table!$E$2:$E3686,MATCH(C2823,user_table!$B$2:$B3686,0)),"")
</f>
        <v>3, 3</v>
      </c>
      <c r="F2823" s="6" t="str">
        <f t="shared" si="2"/>
        <v>316641143</v>
      </c>
      <c r="G2823" s="21">
        <v>4.0</v>
      </c>
      <c r="H2823" s="3">
        <v>44732.0</v>
      </c>
      <c r="I2823" s="22" t="s">
        <v>2760</v>
      </c>
    </row>
    <row r="2824">
      <c r="A2824" s="5" t="str">
        <f t="array" ref="A2824">INDEX(event_table!$A$2:$A$69, RANDBETWEEN(1, COUNTA(event_table!$A$2:$A$69)))</f>
        <v>1423</v>
      </c>
      <c r="B2824" s="6">
        <f t="array" ref="B2824">IFERROR(INDEX(event_table!$E$1:$E3686,MATCH(A2824,event_table!$A$1:$A3686,0)),"")
</f>
        <v>4</v>
      </c>
      <c r="C2824" s="7">
        <f t="shared" si="1"/>
        <v>125</v>
      </c>
      <c r="D2824" s="6" t="str">
        <f t="array" ref="D2824">IFERROR(INDEX(user_table!$C$2:$C3686,MATCH(C2824,user_table!$B$2:$B3686,0)),"")
</f>
        <v>Fandi Hidayat</v>
      </c>
      <c r="E2824" s="6" t="str">
        <f t="array" ref="E2824">IFERROR(INDEX(user_table!$E$2:$E3686,MATCH(C2824,user_table!$B$2:$B3686,0)),"")
</f>
        <v>5, 2</v>
      </c>
      <c r="F2824" s="6" t="str">
        <f t="shared" si="2"/>
        <v>142344125</v>
      </c>
      <c r="G2824" s="21">
        <v>4.0</v>
      </c>
      <c r="H2824" s="3">
        <v>44727.0</v>
      </c>
      <c r="I2824" s="22" t="s">
        <v>2761</v>
      </c>
    </row>
    <row r="2825">
      <c r="A2825" s="5" t="str">
        <f t="array" ref="A2825">INDEX(event_table!$A$2:$A$69, RANDBETWEEN(1, COUNTA(event_table!$A$2:$A$69)))</f>
        <v>3167</v>
      </c>
      <c r="B2825" s="6">
        <f t="array" ref="B2825">IFERROR(INDEX(event_table!$E$1:$E3686,MATCH(A2825,event_table!$A$1:$A3686,0)),"")
</f>
        <v>1</v>
      </c>
      <c r="C2825" s="7">
        <f t="shared" si="1"/>
        <v>15</v>
      </c>
      <c r="D2825" s="6" t="str">
        <f t="array" ref="D2825">IFERROR(INDEX(user_table!$C$2:$C3686,MATCH(C2825,user_table!$B$2:$B3686,0)),"")
</f>
        <v>Arif Kurniawan</v>
      </c>
      <c r="E2825" s="6" t="str">
        <f t="array" ref="E2825">IFERROR(INDEX(user_table!$E$2:$E3686,MATCH(C2825,user_table!$B$2:$B3686,0)),"")
</f>
        <v>3, 1</v>
      </c>
      <c r="F2825" s="6" t="str">
        <f t="shared" si="2"/>
        <v>31674115</v>
      </c>
      <c r="G2825" s="21">
        <v>4.0</v>
      </c>
      <c r="H2825" s="3">
        <v>44724.0</v>
      </c>
      <c r="I2825" s="22" t="s">
        <v>2762</v>
      </c>
    </row>
    <row r="2826">
      <c r="A2826" s="5" t="str">
        <f t="array" ref="A2826">INDEX(event_table!$A$2:$A$69, RANDBETWEEN(1, COUNTA(event_table!$A$2:$A$69)))</f>
        <v>114</v>
      </c>
      <c r="B2826" s="6">
        <f t="array" ref="B2826">IFERROR(INDEX(event_table!$E$1:$E3686,MATCH(A2826,event_table!$A$1:$A3686,0)),"")
</f>
        <v>1</v>
      </c>
      <c r="C2826" s="7">
        <f t="shared" si="1"/>
        <v>15</v>
      </c>
      <c r="D2826" s="6" t="str">
        <f t="array" ref="D2826">IFERROR(INDEX(user_table!$C$2:$C3686,MATCH(C2826,user_table!$B$2:$B3686,0)),"")
</f>
        <v>Arif Kurniawan</v>
      </c>
      <c r="E2826" s="6" t="str">
        <f t="array" ref="E2826">IFERROR(INDEX(user_table!$E$2:$E3686,MATCH(C2826,user_table!$B$2:$B3686,0)),"")
</f>
        <v>3, 1</v>
      </c>
      <c r="F2826" s="6" t="str">
        <f t="shared" si="2"/>
        <v>1144115</v>
      </c>
      <c r="G2826" s="21">
        <v>4.0</v>
      </c>
      <c r="H2826" s="3">
        <v>44722.0</v>
      </c>
      <c r="I2826" s="22" t="s">
        <v>2763</v>
      </c>
    </row>
    <row r="2827">
      <c r="A2827" s="5" t="str">
        <f t="array" ref="A2827">INDEX(event_table!$A$2:$A$69, RANDBETWEEN(1, COUNTA(event_table!$A$2:$A$69)))</f>
        <v>3657</v>
      </c>
      <c r="B2827" s="6">
        <f t="array" ref="B2827">IFERROR(INDEX(event_table!$E$1:$E3686,MATCH(A2827,event_table!$A$1:$A3686,0)),"")
</f>
        <v>6</v>
      </c>
      <c r="C2827" s="7">
        <f t="shared" si="1"/>
        <v>196</v>
      </c>
      <c r="D2827" s="6" t="str">
        <f t="array" ref="D2827">IFERROR(INDEX(user_table!$C$2:$C3686,MATCH(C2827,user_table!$B$2:$B3686,0)),"")
</f>
        <v>Dewi Susanto</v>
      </c>
      <c r="E2827" s="6" t="str">
        <f t="array" ref="E2827">IFERROR(INDEX(user_table!$E$2:$E3686,MATCH(C2827,user_table!$B$2:$B3686,0)),"")
</f>
        <v>2, 1</v>
      </c>
      <c r="F2827" s="6" t="str">
        <f t="shared" si="2"/>
        <v>365746196</v>
      </c>
      <c r="G2827" s="21">
        <v>4.0</v>
      </c>
      <c r="H2827" s="3">
        <v>44937.0</v>
      </c>
      <c r="I2827" s="22" t="s">
        <v>2764</v>
      </c>
    </row>
    <row r="2828">
      <c r="A2828" s="5" t="str">
        <f t="array" ref="A2828">INDEX(event_table!$A$2:$A$69, RANDBETWEEN(1, COUNTA(event_table!$A$2:$A$69)))</f>
        <v>3168</v>
      </c>
      <c r="B2828" s="6">
        <f t="array" ref="B2828">IFERROR(INDEX(event_table!$E$1:$E3686,MATCH(A2828,event_table!$A$1:$A3686,0)),"")
</f>
        <v>1</v>
      </c>
      <c r="C2828" s="7">
        <f t="shared" si="1"/>
        <v>22</v>
      </c>
      <c r="D2828" s="6" t="str">
        <f t="array" ref="D2828">IFERROR(INDEX(user_table!$C$2:$C3686,MATCH(C2828,user_table!$B$2:$B3686,0)),"")
</f>
        <v>Fajar Wijaya</v>
      </c>
      <c r="E2828" s="6" t="str">
        <f t="array" ref="E2828">IFERROR(INDEX(user_table!$E$2:$E3686,MATCH(C2828,user_table!$B$2:$B3686,0)),"")
</f>
        <v>2, 6</v>
      </c>
      <c r="F2828" s="6" t="str">
        <f t="shared" si="2"/>
        <v>31684122</v>
      </c>
      <c r="G2828" s="21">
        <v>4.0</v>
      </c>
      <c r="H2828" s="3">
        <v>44842.0</v>
      </c>
      <c r="I2828" s="22" t="s">
        <v>2765</v>
      </c>
    </row>
    <row r="2829">
      <c r="A2829" s="5" t="str">
        <f t="array" ref="A2829">INDEX(event_table!$A$2:$A$69, RANDBETWEEN(1, COUNTA(event_table!$A$2:$A$69)))</f>
        <v>1420</v>
      </c>
      <c r="B2829" s="6">
        <f t="array" ref="B2829">IFERROR(INDEX(event_table!$E$1:$E3686,MATCH(A2829,event_table!$A$1:$A3686,0)),"")
</f>
        <v>4</v>
      </c>
      <c r="C2829" s="7">
        <f t="shared" si="1"/>
        <v>50</v>
      </c>
      <c r="D2829" s="6" t="str">
        <f t="array" ref="D2829">IFERROR(INDEX(user_table!$C$2:$C3686,MATCH(C2829,user_table!$B$2:$B3686,0)),"")
</f>
        <v>Hadi Santoso</v>
      </c>
      <c r="E2829" s="6" t="str">
        <f t="array" ref="E2829">IFERROR(INDEX(user_table!$E$2:$E3686,MATCH(C2829,user_table!$B$2:$B3686,0)),"")
</f>
        <v>5, 4</v>
      </c>
      <c r="F2829" s="6" t="str">
        <f t="shared" si="2"/>
        <v>14204450</v>
      </c>
      <c r="G2829" s="21">
        <v>4.0</v>
      </c>
      <c r="H2829" s="3">
        <v>44754.0</v>
      </c>
      <c r="I2829" s="22" t="s">
        <v>2766</v>
      </c>
    </row>
    <row r="2830">
      <c r="A2830" s="5" t="str">
        <f t="array" ref="A2830">INDEX(event_table!$A$2:$A$69, RANDBETWEEN(1, COUNTA(event_table!$A$2:$A$69)))</f>
        <v>1333</v>
      </c>
      <c r="B2830" s="6">
        <f t="array" ref="B2830">IFERROR(INDEX(event_table!$E$1:$E3686,MATCH(A2830,event_table!$A$1:$A3686,0)),"")
</f>
        <v>3</v>
      </c>
      <c r="C2830" s="7">
        <f t="shared" si="1"/>
        <v>146</v>
      </c>
      <c r="D2830" s="6" t="str">
        <f t="array" ref="D2830">IFERROR(INDEX(user_table!$C$2:$C3686,MATCH(C2830,user_table!$B$2:$B3686,0)),"")
</f>
        <v>Rudi Susanto</v>
      </c>
      <c r="E2830" s="6" t="str">
        <f t="array" ref="E2830">IFERROR(INDEX(user_table!$E$2:$E3686,MATCH(C2830,user_table!$B$2:$B3686,0)),"")
</f>
        <v>6, 1</v>
      </c>
      <c r="F2830" s="6" t="str">
        <f t="shared" si="2"/>
        <v>133343146</v>
      </c>
      <c r="G2830" s="21">
        <v>4.0</v>
      </c>
      <c r="H2830" s="3">
        <v>44703.0</v>
      </c>
      <c r="I2830" s="22" t="s">
        <v>2767</v>
      </c>
    </row>
    <row r="2831">
      <c r="A2831" s="5" t="str">
        <f t="array" ref="A2831">INDEX(event_table!$A$2:$A$69, RANDBETWEEN(1, COUNTA(event_table!$A$2:$A$69)))</f>
        <v>3162</v>
      </c>
      <c r="B2831" s="6">
        <f t="array" ref="B2831">IFERROR(INDEX(event_table!$E$1:$E3686,MATCH(A2831,event_table!$A$1:$A3686,0)),"")
</f>
        <v>1</v>
      </c>
      <c r="C2831" s="7">
        <f t="shared" si="1"/>
        <v>111</v>
      </c>
      <c r="D2831" s="6" t="str">
        <f t="array" ref="D2831">IFERROR(INDEX(user_table!$C$2:$C3686,MATCH(C2831,user_table!$B$2:$B3686,0)),"")
</f>
        <v>Hadi Kurniawan</v>
      </c>
      <c r="E2831" s="6" t="str">
        <f t="array" ref="E2831">IFERROR(INDEX(user_table!$E$2:$E3686,MATCH(C2831,user_table!$B$2:$B3686,0)),"")
</f>
        <v>3, 4</v>
      </c>
      <c r="F2831" s="6" t="str">
        <f t="shared" si="2"/>
        <v>316241111</v>
      </c>
      <c r="G2831" s="21">
        <v>4.0</v>
      </c>
      <c r="H2831" s="3">
        <v>44687.0</v>
      </c>
      <c r="I2831" s="22" t="s">
        <v>2768</v>
      </c>
    </row>
    <row r="2832">
      <c r="A2832" s="5" t="str">
        <f t="array" ref="A2832">INDEX(event_table!$A$2:$A$69, RANDBETWEEN(1, COUNTA(event_table!$A$2:$A$69)))</f>
        <v>1645</v>
      </c>
      <c r="B2832" s="6">
        <f t="array" ref="B2832">IFERROR(INDEX(event_table!$E$1:$E3686,MATCH(A2832,event_table!$A$1:$A3686,0)),"")
</f>
        <v>6</v>
      </c>
      <c r="C2832" s="7">
        <f t="shared" si="1"/>
        <v>18</v>
      </c>
      <c r="D2832" s="6" t="str">
        <f t="array" ref="D2832">IFERROR(INDEX(user_table!$C$2:$C3686,MATCH(C2832,user_table!$B$2:$B3686,0)),"")
</f>
        <v>Rudi Santoso</v>
      </c>
      <c r="E2832" s="6" t="str">
        <f t="array" ref="E2832">IFERROR(INDEX(user_table!$E$2:$E3686,MATCH(C2832,user_table!$B$2:$B3686,0)),"")
</f>
        <v>4, 2</v>
      </c>
      <c r="F2832" s="6" t="str">
        <f t="shared" si="2"/>
        <v>16453618</v>
      </c>
      <c r="G2832" s="21">
        <v>3.0</v>
      </c>
      <c r="H2832" s="3">
        <v>45041.0</v>
      </c>
      <c r="I2832" s="22" t="s">
        <v>2769</v>
      </c>
    </row>
    <row r="2833">
      <c r="A2833" s="5" t="str">
        <f t="array" ref="A2833">INDEX(event_table!$A$2:$A$69, RANDBETWEEN(1, COUNTA(event_table!$A$2:$A$69)))</f>
        <v>3164</v>
      </c>
      <c r="B2833" s="6">
        <f t="array" ref="B2833">IFERROR(INDEX(event_table!$E$1:$E3686,MATCH(A2833,event_table!$A$1:$A3686,0)),"")
</f>
        <v>1</v>
      </c>
      <c r="C2833" s="7">
        <f t="shared" si="1"/>
        <v>124</v>
      </c>
      <c r="D2833" s="6" t="str">
        <f t="array" ref="D2833">IFERROR(INDEX(user_table!$C$2:$C3686,MATCH(C2833,user_table!$B$2:$B3686,0)),"")
</f>
        <v>Fandi Setiawan</v>
      </c>
      <c r="E2833" s="6" t="str">
        <f t="array" ref="E2833">IFERROR(INDEX(user_table!$E$2:$E3686,MATCH(C2833,user_table!$B$2:$B3686,0)),"")
</f>
        <v>5, 4</v>
      </c>
      <c r="F2833" s="6" t="str">
        <f t="shared" si="2"/>
        <v>316431124</v>
      </c>
      <c r="G2833" s="21">
        <v>3.0</v>
      </c>
      <c r="H2833" s="3">
        <v>44687.0</v>
      </c>
      <c r="I2833" s="22" t="s">
        <v>912</v>
      </c>
    </row>
    <row r="2834">
      <c r="A2834" s="5" t="str">
        <f t="array" ref="A2834">INDEX(event_table!$A$2:$A$69, RANDBETWEEN(1, COUNTA(event_table!$A$2:$A$69)))</f>
        <v>3454</v>
      </c>
      <c r="B2834" s="6">
        <f t="array" ref="B2834">IFERROR(INDEX(event_table!$E$1:$E3686,MATCH(A2834,event_table!$A$1:$A3686,0)),"")
</f>
        <v>4</v>
      </c>
      <c r="C2834" s="7">
        <f t="shared" si="1"/>
        <v>156</v>
      </c>
      <c r="D2834" s="6" t="str">
        <f t="array" ref="D2834">IFERROR(INDEX(user_table!$C$2:$C3686,MATCH(C2834,user_table!$B$2:$B3686,0)),"")
</f>
        <v>Lina Kusuma</v>
      </c>
      <c r="E2834" s="6" t="str">
        <f t="array" ref="E2834">IFERROR(INDEX(user_table!$E$2:$E3686,MATCH(C2834,user_table!$B$2:$B3686,0)),"")
</f>
        <v>4, 3</v>
      </c>
      <c r="F2834" s="6" t="str">
        <f t="shared" si="2"/>
        <v>345434156</v>
      </c>
      <c r="G2834" s="21">
        <v>3.0</v>
      </c>
      <c r="H2834" s="3">
        <v>45198.0</v>
      </c>
      <c r="I2834" s="22" t="s">
        <v>2770</v>
      </c>
    </row>
    <row r="2835">
      <c r="A2835" s="5" t="str">
        <f t="array" ref="A2835">INDEX(event_table!$A$2:$A$69, RANDBETWEEN(1, COUNTA(event_table!$A$2:$A$69)))</f>
        <v>3454</v>
      </c>
      <c r="B2835" s="6">
        <f t="array" ref="B2835">IFERROR(INDEX(event_table!$E$1:$E3686,MATCH(A2835,event_table!$A$1:$A3686,0)),"")
</f>
        <v>4</v>
      </c>
      <c r="C2835" s="7">
        <f t="shared" si="1"/>
        <v>164</v>
      </c>
      <c r="D2835" s="6" t="str">
        <f t="array" ref="D2835">IFERROR(INDEX(user_table!$C$2:$C3686,MATCH(C2835,user_table!$B$2:$B3686,0)),"")
</f>
        <v>Bambang Purnama</v>
      </c>
      <c r="E2835" s="6" t="str">
        <f t="array" ref="E2835">IFERROR(INDEX(user_table!$E$2:$E3686,MATCH(C2835,user_table!$B$2:$B3686,0)),"")
</f>
        <v>2, 3</v>
      </c>
      <c r="F2835" s="6" t="str">
        <f t="shared" si="2"/>
        <v>345434164</v>
      </c>
      <c r="G2835" s="21">
        <v>3.0</v>
      </c>
      <c r="H2835" s="3">
        <v>45149.0</v>
      </c>
      <c r="I2835" s="22" t="s">
        <v>2771</v>
      </c>
    </row>
    <row r="2836">
      <c r="A2836" s="5" t="str">
        <f t="array" ref="A2836">INDEX(event_table!$A$2:$A$69, RANDBETWEEN(1, COUNTA(event_table!$A$2:$A$69)))</f>
        <v>1650</v>
      </c>
      <c r="B2836" s="6">
        <f t="array" ref="B2836">IFERROR(INDEX(event_table!$E$1:$E3686,MATCH(A2836,event_table!$A$1:$A3686,0)),"")
</f>
        <v>6</v>
      </c>
      <c r="C2836" s="7">
        <f t="shared" si="1"/>
        <v>30</v>
      </c>
      <c r="D2836" s="6" t="str">
        <f t="array" ref="D2836">IFERROR(INDEX(user_table!$C$2:$C3686,MATCH(C2836,user_table!$B$2:$B3686,0)),"")
</f>
        <v>Fajar Kurniawan</v>
      </c>
      <c r="E2836" s="6" t="str">
        <f t="array" ref="E2836">IFERROR(INDEX(user_table!$E$2:$E3686,MATCH(C2836,user_table!$B$2:$B3686,0)),"")
</f>
        <v>5, 3</v>
      </c>
      <c r="F2836" s="6" t="str">
        <f t="shared" si="2"/>
        <v>16502630</v>
      </c>
      <c r="G2836" s="21">
        <v>2.0</v>
      </c>
      <c r="H2836" s="3">
        <v>45108.0</v>
      </c>
      <c r="I2836" s="22" t="s">
        <v>2772</v>
      </c>
    </row>
    <row r="2837">
      <c r="A2837" s="5" t="str">
        <f t="array" ref="A2837">INDEX(event_table!$A$2:$A$69, RANDBETWEEN(1, COUNTA(event_table!$A$2:$A$69)))</f>
        <v>3455</v>
      </c>
      <c r="B2837" s="6">
        <f t="array" ref="B2837">IFERROR(INDEX(event_table!$E$1:$E3686,MATCH(A2837,event_table!$A$1:$A3686,0)),"")
</f>
        <v>4</v>
      </c>
      <c r="C2837" s="7">
        <f t="shared" si="1"/>
        <v>89</v>
      </c>
      <c r="D2837" s="6" t="str">
        <f t="array" ref="D2837">IFERROR(INDEX(user_table!$C$2:$C3686,MATCH(C2837,user_table!$B$2:$B3686,0)),"")
</f>
        <v>Hadi Wijaya</v>
      </c>
      <c r="E2837" s="6" t="str">
        <f t="array" ref="E2837">IFERROR(INDEX(user_table!$E$2:$E3686,MATCH(C2837,user_table!$B$2:$B3686,0)),"")
</f>
        <v>6, 4</v>
      </c>
      <c r="F2837" s="6" t="str">
        <f t="shared" si="2"/>
        <v>34552489</v>
      </c>
      <c r="G2837" s="21">
        <v>2.0</v>
      </c>
      <c r="H2837" s="3">
        <v>44912.0</v>
      </c>
      <c r="I2837" s="22" t="s">
        <v>2773</v>
      </c>
    </row>
    <row r="2838">
      <c r="A2838" s="5" t="str">
        <f t="array" ref="A2838">INDEX(event_table!$A$2:$A$69, RANDBETWEEN(1, COUNTA(event_table!$A$2:$A$69)))</f>
        <v>114</v>
      </c>
      <c r="B2838" s="6">
        <f t="array" ref="B2838">IFERROR(INDEX(event_table!$E$1:$E3686,MATCH(A2838,event_table!$A$1:$A3686,0)),"")
</f>
        <v>1</v>
      </c>
      <c r="C2838" s="7">
        <f t="shared" si="1"/>
        <v>183</v>
      </c>
      <c r="D2838" s="6" t="str">
        <f t="array" ref="D2838">IFERROR(INDEX(user_table!$C$2:$C3686,MATCH(C2838,user_table!$B$2:$B3686,0)),"")
</f>
        <v>Siti Nugroho</v>
      </c>
      <c r="E2838" s="6" t="str">
        <f t="array" ref="E2838">IFERROR(INDEX(user_table!$E$2:$E3686,MATCH(C2838,user_table!$B$2:$B3686,0)),"")
</f>
        <v>4, 6</v>
      </c>
      <c r="F2838" s="6" t="str">
        <f t="shared" si="2"/>
        <v>11421183</v>
      </c>
      <c r="G2838" s="21">
        <v>2.0</v>
      </c>
      <c r="H2838" s="3">
        <v>44865.0</v>
      </c>
      <c r="I2838" s="22" t="s">
        <v>2774</v>
      </c>
    </row>
    <row r="2839">
      <c r="A2839" s="5" t="str">
        <f t="array" ref="A2839">INDEX(event_table!$A$2:$A$69, RANDBETWEEN(1, COUNTA(event_table!$A$2:$A$69)))</f>
        <v>1332</v>
      </c>
      <c r="B2839" s="6">
        <f t="array" ref="B2839">IFERROR(INDEX(event_table!$E$1:$E3686,MATCH(A2839,event_table!$A$1:$A3686,0)),"")
</f>
        <v>3</v>
      </c>
      <c r="C2839" s="7">
        <f t="shared" si="1"/>
        <v>89</v>
      </c>
      <c r="D2839" s="6" t="str">
        <f t="array" ref="D2839">IFERROR(INDEX(user_table!$C$2:$C3686,MATCH(C2839,user_table!$B$2:$B3686,0)),"")
</f>
        <v>Hadi Wijaya</v>
      </c>
      <c r="E2839" s="6" t="str">
        <f t="array" ref="E2839">IFERROR(INDEX(user_table!$E$2:$E3686,MATCH(C2839,user_table!$B$2:$B3686,0)),"")
</f>
        <v>6, 4</v>
      </c>
      <c r="F2839" s="6" t="str">
        <f t="shared" si="2"/>
        <v>13322389</v>
      </c>
      <c r="G2839" s="21">
        <v>2.0</v>
      </c>
      <c r="H2839" s="3">
        <v>44794.0</v>
      </c>
      <c r="I2839" s="22" t="s">
        <v>2775</v>
      </c>
    </row>
    <row r="2840">
      <c r="A2840" s="5" t="str">
        <f t="array" ref="A2840">INDEX(event_table!$A$2:$A$69, RANDBETWEEN(1, COUNTA(event_table!$A$2:$A$69)))</f>
        <v>3162</v>
      </c>
      <c r="B2840" s="6">
        <f t="array" ref="B2840">IFERROR(INDEX(event_table!$E$1:$E3686,MATCH(A2840,event_table!$A$1:$A3686,0)),"")
</f>
        <v>1</v>
      </c>
      <c r="C2840" s="7">
        <f t="shared" si="1"/>
        <v>70</v>
      </c>
      <c r="D2840" s="6" t="str">
        <f t="array" ref="D2840">IFERROR(INDEX(user_table!$C$2:$C3686,MATCH(C2840,user_table!$B$2:$B3686,0)),"")
</f>
        <v>Fandi Hadiwijaya</v>
      </c>
      <c r="E2840" s="6" t="str">
        <f t="array" ref="E2840">IFERROR(INDEX(user_table!$E$2:$E3686,MATCH(C2840,user_table!$B$2:$B3686,0)),"")
</f>
        <v>1, 4</v>
      </c>
      <c r="F2840" s="6" t="str">
        <f t="shared" si="2"/>
        <v>31622170</v>
      </c>
      <c r="G2840" s="21">
        <v>2.0</v>
      </c>
      <c r="H2840" s="3">
        <v>44705.0</v>
      </c>
      <c r="I2840" s="22" t="s">
        <v>2776</v>
      </c>
    </row>
    <row r="2841">
      <c r="A2841" s="5" t="str">
        <f t="array" ref="A2841">INDEX(event_table!$A$2:$A$69, RANDBETWEEN(1, COUNTA(event_table!$A$2:$A$69)))</f>
        <v>113</v>
      </c>
      <c r="B2841" s="6">
        <f t="array" ref="B2841">IFERROR(INDEX(event_table!$E$1:$E3686,MATCH(A2841,event_table!$A$1:$A3686,0)),"")
</f>
        <v>1</v>
      </c>
      <c r="C2841" s="7">
        <f t="shared" si="1"/>
        <v>123</v>
      </c>
      <c r="D2841" s="6" t="str">
        <f t="array" ref="D2841">IFERROR(INDEX(user_table!$C$2:$C3686,MATCH(C2841,user_table!$B$2:$B3686,0)),"")
</f>
        <v>Lina Hartono</v>
      </c>
      <c r="E2841" s="6" t="str">
        <f t="array" ref="E2841">IFERROR(INDEX(user_table!$E$2:$E3686,MATCH(C2841,user_table!$B$2:$B3686,0)),"")
</f>
        <v>6, 5</v>
      </c>
      <c r="F2841" s="6" t="str">
        <f t="shared" si="2"/>
        <v>11321123</v>
      </c>
      <c r="G2841" s="21">
        <v>2.0</v>
      </c>
      <c r="H2841" s="3">
        <v>44535.0</v>
      </c>
      <c r="I2841" s="22" t="s">
        <v>2777</v>
      </c>
    </row>
    <row r="2842">
      <c r="A2842" s="5" t="str">
        <f t="array" ref="A2842">INDEX(event_table!$A$2:$A$69, RANDBETWEEN(1, COUNTA(event_table!$A$2:$A$69)))</f>
        <v>1647</v>
      </c>
      <c r="B2842" s="6">
        <f t="array" ref="B2842">IFERROR(INDEX(event_table!$E$1:$E3686,MATCH(A2842,event_table!$A$1:$A3686,0)),"")
</f>
        <v>6</v>
      </c>
      <c r="C2842" s="7">
        <f t="shared" si="1"/>
        <v>7</v>
      </c>
      <c r="D2842" s="6" t="str">
        <f t="array" ref="D2842">IFERROR(INDEX(user_table!$C$2:$C3686,MATCH(C2842,user_table!$B$2:$B3686,0)),"")
</f>
        <v>Maya Sari</v>
      </c>
      <c r="E2842" s="6" t="str">
        <f t="array" ref="E2842">IFERROR(INDEX(user_table!$E$2:$E3686,MATCH(C2842,user_table!$B$2:$B3686,0)),"")
</f>
        <v>5, 2</v>
      </c>
      <c r="F2842" s="6" t="str">
        <f t="shared" si="2"/>
        <v>1647267</v>
      </c>
      <c r="G2842" s="21">
        <v>2.0</v>
      </c>
      <c r="H2842" s="3">
        <v>45180.0</v>
      </c>
      <c r="I2842" s="22" t="s">
        <v>2778</v>
      </c>
    </row>
    <row r="2843">
      <c r="A2843" s="5" t="str">
        <f t="array" ref="A2843">INDEX(event_table!$A$2:$A$69, RANDBETWEEN(1, COUNTA(event_table!$A$2:$A$69)))</f>
        <v>113</v>
      </c>
      <c r="B2843" s="6">
        <f t="array" ref="B2843">IFERROR(INDEX(event_table!$E$1:$E3686,MATCH(A2843,event_table!$A$1:$A3686,0)),"")
</f>
        <v>1</v>
      </c>
      <c r="C2843" s="7">
        <f t="shared" si="1"/>
        <v>52</v>
      </c>
      <c r="D2843" s="6" t="str">
        <f t="array" ref="D2843">IFERROR(INDEX(user_table!$C$2:$C3686,MATCH(C2843,user_table!$B$2:$B3686,0)),"")
</f>
        <v>Ani Nurhayati</v>
      </c>
      <c r="E2843" s="6" t="str">
        <f t="array" ref="E2843">IFERROR(INDEX(user_table!$E$2:$E3686,MATCH(C2843,user_table!$B$2:$B3686,0)),"")
</f>
        <v>2, 2</v>
      </c>
      <c r="F2843" s="6" t="str">
        <f t="shared" si="2"/>
        <v>1132152</v>
      </c>
      <c r="G2843" s="21">
        <v>2.0</v>
      </c>
      <c r="H2843" s="3">
        <v>45124.0</v>
      </c>
      <c r="I2843" s="22" t="s">
        <v>2473</v>
      </c>
    </row>
    <row r="2844">
      <c r="A2844" s="5" t="str">
        <f t="array" ref="A2844">INDEX(event_table!$A$2:$A$69, RANDBETWEEN(1, COUNTA(event_table!$A$2:$A$69)))</f>
        <v>1531</v>
      </c>
      <c r="B2844" s="6">
        <f t="array" ref="B2844">IFERROR(INDEX(event_table!$E$1:$E3686,MATCH(A2844,event_table!$A$1:$A3686,0)),"")
</f>
        <v>5</v>
      </c>
      <c r="C2844" s="7">
        <f t="shared" si="1"/>
        <v>69</v>
      </c>
      <c r="D2844" s="6" t="str">
        <f t="array" ref="D2844">IFERROR(INDEX(user_table!$C$2:$C3686,MATCH(C2844,user_table!$B$2:$B3686,0)),"")
</f>
        <v>Citra Rahayu</v>
      </c>
      <c r="E2844" s="6" t="str">
        <f t="array" ref="E2844">IFERROR(INDEX(user_table!$E$2:$E3686,MATCH(C2844,user_table!$B$2:$B3686,0)),"")
</f>
        <v>5, 5</v>
      </c>
      <c r="F2844" s="6" t="str">
        <f t="shared" si="2"/>
        <v>15312569</v>
      </c>
      <c r="G2844" s="21">
        <v>2.0</v>
      </c>
      <c r="H2844" s="3">
        <v>45115.0</v>
      </c>
      <c r="I2844" s="22" t="s">
        <v>2779</v>
      </c>
    </row>
    <row r="2845">
      <c r="A2845" s="5" t="str">
        <f t="array" ref="A2845">INDEX(event_table!$A$2:$A$69, RANDBETWEEN(1, COUNTA(event_table!$A$2:$A$69)))</f>
        <v>3167</v>
      </c>
      <c r="B2845" s="6">
        <f t="array" ref="B2845">IFERROR(INDEX(event_table!$E$1:$E3686,MATCH(A2845,event_table!$A$1:$A3686,0)),"")
</f>
        <v>1</v>
      </c>
      <c r="C2845" s="7">
        <f t="shared" si="1"/>
        <v>149</v>
      </c>
      <c r="D2845" s="6" t="str">
        <f t="array" ref="D2845">IFERROR(INDEX(user_table!$C$2:$C3686,MATCH(C2845,user_table!$B$2:$B3686,0)),"")
</f>
        <v>Dian Setiawan</v>
      </c>
      <c r="E2845" s="6" t="str">
        <f t="array" ref="E2845">IFERROR(INDEX(user_table!$E$2:$E3686,MATCH(C2845,user_table!$B$2:$B3686,0)),"")
</f>
        <v>2, 4</v>
      </c>
      <c r="F2845" s="6" t="str">
        <f t="shared" si="2"/>
        <v>316721149</v>
      </c>
      <c r="G2845" s="21">
        <v>2.0</v>
      </c>
      <c r="H2845" s="3">
        <v>45115.0</v>
      </c>
      <c r="I2845" s="22" t="s">
        <v>2780</v>
      </c>
    </row>
    <row r="2846">
      <c r="A2846" s="5" t="str">
        <f t="array" ref="A2846">INDEX(event_table!$A$2:$A$69, RANDBETWEEN(1, COUNTA(event_table!$A$2:$A$69)))</f>
        <v>1531</v>
      </c>
      <c r="B2846" s="6">
        <f t="array" ref="B2846">IFERROR(INDEX(event_table!$E$1:$E3686,MATCH(A2846,event_table!$A$1:$A3686,0)),"")
</f>
        <v>5</v>
      </c>
      <c r="C2846" s="7">
        <f t="shared" si="1"/>
        <v>51</v>
      </c>
      <c r="D2846" s="6" t="str">
        <f t="array" ref="D2846">IFERROR(INDEX(user_table!$C$2:$C3686,MATCH(C2846,user_table!$B$2:$B3686,0)),"")
</f>
        <v>Fandi Pratama</v>
      </c>
      <c r="E2846" s="6" t="str">
        <f t="array" ref="E2846">IFERROR(INDEX(user_table!$E$2:$E3686,MATCH(C2846,user_table!$B$2:$B3686,0)),"")
</f>
        <v>2, 1</v>
      </c>
      <c r="F2846" s="6" t="str">
        <f t="shared" si="2"/>
        <v>15312551</v>
      </c>
      <c r="G2846" s="21">
        <v>2.0</v>
      </c>
      <c r="H2846" s="3">
        <v>45068.0</v>
      </c>
      <c r="I2846" s="22" t="s">
        <v>2781</v>
      </c>
    </row>
    <row r="2847">
      <c r="A2847" s="5" t="str">
        <f t="array" ref="A2847">INDEX(event_table!$A$2:$A$69, RANDBETWEEN(1, COUNTA(event_table!$A$2:$A$69)))</f>
        <v>3170</v>
      </c>
      <c r="B2847" s="6">
        <f t="array" ref="B2847">IFERROR(INDEX(event_table!$E$1:$E3686,MATCH(A2847,event_table!$A$1:$A3686,0)),"")
</f>
        <v>1</v>
      </c>
      <c r="C2847" s="7">
        <f t="shared" si="1"/>
        <v>190</v>
      </c>
      <c r="D2847" s="6" t="str">
        <f t="array" ref="D2847">IFERROR(INDEX(user_table!$C$2:$C3686,MATCH(C2847,user_table!$B$2:$B3686,0)),"")
</f>
        <v>Fajar Santoso</v>
      </c>
      <c r="E2847" s="6" t="str">
        <f t="array" ref="E2847">IFERROR(INDEX(user_table!$E$2:$E3686,MATCH(C2847,user_table!$B$2:$B3686,0)),"")
</f>
        <v>1, 3</v>
      </c>
      <c r="F2847" s="6" t="str">
        <f t="shared" si="2"/>
        <v>317021190</v>
      </c>
      <c r="G2847" s="21">
        <v>2.0</v>
      </c>
      <c r="H2847" s="3">
        <v>45065.0</v>
      </c>
      <c r="I2847" s="22" t="s">
        <v>2782</v>
      </c>
    </row>
    <row r="2848">
      <c r="A2848" s="5" t="str">
        <f t="array" ref="A2848">INDEX(event_table!$A$2:$A$69, RANDBETWEEN(1, COUNTA(event_table!$A$2:$A$69)))</f>
        <v>3165</v>
      </c>
      <c r="B2848" s="6">
        <f t="array" ref="B2848">IFERROR(INDEX(event_table!$E$1:$E3686,MATCH(A2848,event_table!$A$1:$A3686,0)),"")
</f>
        <v>1</v>
      </c>
      <c r="C2848" s="7">
        <f t="shared" si="1"/>
        <v>10</v>
      </c>
      <c r="D2848" s="6" t="str">
        <f t="array" ref="D2848">IFERROR(INDEX(user_table!$C$2:$C3686,MATCH(C2848,user_table!$B$2:$B3686,0)),"")
</f>
        <v>Dina Susanto</v>
      </c>
      <c r="E2848" s="6" t="str">
        <f t="array" ref="E2848">IFERROR(INDEX(user_table!$E$2:$E3686,MATCH(C2848,user_table!$B$2:$B3686,0)),"")
</f>
        <v>4, 5</v>
      </c>
      <c r="F2848" s="6" t="str">
        <f t="shared" si="2"/>
        <v>31652110</v>
      </c>
      <c r="G2848" s="21">
        <v>2.0</v>
      </c>
      <c r="H2848" s="3">
        <v>45063.0</v>
      </c>
      <c r="I2848" s="22" t="s">
        <v>2783</v>
      </c>
    </row>
    <row r="2849">
      <c r="A2849" s="5" t="str">
        <f t="array" ref="A2849">INDEX(event_table!$A$2:$A$69, RANDBETWEEN(1, COUNTA(event_table!$A$2:$A$69)))</f>
        <v>1645</v>
      </c>
      <c r="B2849" s="6">
        <f t="array" ref="B2849">IFERROR(INDEX(event_table!$E$1:$E3686,MATCH(A2849,event_table!$A$1:$A3686,0)),"")
</f>
        <v>6</v>
      </c>
      <c r="C2849" s="7">
        <f t="shared" si="1"/>
        <v>79</v>
      </c>
      <c r="D2849" s="6" t="str">
        <f t="array" ref="D2849">IFERROR(INDEX(user_table!$C$2:$C3686,MATCH(C2849,user_table!$B$2:$B3686,0)),"")
</f>
        <v>Arif Nugroho</v>
      </c>
      <c r="E2849" s="6" t="str">
        <f t="array" ref="E2849">IFERROR(INDEX(user_table!$E$2:$E3686,MATCH(C2849,user_table!$B$2:$B3686,0)),"")
</f>
        <v>2, 3</v>
      </c>
      <c r="F2849" s="6" t="str">
        <f t="shared" si="2"/>
        <v>16452679</v>
      </c>
      <c r="G2849" s="21">
        <v>2.0</v>
      </c>
      <c r="H2849" s="3">
        <v>45040.0</v>
      </c>
      <c r="I2849" s="22" t="s">
        <v>2784</v>
      </c>
    </row>
    <row r="2850">
      <c r="A2850" s="5" t="str">
        <f t="array" ref="A2850">INDEX(event_table!$A$2:$A$69, RANDBETWEEN(1, COUNTA(event_table!$A$2:$A$69)))</f>
        <v>1640</v>
      </c>
      <c r="B2850" s="6">
        <f t="array" ref="B2850">IFERROR(INDEX(event_table!$E$1:$E3686,MATCH(A2850,event_table!$A$1:$A3686,0)),"")
</f>
        <v>6</v>
      </c>
      <c r="C2850" s="7">
        <f t="shared" si="1"/>
        <v>31</v>
      </c>
      <c r="D2850" s="6" t="str">
        <f t="array" ref="D2850">IFERROR(INDEX(user_table!$C$2:$C3686,MATCH(C2850,user_table!$B$2:$B3686,0)),"")
</f>
        <v>Dian Hidayat</v>
      </c>
      <c r="E2850" s="6" t="str">
        <f t="array" ref="E2850">IFERROR(INDEX(user_table!$E$2:$E3686,MATCH(C2850,user_table!$B$2:$B3686,0)),"")
</f>
        <v>3, 5</v>
      </c>
      <c r="F2850" s="6" t="str">
        <f t="shared" si="2"/>
        <v>16401631</v>
      </c>
      <c r="G2850" s="21">
        <v>1.0</v>
      </c>
      <c r="H2850" s="3">
        <v>45261.0</v>
      </c>
      <c r="I2850" s="22" t="s">
        <v>2785</v>
      </c>
    </row>
    <row r="2851">
      <c r="A2851" s="5" t="str">
        <f t="array" ref="A2851">INDEX(event_table!$A$2:$A$69, RANDBETWEEN(1, COUNTA(event_table!$A$2:$A$69)))</f>
        <v>1644</v>
      </c>
      <c r="B2851" s="6">
        <f t="array" ref="B2851">IFERROR(INDEX(event_table!$E$1:$E3686,MATCH(A2851,event_table!$A$1:$A3686,0)),"")
</f>
        <v>6</v>
      </c>
      <c r="C2851" s="7">
        <f t="shared" si="1"/>
        <v>20</v>
      </c>
      <c r="D2851" s="6" t="str">
        <f t="array" ref="D2851">IFERROR(INDEX(user_table!$C$2:$C3686,MATCH(C2851,user_table!$B$2:$B3686,0)),"")
</f>
        <v>Arif Septiani</v>
      </c>
      <c r="E2851" s="6" t="str">
        <f t="array" ref="E2851">IFERROR(INDEX(user_table!$E$2:$E3686,MATCH(C2851,user_table!$B$2:$B3686,0)),"")
</f>
        <v>6, 3</v>
      </c>
      <c r="F2851" s="6" t="str">
        <f t="shared" si="2"/>
        <v>16441620</v>
      </c>
      <c r="G2851" s="21">
        <v>1.0</v>
      </c>
      <c r="H2851" s="3">
        <v>45194.0</v>
      </c>
      <c r="I2851" s="22" t="s">
        <v>2786</v>
      </c>
    </row>
    <row r="2852">
      <c r="A2852" s="5" t="str">
        <f t="array" ref="A2852">INDEX(event_table!$A$2:$A$69, RANDBETWEEN(1, COUNTA(event_table!$A$2:$A$69)))</f>
        <v>3658</v>
      </c>
      <c r="B2852" s="6">
        <f t="array" ref="B2852">IFERROR(INDEX(event_table!$E$1:$E3686,MATCH(A2852,event_table!$A$1:$A3686,0)),"")
</f>
        <v>6</v>
      </c>
      <c r="C2852" s="7">
        <f t="shared" si="1"/>
        <v>105</v>
      </c>
      <c r="D2852" s="6" t="str">
        <f t="array" ref="D2852">IFERROR(INDEX(user_table!$C$2:$C3686,MATCH(C2852,user_table!$B$2:$B3686,0)),"")
</f>
        <v>Siti Susanto</v>
      </c>
      <c r="E2852" s="6" t="str">
        <f t="array" ref="E2852">IFERROR(INDEX(user_table!$E$2:$E3686,MATCH(C2852,user_table!$B$2:$B3686,0)),"")
</f>
        <v>2, 6</v>
      </c>
      <c r="F2852" s="6" t="str">
        <f t="shared" si="2"/>
        <v>365816105</v>
      </c>
      <c r="G2852" s="21">
        <v>1.0</v>
      </c>
      <c r="H2852" s="3">
        <v>45242.0</v>
      </c>
      <c r="I2852" s="22" t="s">
        <v>2787</v>
      </c>
    </row>
    <row r="2853">
      <c r="A2853" s="5" t="str">
        <f t="array" ref="A2853">INDEX(event_table!$A$2:$A$69, RANDBETWEEN(1, COUNTA(event_table!$A$2:$A$69)))</f>
        <v>1425</v>
      </c>
      <c r="B2853" s="6">
        <f t="array" ref="B2853">IFERROR(INDEX(event_table!$E$1:$E3686,MATCH(A2853,event_table!$A$1:$A3686,0)),"")
</f>
        <v>4</v>
      </c>
      <c r="C2853" s="7">
        <f t="shared" si="1"/>
        <v>117</v>
      </c>
      <c r="D2853" s="6" t="str">
        <f t="array" ref="D2853">IFERROR(INDEX(user_table!$C$2:$C3686,MATCH(C2853,user_table!$B$2:$B3686,0)),"")
</f>
        <v>Wahyu Sari</v>
      </c>
      <c r="E2853" s="6" t="str">
        <f t="array" ref="E2853">IFERROR(INDEX(user_table!$E$2:$E3686,MATCH(C2853,user_table!$B$2:$B3686,0)),"")
</f>
        <v>4, 2</v>
      </c>
      <c r="F2853" s="6" t="str">
        <f t="shared" si="2"/>
        <v>142514117</v>
      </c>
      <c r="G2853" s="21">
        <v>1.0</v>
      </c>
      <c r="H2853" s="3">
        <v>45238.0</v>
      </c>
      <c r="I2853" s="22" t="s">
        <v>2788</v>
      </c>
    </row>
    <row r="2854">
      <c r="A2854" s="5" t="str">
        <f t="array" ref="A2854">INDEX(event_table!$A$2:$A$69, RANDBETWEEN(1, COUNTA(event_table!$A$2:$A$69)))</f>
        <v>116</v>
      </c>
      <c r="B2854" s="6">
        <f t="array" ref="B2854">IFERROR(INDEX(event_table!$E$1:$E3686,MATCH(A2854,event_table!$A$1:$A3686,0)),"")
</f>
        <v>1</v>
      </c>
      <c r="C2854" s="7">
        <f t="shared" si="1"/>
        <v>79</v>
      </c>
      <c r="D2854" s="6" t="str">
        <f t="array" ref="D2854">IFERROR(INDEX(user_table!$C$2:$C3686,MATCH(C2854,user_table!$B$2:$B3686,0)),"")
</f>
        <v>Arif Nugroho</v>
      </c>
      <c r="E2854" s="6" t="str">
        <f t="array" ref="E2854">IFERROR(INDEX(user_table!$E$2:$E3686,MATCH(C2854,user_table!$B$2:$B3686,0)),"")
</f>
        <v>2, 3</v>
      </c>
      <c r="F2854" s="6" t="str">
        <f t="shared" si="2"/>
        <v>1161179</v>
      </c>
      <c r="G2854" s="21">
        <v>1.0</v>
      </c>
      <c r="H2854" s="3">
        <v>45236.0</v>
      </c>
      <c r="I2854" s="22" t="s">
        <v>37</v>
      </c>
    </row>
    <row r="2855">
      <c r="A2855" s="5" t="str">
        <f t="array" ref="A2855">INDEX(event_table!$A$2:$A$69, RANDBETWEEN(1, COUNTA(event_table!$A$2:$A$69)))</f>
        <v>1528</v>
      </c>
      <c r="B2855" s="6">
        <f t="array" ref="B2855">IFERROR(INDEX(event_table!$E$1:$E3686,MATCH(A2855,event_table!$A$1:$A3686,0)),"")
</f>
        <v>5</v>
      </c>
      <c r="C2855" s="7">
        <f t="shared" si="1"/>
        <v>174</v>
      </c>
      <c r="D2855" s="6" t="str">
        <f t="array" ref="D2855">IFERROR(INDEX(user_table!$C$2:$C3686,MATCH(C2855,user_table!$B$2:$B3686,0)),"")
</f>
        <v>Maya Hermawan</v>
      </c>
      <c r="E2855" s="6" t="str">
        <f t="array" ref="E2855">IFERROR(INDEX(user_table!$E$2:$E3686,MATCH(C2855,user_table!$B$2:$B3686,0)),"")
</f>
        <v>5, 1</v>
      </c>
      <c r="F2855" s="6" t="str">
        <f t="shared" si="2"/>
        <v>152815174</v>
      </c>
      <c r="G2855" s="21">
        <v>1.0</v>
      </c>
      <c r="H2855" s="3">
        <v>45233.0</v>
      </c>
      <c r="I2855" s="22" t="s">
        <v>2789</v>
      </c>
    </row>
    <row r="2856">
      <c r="A2856" s="5" t="str">
        <f t="array" ref="A2856">INDEX(event_table!$A$2:$A$69, RANDBETWEEN(1, COUNTA(event_table!$A$2:$A$69)))</f>
        <v>1114</v>
      </c>
      <c r="B2856" s="6">
        <f t="array" ref="B2856">IFERROR(INDEX(event_table!$E$1:$E3686,MATCH(A2856,event_table!$A$1:$A3686,0)),"")
</f>
        <v>1</v>
      </c>
      <c r="C2856" s="7">
        <f t="shared" si="1"/>
        <v>135</v>
      </c>
      <c r="D2856" s="6" t="str">
        <f t="array" ref="D2856">IFERROR(INDEX(user_table!$C$2:$C3686,MATCH(C2856,user_table!$B$2:$B3686,0)),"")
</f>
        <v>Sinta Hermawan</v>
      </c>
      <c r="E2856" s="6" t="str">
        <f t="array" ref="E2856">IFERROR(INDEX(user_table!$E$2:$E3686,MATCH(C2856,user_table!$B$2:$B3686,0)),"")
</f>
        <v>1, 5</v>
      </c>
      <c r="F2856" s="6" t="str">
        <f t="shared" si="2"/>
        <v>111411135</v>
      </c>
      <c r="G2856" s="21">
        <v>1.0</v>
      </c>
      <c r="H2856" s="3">
        <v>45215.0</v>
      </c>
      <c r="I2856" s="22" t="s">
        <v>2790</v>
      </c>
    </row>
    <row r="2857">
      <c r="A2857" s="5" t="str">
        <f t="array" ref="A2857">INDEX(event_table!$A$2:$A$69, RANDBETWEEN(1, COUNTA(event_table!$A$2:$A$69)))</f>
        <v>3165</v>
      </c>
      <c r="B2857" s="6">
        <f t="array" ref="B2857">IFERROR(INDEX(event_table!$E$1:$E3686,MATCH(A2857,event_table!$A$1:$A3686,0)),"")
</f>
        <v>1</v>
      </c>
      <c r="C2857" s="7">
        <f t="shared" si="1"/>
        <v>103</v>
      </c>
      <c r="D2857" s="6" t="str">
        <f t="array" ref="D2857">IFERROR(INDEX(user_table!$C$2:$C3686,MATCH(C2857,user_table!$B$2:$B3686,0)),"")
</f>
        <v>Hadi Sari</v>
      </c>
      <c r="E2857" s="6" t="str">
        <f t="array" ref="E2857">IFERROR(INDEX(user_table!$E$2:$E3686,MATCH(C2857,user_table!$B$2:$B3686,0)),"")
</f>
        <v>3, 1</v>
      </c>
      <c r="F2857" s="6" t="str">
        <f t="shared" si="2"/>
        <v>316511103</v>
      </c>
      <c r="G2857" s="21">
        <v>1.0</v>
      </c>
      <c r="H2857" s="3">
        <v>45170.0</v>
      </c>
      <c r="I2857" s="22" t="s">
        <v>2791</v>
      </c>
    </row>
    <row r="2858">
      <c r="A2858" s="5" t="str">
        <f t="array" ref="A2858">INDEX(event_table!$A$2:$A$69, RANDBETWEEN(1, COUNTA(event_table!$A$2:$A$69)))</f>
        <v>3162</v>
      </c>
      <c r="B2858" s="6">
        <f t="array" ref="B2858">IFERROR(INDEX(event_table!$E$1:$E3686,MATCH(A2858,event_table!$A$1:$A3686,0)),"")
</f>
        <v>1</v>
      </c>
      <c r="C2858" s="7">
        <f t="shared" si="1"/>
        <v>61</v>
      </c>
      <c r="D2858" s="6" t="str">
        <f t="array" ref="D2858">IFERROR(INDEX(user_table!$C$2:$C3686,MATCH(C2858,user_table!$B$2:$B3686,0)),"")
</f>
        <v>Agus Setiawan</v>
      </c>
      <c r="E2858" s="6" t="str">
        <f t="array" ref="E2858">IFERROR(INDEX(user_table!$E$2:$E3686,MATCH(C2858,user_table!$B$2:$B3686,0)),"")
</f>
        <v>4, 5</v>
      </c>
      <c r="F2858" s="6" t="str">
        <f t="shared" si="2"/>
        <v>31621161</v>
      </c>
      <c r="G2858" s="21">
        <v>1.0</v>
      </c>
      <c r="H2858" s="3">
        <v>45143.0</v>
      </c>
      <c r="I2858" s="22" t="s">
        <v>2792</v>
      </c>
    </row>
    <row r="2859">
      <c r="A2859" s="5" t="str">
        <f t="array" ref="A2859">INDEX(event_table!$A$2:$A$69, RANDBETWEEN(1, COUNTA(event_table!$A$2:$A$69)))</f>
        <v>1636</v>
      </c>
      <c r="B2859" s="6">
        <f t="array" ref="B2859">IFERROR(INDEX(event_table!$E$1:$E3686,MATCH(A2859,event_table!$A$1:$A3686,0)),"")
</f>
        <v>6</v>
      </c>
      <c r="C2859" s="7">
        <f t="shared" si="1"/>
        <v>152</v>
      </c>
      <c r="D2859" s="6" t="str">
        <f t="array" ref="D2859">IFERROR(INDEX(user_table!$C$2:$C3686,MATCH(C2859,user_table!$B$2:$B3686,0)),"")
</f>
        <v>Budi Kurniawan</v>
      </c>
      <c r="E2859" s="6" t="str">
        <f t="array" ref="E2859">IFERROR(INDEX(user_table!$E$2:$E3686,MATCH(C2859,user_table!$B$2:$B3686,0)),"")
</f>
        <v>5, 5</v>
      </c>
      <c r="F2859" s="6" t="str">
        <f t="shared" si="2"/>
        <v>163616152</v>
      </c>
      <c r="G2859" s="21">
        <v>1.0</v>
      </c>
      <c r="H2859" s="3">
        <v>45143.0</v>
      </c>
      <c r="I2859" s="22" t="s">
        <v>2793</v>
      </c>
    </row>
    <row r="2860">
      <c r="A2860" s="5" t="str">
        <f t="array" ref="A2860">INDEX(event_table!$A$2:$A$69, RANDBETWEEN(1, COUNTA(event_table!$A$2:$A$69)))</f>
        <v>1643</v>
      </c>
      <c r="B2860" s="6">
        <f t="array" ref="B2860">IFERROR(INDEX(event_table!$E$1:$E3686,MATCH(A2860,event_table!$A$1:$A3686,0)),"")
</f>
        <v>6</v>
      </c>
      <c r="C2860" s="7">
        <f t="shared" si="1"/>
        <v>37</v>
      </c>
      <c r="D2860" s="6" t="str">
        <f t="array" ref="D2860">IFERROR(INDEX(user_table!$C$2:$C3686,MATCH(C2860,user_table!$B$2:$B3686,0)),"")
</f>
        <v>Lina Susanto</v>
      </c>
      <c r="E2860" s="6" t="str">
        <f t="array" ref="E2860">IFERROR(INDEX(user_table!$E$2:$E3686,MATCH(C2860,user_table!$B$2:$B3686,0)),"")
</f>
        <v>2, 2</v>
      </c>
      <c r="F2860" s="6" t="str">
        <f t="shared" si="2"/>
        <v>16431637</v>
      </c>
      <c r="G2860" s="21">
        <v>1.0</v>
      </c>
      <c r="H2860" s="3">
        <v>45143.0</v>
      </c>
      <c r="I2860" s="22" t="s">
        <v>2794</v>
      </c>
    </row>
    <row r="2861">
      <c r="A2861" s="5" t="str">
        <f t="array" ref="A2861">INDEX(event_table!$A$2:$A$69, RANDBETWEEN(1, COUNTA(event_table!$A$2:$A$69)))</f>
        <v>3165</v>
      </c>
      <c r="B2861" s="6">
        <f t="array" ref="B2861">IFERROR(INDEX(event_table!$E$1:$E3686,MATCH(A2861,event_table!$A$1:$A3686,0)),"")
</f>
        <v>1</v>
      </c>
      <c r="C2861" s="7">
        <f t="shared" si="1"/>
        <v>107</v>
      </c>
      <c r="D2861" s="6" t="str">
        <f t="array" ref="D2861">IFERROR(INDEX(user_table!$C$2:$C3686,MATCH(C2861,user_table!$B$2:$B3686,0)),"")
</f>
        <v>Citra Rahayu</v>
      </c>
      <c r="E2861" s="6" t="str">
        <f t="array" ref="E2861">IFERROR(INDEX(user_table!$E$2:$E3686,MATCH(C2861,user_table!$B$2:$B3686,0)),"")
</f>
        <v>1, 5</v>
      </c>
      <c r="F2861" s="6" t="str">
        <f t="shared" si="2"/>
        <v>316511107</v>
      </c>
      <c r="G2861" s="21">
        <v>1.0</v>
      </c>
      <c r="H2861" s="3">
        <v>45083.0</v>
      </c>
      <c r="I2861" s="22" t="s">
        <v>2795</v>
      </c>
    </row>
    <row r="2862">
      <c r="A2862" s="5" t="str">
        <f t="array" ref="A2862">INDEX(event_table!$A$2:$A$69, RANDBETWEEN(1, COUNTA(event_table!$A$2:$A$69)))</f>
        <v>1423</v>
      </c>
      <c r="B2862" s="6">
        <f t="array" ref="B2862">IFERROR(INDEX(event_table!$E$1:$E3686,MATCH(A2862,event_table!$A$1:$A3686,0)),"")
</f>
        <v>4</v>
      </c>
      <c r="C2862" s="7">
        <f t="shared" si="1"/>
        <v>111</v>
      </c>
      <c r="D2862" s="6" t="str">
        <f t="array" ref="D2862">IFERROR(INDEX(user_table!$C$2:$C3686,MATCH(C2862,user_table!$B$2:$B3686,0)),"")
</f>
        <v>Hadi Kurniawan</v>
      </c>
      <c r="E2862" s="6" t="str">
        <f t="array" ref="E2862">IFERROR(INDEX(user_table!$E$2:$E3686,MATCH(C2862,user_table!$B$2:$B3686,0)),"")
</f>
        <v>3, 4</v>
      </c>
      <c r="F2862" s="6" t="str">
        <f t="shared" si="2"/>
        <v>142314111</v>
      </c>
      <c r="G2862" s="21">
        <v>1.0</v>
      </c>
      <c r="H2862" s="3">
        <v>45061.0</v>
      </c>
      <c r="I2862" s="22" t="s">
        <v>2796</v>
      </c>
    </row>
    <row r="2863">
      <c r="A2863" s="5" t="str">
        <f t="array" ref="A2863">INDEX(event_table!$A$2:$A$69, RANDBETWEEN(1, COUNTA(event_table!$A$2:$A$69)))</f>
        <v>111</v>
      </c>
      <c r="B2863" s="6">
        <f t="array" ref="B2863">IFERROR(INDEX(event_table!$E$1:$E3686,MATCH(A2863,event_table!$A$1:$A3686,0)),"")
</f>
        <v>1</v>
      </c>
      <c r="C2863" s="7">
        <f t="shared" si="1"/>
        <v>15</v>
      </c>
      <c r="D2863" s="6" t="str">
        <f t="array" ref="D2863">IFERROR(INDEX(user_table!$C$2:$C3686,MATCH(C2863,user_table!$B$2:$B3686,0)),"")
</f>
        <v>Arif Kurniawan</v>
      </c>
      <c r="E2863" s="6" t="str">
        <f t="array" ref="E2863">IFERROR(INDEX(user_table!$E$2:$E3686,MATCH(C2863,user_table!$B$2:$B3686,0)),"")
</f>
        <v>3, 1</v>
      </c>
      <c r="F2863" s="6" t="str">
        <f t="shared" si="2"/>
        <v>1111115</v>
      </c>
      <c r="G2863" s="21">
        <v>1.0</v>
      </c>
      <c r="H2863" s="3">
        <v>45037.0</v>
      </c>
      <c r="I2863" s="22" t="s">
        <v>2797</v>
      </c>
    </row>
    <row r="2864">
      <c r="A2864" s="5" t="str">
        <f t="array" ref="A2864">INDEX(event_table!$A$2:$A$69, RANDBETWEEN(1, COUNTA(event_table!$A$2:$A$69)))</f>
        <v>3659</v>
      </c>
      <c r="B2864" s="6">
        <f t="array" ref="B2864">IFERROR(INDEX(event_table!$E$1:$E3686,MATCH(A2864,event_table!$A$1:$A3686,0)),"")
</f>
        <v>6</v>
      </c>
      <c r="C2864" s="7">
        <f t="shared" si="1"/>
        <v>64</v>
      </c>
      <c r="D2864" s="6" t="str">
        <f t="array" ref="D2864">IFERROR(INDEX(user_table!$C$2:$C3686,MATCH(C2864,user_table!$B$2:$B3686,0)),"")
</f>
        <v>Fajar Utami</v>
      </c>
      <c r="E2864" s="6" t="str">
        <f t="array" ref="E2864">IFERROR(INDEX(user_table!$E$2:$E3686,MATCH(C2864,user_table!$B$2:$B3686,0)),"")
</f>
        <v>5, 2</v>
      </c>
      <c r="F2864" s="6" t="str">
        <f t="shared" si="2"/>
        <v>36591664</v>
      </c>
      <c r="G2864" s="21">
        <v>1.0</v>
      </c>
      <c r="H2864" s="3">
        <v>45021.0</v>
      </c>
      <c r="I2864" s="22" t="s">
        <v>2798</v>
      </c>
    </row>
    <row r="2865">
      <c r="A2865" s="5" t="str">
        <f t="array" ref="A2865">INDEX(event_table!$A$2:$A$69, RANDBETWEEN(1, COUNTA(event_table!$A$2:$A$69)))</f>
        <v>3162</v>
      </c>
      <c r="B2865" s="6">
        <f t="array" ref="B2865">IFERROR(INDEX(event_table!$E$1:$E3686,MATCH(A2865,event_table!$A$1:$A3686,0)),"")
</f>
        <v>1</v>
      </c>
      <c r="C2865" s="7">
        <f t="shared" si="1"/>
        <v>149</v>
      </c>
      <c r="D2865" s="6" t="str">
        <f t="array" ref="D2865">IFERROR(INDEX(user_table!$C$2:$C3686,MATCH(C2865,user_table!$B$2:$B3686,0)),"")
</f>
        <v>Dian Setiawan</v>
      </c>
      <c r="E2865" s="6" t="str">
        <f t="array" ref="E2865">IFERROR(INDEX(user_table!$E$2:$E3686,MATCH(C2865,user_table!$B$2:$B3686,0)),"")
</f>
        <v>2, 4</v>
      </c>
      <c r="F2865" s="6" t="str">
        <f t="shared" si="2"/>
        <v>316251149</v>
      </c>
      <c r="G2865" s="21">
        <v>5.0</v>
      </c>
      <c r="H2865" s="3">
        <v>44711.0</v>
      </c>
      <c r="I2865" s="22" t="s">
        <v>2799</v>
      </c>
    </row>
    <row r="2866">
      <c r="A2866" s="5" t="str">
        <f t="array" ref="A2866">INDEX(event_table!$A$2:$A$69, RANDBETWEEN(1, COUNTA(event_table!$A$2:$A$69)))</f>
        <v>1110</v>
      </c>
      <c r="B2866" s="6">
        <f t="array" ref="B2866">IFERROR(INDEX(event_table!$E$1:$E3686,MATCH(A2866,event_table!$A$1:$A3686,0)),"")
</f>
        <v>1</v>
      </c>
      <c r="C2866" s="7">
        <f t="shared" si="1"/>
        <v>139</v>
      </c>
      <c r="D2866" s="6" t="str">
        <f t="array" ref="D2866">IFERROR(INDEX(user_table!$C$2:$C3686,MATCH(C2866,user_table!$B$2:$B3686,0)),"")
</f>
        <v>Sinta Kurniawan</v>
      </c>
      <c r="E2866" s="6" t="str">
        <f t="array" ref="E2866">IFERROR(INDEX(user_table!$E$2:$E3686,MATCH(C2866,user_table!$B$2:$B3686,0)),"")
</f>
        <v>4, 6</v>
      </c>
      <c r="F2866" s="6" t="str">
        <f t="shared" si="2"/>
        <v>111051139</v>
      </c>
      <c r="G2866" s="21">
        <v>5.0</v>
      </c>
      <c r="H2866" s="3">
        <v>44711.0</v>
      </c>
      <c r="I2866" s="22" t="s">
        <v>2800</v>
      </c>
    </row>
    <row r="2867">
      <c r="A2867" s="5" t="str">
        <f t="array" ref="A2867">INDEX(event_table!$A$2:$A$69, RANDBETWEEN(1, COUNTA(event_table!$A$2:$A$69)))</f>
        <v>1519</v>
      </c>
      <c r="B2867" s="6">
        <f t="array" ref="B2867">IFERROR(INDEX(event_table!$E$1:$E3686,MATCH(A2867,event_table!$A$1:$A3686,0)),"")
</f>
        <v>5</v>
      </c>
      <c r="C2867" s="7">
        <f t="shared" si="1"/>
        <v>111</v>
      </c>
      <c r="D2867" s="6" t="str">
        <f t="array" ref="D2867">IFERROR(INDEX(user_table!$C$2:$C3686,MATCH(C2867,user_table!$B$2:$B3686,0)),"")
</f>
        <v>Hadi Kurniawan</v>
      </c>
      <c r="E2867" s="6" t="str">
        <f t="array" ref="E2867">IFERROR(INDEX(user_table!$E$2:$E3686,MATCH(C2867,user_table!$B$2:$B3686,0)),"")
</f>
        <v>3, 4</v>
      </c>
      <c r="F2867" s="6" t="str">
        <f t="shared" si="2"/>
        <v>151955111</v>
      </c>
      <c r="G2867" s="21">
        <v>5.0</v>
      </c>
      <c r="H2867" s="3">
        <v>44704.0</v>
      </c>
      <c r="I2867" s="22" t="s">
        <v>2801</v>
      </c>
    </row>
    <row r="2868">
      <c r="A2868" s="5" t="str">
        <f t="array" ref="A2868">INDEX(event_table!$A$2:$A$69, RANDBETWEEN(1, COUNTA(event_table!$A$2:$A$69)))</f>
        <v>119</v>
      </c>
      <c r="B2868" s="6">
        <f t="array" ref="B2868">IFERROR(INDEX(event_table!$E$1:$E3686,MATCH(A2868,event_table!$A$1:$A3686,0)),"")
</f>
        <v>1</v>
      </c>
      <c r="C2868" s="7">
        <f t="shared" si="1"/>
        <v>143</v>
      </c>
      <c r="D2868" s="6" t="str">
        <f t="array" ref="D2868">IFERROR(INDEX(user_table!$C$2:$C3686,MATCH(C2868,user_table!$B$2:$B3686,0)),"")
</f>
        <v>Agus Putri</v>
      </c>
      <c r="E2868" s="6" t="str">
        <f t="array" ref="E2868">IFERROR(INDEX(user_table!$E$2:$E3686,MATCH(C2868,user_table!$B$2:$B3686,0)),"")
</f>
        <v>3, 3</v>
      </c>
      <c r="F2868" s="6" t="str">
        <f t="shared" si="2"/>
        <v>11951143</v>
      </c>
      <c r="G2868" s="21">
        <v>5.0</v>
      </c>
      <c r="H2868" s="3">
        <v>44697.0</v>
      </c>
      <c r="I2868" s="22" t="s">
        <v>2802</v>
      </c>
    </row>
    <row r="2869">
      <c r="A2869" s="5" t="str">
        <f t="array" ref="A2869">INDEX(event_table!$A$2:$A$69, RANDBETWEEN(1, COUNTA(event_table!$A$2:$A$69)))</f>
        <v>1519</v>
      </c>
      <c r="B2869" s="6">
        <f t="array" ref="B2869">IFERROR(INDEX(event_table!$E$1:$E3686,MATCH(A2869,event_table!$A$1:$A3686,0)),"")
</f>
        <v>5</v>
      </c>
      <c r="C2869" s="7">
        <f t="shared" si="1"/>
        <v>42</v>
      </c>
      <c r="D2869" s="6" t="str">
        <f t="array" ref="D2869">IFERROR(INDEX(user_table!$C$2:$C3686,MATCH(C2869,user_table!$B$2:$B3686,0)),"")
</f>
        <v>Desi Putri</v>
      </c>
      <c r="E2869" s="6" t="str">
        <f t="array" ref="E2869">IFERROR(INDEX(user_table!$E$2:$E3686,MATCH(C2869,user_table!$B$2:$B3686,0)),"")
</f>
        <v>4, 6</v>
      </c>
      <c r="F2869" s="6" t="str">
        <f t="shared" si="2"/>
        <v>15195542</v>
      </c>
      <c r="G2869" s="21">
        <v>5.0</v>
      </c>
      <c r="H2869" s="3">
        <v>45198.0</v>
      </c>
      <c r="I2869" s="22" t="s">
        <v>2803</v>
      </c>
    </row>
    <row r="2870">
      <c r="A2870" s="5" t="str">
        <f t="array" ref="A2870">INDEX(event_table!$A$2:$A$69, RANDBETWEEN(1, COUNTA(event_table!$A$2:$A$69)))</f>
        <v>3454</v>
      </c>
      <c r="B2870" s="6">
        <f t="array" ref="B2870">IFERROR(INDEX(event_table!$E$1:$E3686,MATCH(A2870,event_table!$A$1:$A3686,0)),"")
</f>
        <v>4</v>
      </c>
      <c r="C2870" s="7">
        <f t="shared" si="1"/>
        <v>179</v>
      </c>
      <c r="D2870" s="6" t="str">
        <f t="array" ref="D2870">IFERROR(INDEX(user_table!$C$2:$C3686,MATCH(C2870,user_table!$B$2:$B3686,0)),"")
</f>
        <v>Andi Susanto</v>
      </c>
      <c r="E2870" s="6" t="str">
        <f t="array" ref="E2870">IFERROR(INDEX(user_table!$E$2:$E3686,MATCH(C2870,user_table!$B$2:$B3686,0)),"")
</f>
        <v>1, 6</v>
      </c>
      <c r="F2870" s="6" t="str">
        <f t="shared" si="2"/>
        <v>345454179</v>
      </c>
      <c r="G2870" s="21">
        <v>5.0</v>
      </c>
      <c r="H2870" s="3">
        <v>44950.0</v>
      </c>
      <c r="I2870" s="22" t="s">
        <v>2804</v>
      </c>
    </row>
    <row r="2871">
      <c r="A2871" s="5" t="str">
        <f t="array" ref="A2871">INDEX(event_table!$A$2:$A$69, RANDBETWEEN(1, COUNTA(event_table!$A$2:$A$69)))</f>
        <v>122</v>
      </c>
      <c r="B2871" s="6">
        <f t="array" ref="B2871">IFERROR(INDEX(event_table!$E$1:$E3686,MATCH(A2871,event_table!$A$1:$A3686,0)),"")
</f>
        <v>2</v>
      </c>
      <c r="C2871" s="7">
        <f t="shared" si="1"/>
        <v>73</v>
      </c>
      <c r="D2871" s="6" t="str">
        <f t="array" ref="D2871">IFERROR(INDEX(user_table!$C$2:$C3686,MATCH(C2871,user_table!$B$2:$B3686,0)),"")
</f>
        <v>Hadi Santoso</v>
      </c>
      <c r="E2871" s="6" t="str">
        <f t="array" ref="E2871">IFERROR(INDEX(user_table!$E$2:$E3686,MATCH(C2871,user_table!$B$2:$B3686,0)),"")
</f>
        <v>6, 3</v>
      </c>
      <c r="F2871" s="6" t="str">
        <f t="shared" si="2"/>
        <v>1225273</v>
      </c>
      <c r="G2871" s="21">
        <v>5.0</v>
      </c>
      <c r="H2871" s="3">
        <v>44879.0</v>
      </c>
      <c r="I2871" s="22" t="s">
        <v>71</v>
      </c>
    </row>
    <row r="2872">
      <c r="A2872" s="5" t="str">
        <f t="array" ref="A2872">INDEX(event_table!$A$2:$A$69, RANDBETWEEN(1, COUNTA(event_table!$A$2:$A$69)))</f>
        <v>1648</v>
      </c>
      <c r="B2872" s="6">
        <f t="array" ref="B2872">IFERROR(INDEX(event_table!$E$1:$E3686,MATCH(A2872,event_table!$A$1:$A3686,0)),"")
</f>
        <v>6</v>
      </c>
      <c r="C2872" s="7">
        <f t="shared" si="1"/>
        <v>181</v>
      </c>
      <c r="D2872" s="6" t="str">
        <f t="array" ref="D2872">IFERROR(INDEX(user_table!$C$2:$C3686,MATCH(C2872,user_table!$B$2:$B3686,0)),"")
</f>
        <v>Andi Hadiwijaya</v>
      </c>
      <c r="E2872" s="6" t="str">
        <f t="array" ref="E2872">IFERROR(INDEX(user_table!$E$2:$E3686,MATCH(C2872,user_table!$B$2:$B3686,0)),"")
</f>
        <v>3, 2</v>
      </c>
      <c r="F2872" s="6" t="str">
        <f t="shared" si="2"/>
        <v>164856181</v>
      </c>
      <c r="G2872" s="21">
        <v>5.0</v>
      </c>
      <c r="H2872" s="3">
        <v>44825.0</v>
      </c>
      <c r="I2872" s="22" t="s">
        <v>2805</v>
      </c>
    </row>
    <row r="2873">
      <c r="A2873" s="5" t="str">
        <f t="array" ref="A2873">INDEX(event_table!$A$2:$A$69, RANDBETWEEN(1, COUNTA(event_table!$A$2:$A$69)))</f>
        <v>1420</v>
      </c>
      <c r="B2873" s="6">
        <f t="array" ref="B2873">IFERROR(INDEX(event_table!$E$1:$E3686,MATCH(A2873,event_table!$A$1:$A3686,0)),"")
</f>
        <v>4</v>
      </c>
      <c r="C2873" s="7">
        <f t="shared" si="1"/>
        <v>150</v>
      </c>
      <c r="D2873" s="6" t="str">
        <f t="array" ref="D2873">IFERROR(INDEX(user_table!$C$2:$C3686,MATCH(C2873,user_table!$B$2:$B3686,0)),"")
</f>
        <v>Dina Susanto</v>
      </c>
      <c r="E2873" s="6" t="str">
        <f t="array" ref="E2873">IFERROR(INDEX(user_table!$E$2:$E3686,MATCH(C2873,user_table!$B$2:$B3686,0)),"")
</f>
        <v>2, 6</v>
      </c>
      <c r="F2873" s="6" t="str">
        <f t="shared" si="2"/>
        <v>142054150</v>
      </c>
      <c r="G2873" s="21">
        <v>5.0</v>
      </c>
      <c r="H2873" s="3">
        <v>44800.0</v>
      </c>
      <c r="I2873" s="22" t="s">
        <v>2806</v>
      </c>
    </row>
    <row r="2874">
      <c r="A2874" s="5" t="str">
        <f t="array" ref="A2874">INDEX(event_table!$A$2:$A$69, RANDBETWEEN(1, COUNTA(event_table!$A$2:$A$69)))</f>
        <v>1647</v>
      </c>
      <c r="B2874" s="6">
        <f t="array" ref="B2874">IFERROR(INDEX(event_table!$E$1:$E3686,MATCH(A2874,event_table!$A$1:$A3686,0)),"")
</f>
        <v>6</v>
      </c>
      <c r="C2874" s="7">
        <f t="shared" si="1"/>
        <v>171</v>
      </c>
      <c r="D2874" s="6" t="str">
        <f t="array" ref="D2874">IFERROR(INDEX(user_table!$C$2:$C3686,MATCH(C2874,user_table!$B$2:$B3686,0)),"")
</f>
        <v>Andi Santoso</v>
      </c>
      <c r="E2874" s="6" t="str">
        <f t="array" ref="E2874">IFERROR(INDEX(user_table!$E$2:$E3686,MATCH(C2874,user_table!$B$2:$B3686,0)),"")
</f>
        <v>4, 3</v>
      </c>
      <c r="F2874" s="6" t="str">
        <f t="shared" si="2"/>
        <v>164756171</v>
      </c>
      <c r="G2874" s="21">
        <v>5.0</v>
      </c>
      <c r="H2874" s="3">
        <v>44732.0</v>
      </c>
      <c r="I2874" s="22" t="s">
        <v>2807</v>
      </c>
    </row>
    <row r="2875">
      <c r="A2875" s="5" t="str">
        <f t="array" ref="A2875">INDEX(event_table!$A$2:$A$69, RANDBETWEEN(1, COUNTA(event_table!$A$2:$A$69)))</f>
        <v>1422</v>
      </c>
      <c r="B2875" s="6">
        <f t="array" ref="B2875">IFERROR(INDEX(event_table!$E$1:$E3686,MATCH(A2875,event_table!$A$1:$A3686,0)),"")
</f>
        <v>4</v>
      </c>
      <c r="C2875" s="7">
        <f t="shared" si="1"/>
        <v>183</v>
      </c>
      <c r="D2875" s="6" t="str">
        <f t="array" ref="D2875">IFERROR(INDEX(user_table!$C$2:$C3686,MATCH(C2875,user_table!$B$2:$B3686,0)),"")
</f>
        <v>Siti Nugroho</v>
      </c>
      <c r="E2875" s="6" t="str">
        <f t="array" ref="E2875">IFERROR(INDEX(user_table!$E$2:$E3686,MATCH(C2875,user_table!$B$2:$B3686,0)),"")
</f>
        <v>4, 6</v>
      </c>
      <c r="F2875" s="6" t="str">
        <f t="shared" si="2"/>
        <v>142254183</v>
      </c>
      <c r="G2875" s="21">
        <v>5.0</v>
      </c>
      <c r="H2875" s="3">
        <v>44722.0</v>
      </c>
      <c r="I2875" s="22" t="s">
        <v>2808</v>
      </c>
    </row>
    <row r="2876">
      <c r="A2876" s="5" t="str">
        <f t="array" ref="A2876">INDEX(event_table!$A$2:$A$69, RANDBETWEEN(1, COUNTA(event_table!$A$2:$A$69)))</f>
        <v>1639</v>
      </c>
      <c r="B2876" s="6">
        <f t="array" ref="B2876">IFERROR(INDEX(event_table!$E$1:$E3686,MATCH(A2876,event_table!$A$1:$A3686,0)),"")
</f>
        <v>6</v>
      </c>
      <c r="C2876" s="7">
        <f t="shared" si="1"/>
        <v>153</v>
      </c>
      <c r="D2876" s="6" t="str">
        <f t="array" ref="D2876">IFERROR(INDEX(user_table!$C$2:$C3686,MATCH(C2876,user_table!$B$2:$B3686,0)),"")
</f>
        <v>Budi Hartono</v>
      </c>
      <c r="E2876" s="6" t="str">
        <f t="array" ref="E2876">IFERROR(INDEX(user_table!$E$2:$E3686,MATCH(C2876,user_table!$B$2:$B3686,0)),"")
</f>
        <v>5, 2</v>
      </c>
      <c r="F2876" s="6" t="str">
        <f t="shared" si="2"/>
        <v>163956153</v>
      </c>
      <c r="G2876" s="21">
        <v>5.0</v>
      </c>
      <c r="H2876" s="3">
        <v>44706.0</v>
      </c>
      <c r="I2876" s="22" t="s">
        <v>2809</v>
      </c>
    </row>
    <row r="2877">
      <c r="A2877" s="5" t="str">
        <f t="array" ref="A2877">INDEX(event_table!$A$2:$A$69, RANDBETWEEN(1, COUNTA(event_table!$A$2:$A$69)))</f>
        <v>3170</v>
      </c>
      <c r="B2877" s="6">
        <f t="array" ref="B2877">IFERROR(INDEX(event_table!$E$1:$E3686,MATCH(A2877,event_table!$A$1:$A3686,0)),"")
</f>
        <v>1</v>
      </c>
      <c r="C2877" s="7">
        <f t="shared" si="1"/>
        <v>100</v>
      </c>
      <c r="D2877" s="6" t="str">
        <f t="array" ref="D2877">IFERROR(INDEX(user_table!$C$2:$C3686,MATCH(C2877,user_table!$B$2:$B3686,0)),"")
</f>
        <v>Lina Rahayu</v>
      </c>
      <c r="E2877" s="6" t="str">
        <f t="array" ref="E2877">IFERROR(INDEX(user_table!$E$2:$E3686,MATCH(C2877,user_table!$B$2:$B3686,0)),"")
</f>
        <v>6, 2</v>
      </c>
      <c r="F2877" s="6" t="str">
        <f t="shared" si="2"/>
        <v>317041100</v>
      </c>
      <c r="G2877" s="21">
        <v>4.0</v>
      </c>
      <c r="H2877" s="3">
        <v>44796.0</v>
      </c>
      <c r="I2877" s="22" t="s">
        <v>2810</v>
      </c>
    </row>
    <row r="2878">
      <c r="A2878" s="5" t="str">
        <f t="array" ref="A2878">INDEX(event_table!$A$2:$A$69, RANDBETWEEN(1, COUNTA(event_table!$A$2:$A$69)))</f>
        <v>1417</v>
      </c>
      <c r="B2878" s="6">
        <f t="array" ref="B2878">IFERROR(INDEX(event_table!$E$1:$E3686,MATCH(A2878,event_table!$A$1:$A3686,0)),"")
</f>
        <v>4</v>
      </c>
      <c r="C2878" s="7">
        <f t="shared" si="1"/>
        <v>139</v>
      </c>
      <c r="D2878" s="6" t="str">
        <f t="array" ref="D2878">IFERROR(INDEX(user_table!$C$2:$C3686,MATCH(C2878,user_table!$B$2:$B3686,0)),"")
</f>
        <v>Sinta Kurniawan</v>
      </c>
      <c r="E2878" s="6" t="str">
        <f t="array" ref="E2878">IFERROR(INDEX(user_table!$E$2:$E3686,MATCH(C2878,user_table!$B$2:$B3686,0)),"")
</f>
        <v>4, 6</v>
      </c>
      <c r="F2878" s="6" t="str">
        <f t="shared" si="2"/>
        <v>141744139</v>
      </c>
      <c r="G2878" s="21">
        <v>4.0</v>
      </c>
      <c r="H2878" s="3">
        <v>44750.0</v>
      </c>
      <c r="I2878" s="22" t="s">
        <v>2811</v>
      </c>
    </row>
    <row r="2879">
      <c r="A2879" s="5" t="str">
        <f t="array" ref="A2879">INDEX(event_table!$A$2:$A$69, RANDBETWEEN(1, COUNTA(event_table!$A$2:$A$69)))</f>
        <v>1422</v>
      </c>
      <c r="B2879" s="6">
        <f t="array" ref="B2879">IFERROR(INDEX(event_table!$E$1:$E3686,MATCH(A2879,event_table!$A$1:$A3686,0)),"")
</f>
        <v>4</v>
      </c>
      <c r="C2879" s="7">
        <f t="shared" si="1"/>
        <v>71</v>
      </c>
      <c r="D2879" s="6" t="str">
        <f t="array" ref="D2879">IFERROR(INDEX(user_table!$C$2:$C3686,MATCH(C2879,user_table!$B$2:$B3686,0)),"")
</f>
        <v>Hadi Putri</v>
      </c>
      <c r="E2879" s="6" t="str">
        <f t="array" ref="E2879">IFERROR(INDEX(user_table!$E$2:$E3686,MATCH(C2879,user_table!$B$2:$B3686,0)),"")
</f>
        <v>3, 3</v>
      </c>
      <c r="F2879" s="6" t="str">
        <f t="shared" si="2"/>
        <v>14224471</v>
      </c>
      <c r="G2879" s="21">
        <v>4.0</v>
      </c>
      <c r="H2879" s="3">
        <v>44747.0</v>
      </c>
      <c r="I2879" s="22" t="s">
        <v>2812</v>
      </c>
    </row>
    <row r="2880">
      <c r="A2880" s="5" t="str">
        <f t="array" ref="A2880">INDEX(event_table!$A$2:$A$69, RANDBETWEEN(1, COUNTA(event_table!$A$2:$A$69)))</f>
        <v>1422</v>
      </c>
      <c r="B2880" s="6">
        <f t="array" ref="B2880">IFERROR(INDEX(event_table!$E$1:$E3686,MATCH(A2880,event_table!$A$1:$A3686,0)),"")
</f>
        <v>4</v>
      </c>
      <c r="C2880" s="7">
        <f t="shared" si="1"/>
        <v>136</v>
      </c>
      <c r="D2880" s="6" t="str">
        <f t="array" ref="D2880">IFERROR(INDEX(user_table!$C$2:$C3686,MATCH(C2880,user_table!$B$2:$B3686,0)),"")
</f>
        <v>Fandi Purnama</v>
      </c>
      <c r="E2880" s="6" t="str">
        <f t="array" ref="E2880">IFERROR(INDEX(user_table!$E$2:$E3686,MATCH(C2880,user_table!$B$2:$B3686,0)),"")
</f>
        <v>5, 6</v>
      </c>
      <c r="F2880" s="6" t="str">
        <f t="shared" si="2"/>
        <v>142244136</v>
      </c>
      <c r="G2880" s="21">
        <v>4.0</v>
      </c>
      <c r="H2880" s="3">
        <v>44747.0</v>
      </c>
      <c r="I2880" s="22" t="s">
        <v>2813</v>
      </c>
    </row>
    <row r="2881">
      <c r="A2881" s="5" t="str">
        <f t="array" ref="A2881">INDEX(event_table!$A$2:$A$69, RANDBETWEEN(1, COUNTA(event_table!$A$2:$A$69)))</f>
        <v>1644</v>
      </c>
      <c r="B2881" s="6">
        <f t="array" ref="B2881">IFERROR(INDEX(event_table!$E$1:$E3686,MATCH(A2881,event_table!$A$1:$A3686,0)),"")
</f>
        <v>6</v>
      </c>
      <c r="C2881" s="7">
        <f t="shared" si="1"/>
        <v>155</v>
      </c>
      <c r="D2881" s="6" t="str">
        <f t="array" ref="D2881">IFERROR(INDEX(user_table!$C$2:$C3686,MATCH(C2881,user_table!$B$2:$B3686,0)),"")
</f>
        <v>Sinta Saputra</v>
      </c>
      <c r="E2881" s="6" t="str">
        <f t="array" ref="E2881">IFERROR(INDEX(user_table!$E$2:$E3686,MATCH(C2881,user_table!$B$2:$B3686,0)),"")
</f>
        <v>5, 2</v>
      </c>
      <c r="F2881" s="6" t="str">
        <f t="shared" si="2"/>
        <v>164446155</v>
      </c>
      <c r="G2881" s="21">
        <v>4.0</v>
      </c>
      <c r="H2881" s="3">
        <v>44879.0</v>
      </c>
      <c r="I2881" s="22" t="s">
        <v>2678</v>
      </c>
    </row>
    <row r="2882">
      <c r="A2882" s="5" t="str">
        <f t="array" ref="A2882">INDEX(event_table!$A$2:$A$69, RANDBETWEEN(1, COUNTA(event_table!$A$2:$A$69)))</f>
        <v>1530</v>
      </c>
      <c r="B2882" s="6">
        <f t="array" ref="B2882">IFERROR(INDEX(event_table!$E$1:$E3686,MATCH(A2882,event_table!$A$1:$A3686,0)),"")
</f>
        <v>5</v>
      </c>
      <c r="C2882" s="7">
        <f t="shared" si="1"/>
        <v>4</v>
      </c>
      <c r="D2882" s="6" t="str">
        <f t="array" ref="D2882">IFERROR(INDEX(user_table!$C$2:$C3686,MATCH(C2882,user_table!$B$2:$B3686,0)),"")
</f>
        <v>Dina Utami</v>
      </c>
      <c r="E2882" s="6" t="str">
        <f t="array" ref="E2882">IFERROR(INDEX(user_table!$E$2:$E3686,MATCH(C2882,user_table!$B$2:$B3686,0)),"")
</f>
        <v>6, 2</v>
      </c>
      <c r="F2882" s="6" t="str">
        <f t="shared" si="2"/>
        <v>1530454</v>
      </c>
      <c r="G2882" s="21">
        <v>4.0</v>
      </c>
      <c r="H2882" s="3">
        <v>44750.0</v>
      </c>
      <c r="I2882" s="22" t="s">
        <v>2814</v>
      </c>
    </row>
    <row r="2883">
      <c r="A2883" s="5" t="str">
        <f t="array" ref="A2883">INDEX(event_table!$A$2:$A$69, RANDBETWEEN(1, COUNTA(event_table!$A$2:$A$69)))</f>
        <v>1636</v>
      </c>
      <c r="B2883" s="6">
        <f t="array" ref="B2883">IFERROR(INDEX(event_table!$E$1:$E3686,MATCH(A2883,event_table!$A$1:$A3686,0)),"")
</f>
        <v>6</v>
      </c>
      <c r="C2883" s="7">
        <f t="shared" si="1"/>
        <v>119</v>
      </c>
      <c r="D2883" s="6" t="str">
        <f t="array" ref="D2883">IFERROR(INDEX(user_table!$C$2:$C3686,MATCH(C2883,user_table!$B$2:$B3686,0)),"")
</f>
        <v>Budi Rahayu</v>
      </c>
      <c r="E2883" s="6" t="str">
        <f t="array" ref="E2883">IFERROR(INDEX(user_table!$E$2:$E3686,MATCH(C2883,user_table!$B$2:$B3686,0)),"")
</f>
        <v>1, 2</v>
      </c>
      <c r="F2883" s="6" t="str">
        <f t="shared" si="2"/>
        <v>163646119</v>
      </c>
      <c r="G2883" s="21">
        <v>4.0</v>
      </c>
      <c r="H2883" s="3">
        <v>44686.0</v>
      </c>
      <c r="I2883" s="22" t="s">
        <v>2815</v>
      </c>
    </row>
    <row r="2884">
      <c r="A2884" s="5" t="str">
        <f t="array" ref="A2884">INDEX(event_table!$A$2:$A$69, RANDBETWEEN(1, COUNTA(event_table!$A$2:$A$69)))</f>
        <v>1333</v>
      </c>
      <c r="B2884" s="6">
        <f t="array" ref="B2884">IFERROR(INDEX(event_table!$E$1:$E3686,MATCH(A2884,event_table!$A$1:$A3686,0)),"")
</f>
        <v>3</v>
      </c>
      <c r="C2884" s="7">
        <f t="shared" si="1"/>
        <v>161</v>
      </c>
      <c r="D2884" s="6" t="str">
        <f t="array" ref="D2884">IFERROR(INDEX(user_table!$C$2:$C3686,MATCH(C2884,user_table!$B$2:$B3686,0)),"")
</f>
        <v>Lina Nugroho</v>
      </c>
      <c r="E2884" s="6" t="str">
        <f t="array" ref="E2884">IFERROR(INDEX(user_table!$E$2:$E3686,MATCH(C2884,user_table!$B$2:$B3686,0)),"")
</f>
        <v>6, 5</v>
      </c>
      <c r="F2884" s="6" t="str">
        <f t="shared" si="2"/>
        <v>133333161</v>
      </c>
      <c r="G2884" s="21">
        <v>3.0</v>
      </c>
      <c r="H2884" s="3">
        <v>45151.0</v>
      </c>
      <c r="I2884" s="22" t="s">
        <v>2816</v>
      </c>
    </row>
    <row r="2885">
      <c r="A2885" s="5" t="str">
        <f t="array" ref="A2885">INDEX(event_table!$A$2:$A$69, RANDBETWEEN(1, COUNTA(event_table!$A$2:$A$69)))</f>
        <v>1416</v>
      </c>
      <c r="B2885" s="6">
        <f t="array" ref="B2885">IFERROR(INDEX(event_table!$E$1:$E3686,MATCH(A2885,event_table!$A$1:$A3686,0)),"")
</f>
        <v>4</v>
      </c>
      <c r="C2885" s="7">
        <f t="shared" si="1"/>
        <v>142</v>
      </c>
      <c r="D2885" s="6" t="str">
        <f t="array" ref="D2885">IFERROR(INDEX(user_table!$C$2:$C3686,MATCH(C2885,user_table!$B$2:$B3686,0)),"")
</f>
        <v>Siti Rahayu</v>
      </c>
      <c r="E2885" s="6" t="str">
        <f t="array" ref="E2885">IFERROR(INDEX(user_table!$E$2:$E3686,MATCH(C2885,user_table!$B$2:$B3686,0)),"")
</f>
        <v>6, 3</v>
      </c>
      <c r="F2885" s="6" t="str">
        <f t="shared" si="2"/>
        <v>141634142</v>
      </c>
      <c r="G2885" s="21">
        <v>3.0</v>
      </c>
      <c r="H2885" s="3">
        <v>45114.0</v>
      </c>
      <c r="I2885" s="22" t="s">
        <v>2817</v>
      </c>
    </row>
    <row r="2886">
      <c r="A2886" s="5" t="str">
        <f t="array" ref="A2886">INDEX(event_table!$A$2:$A$69, RANDBETWEEN(1, COUNTA(event_table!$A$2:$A$69)))</f>
        <v>1649</v>
      </c>
      <c r="B2886" s="6">
        <f t="array" ref="B2886">IFERROR(INDEX(event_table!$E$1:$E3686,MATCH(A2886,event_table!$A$1:$A3686,0)),"")
</f>
        <v>6</v>
      </c>
      <c r="C2886" s="7">
        <f t="shared" si="1"/>
        <v>105</v>
      </c>
      <c r="D2886" s="6" t="str">
        <f t="array" ref="D2886">IFERROR(INDEX(user_table!$C$2:$C3686,MATCH(C2886,user_table!$B$2:$B3686,0)),"")
</f>
        <v>Siti Susanto</v>
      </c>
      <c r="E2886" s="6" t="str">
        <f t="array" ref="E2886">IFERROR(INDEX(user_table!$E$2:$E3686,MATCH(C2886,user_table!$B$2:$B3686,0)),"")
</f>
        <v>2, 6</v>
      </c>
      <c r="F2886" s="6" t="str">
        <f t="shared" si="2"/>
        <v>164936105</v>
      </c>
      <c r="G2886" s="21">
        <v>3.0</v>
      </c>
      <c r="H2886" s="3">
        <v>45038.0</v>
      </c>
      <c r="I2886" s="22" t="s">
        <v>2818</v>
      </c>
    </row>
    <row r="2887">
      <c r="A2887" s="5" t="str">
        <f t="array" ref="A2887">INDEX(event_table!$A$2:$A$69, RANDBETWEEN(1, COUNTA(event_table!$A$2:$A$69)))</f>
        <v>3165</v>
      </c>
      <c r="B2887" s="6">
        <f t="array" ref="B2887">IFERROR(INDEX(event_table!$E$1:$E3686,MATCH(A2887,event_table!$A$1:$A3686,0)),"")
</f>
        <v>1</v>
      </c>
      <c r="C2887" s="7">
        <f t="shared" si="1"/>
        <v>56</v>
      </c>
      <c r="D2887" s="6" t="str">
        <f t="array" ref="D2887">IFERROR(INDEX(user_table!$C$2:$C3686,MATCH(C2887,user_table!$B$2:$B3686,0)),"")
</f>
        <v>Desi Putri</v>
      </c>
      <c r="E2887" s="6" t="str">
        <f t="array" ref="E2887">IFERROR(INDEX(user_table!$E$2:$E3686,MATCH(C2887,user_table!$B$2:$B3686,0)),"")
</f>
        <v>1, 3</v>
      </c>
      <c r="F2887" s="6" t="str">
        <f t="shared" si="2"/>
        <v>31653156</v>
      </c>
      <c r="G2887" s="21">
        <v>3.0</v>
      </c>
      <c r="H2887" s="3">
        <v>45104.0</v>
      </c>
      <c r="I2887" s="22" t="s">
        <v>2819</v>
      </c>
    </row>
    <row r="2888">
      <c r="A2888" s="5" t="str">
        <f t="array" ref="A2888">INDEX(event_table!$A$2:$A$69, RANDBETWEEN(1, COUNTA(event_table!$A$2:$A$69)))</f>
        <v>3454</v>
      </c>
      <c r="B2888" s="6">
        <f t="array" ref="B2888">IFERROR(INDEX(event_table!$E$1:$E3686,MATCH(A2888,event_table!$A$1:$A3686,0)),"")
</f>
        <v>4</v>
      </c>
      <c r="C2888" s="7">
        <f t="shared" si="1"/>
        <v>90</v>
      </c>
      <c r="D2888" s="6" t="str">
        <f t="array" ref="D2888">IFERROR(INDEX(user_table!$C$2:$C3686,MATCH(C2888,user_table!$B$2:$B3686,0)),"")
</f>
        <v>Dina Saputra</v>
      </c>
      <c r="E2888" s="6" t="str">
        <f t="array" ref="E2888">IFERROR(INDEX(user_table!$E$2:$E3686,MATCH(C2888,user_table!$B$2:$B3686,0)),"")
</f>
        <v>1, 2</v>
      </c>
      <c r="F2888" s="6" t="str">
        <f t="shared" si="2"/>
        <v>34542490</v>
      </c>
      <c r="G2888" s="21">
        <v>2.0</v>
      </c>
      <c r="H2888" s="3">
        <v>44745.0</v>
      </c>
      <c r="I2888" s="22" t="s">
        <v>2820</v>
      </c>
    </row>
    <row r="2889">
      <c r="A2889" s="5" t="str">
        <f t="array" ref="A2889">INDEX(event_table!$A$2:$A$69, RANDBETWEEN(1, COUNTA(event_table!$A$2:$A$69)))</f>
        <v>1313</v>
      </c>
      <c r="B2889" s="6">
        <f t="array" ref="B2889">IFERROR(INDEX(event_table!$E$1:$E3686,MATCH(A2889,event_table!$A$1:$A3686,0)),"")
</f>
        <v>3</v>
      </c>
      <c r="C2889" s="7">
        <f t="shared" si="1"/>
        <v>22</v>
      </c>
      <c r="D2889" s="6" t="str">
        <f t="array" ref="D2889">IFERROR(INDEX(user_table!$C$2:$C3686,MATCH(C2889,user_table!$B$2:$B3686,0)),"")
</f>
        <v>Fajar Wijaya</v>
      </c>
      <c r="E2889" s="6" t="str">
        <f t="array" ref="E2889">IFERROR(INDEX(user_table!$E$2:$E3686,MATCH(C2889,user_table!$B$2:$B3686,0)),"")
</f>
        <v>2, 6</v>
      </c>
      <c r="F2889" s="6" t="str">
        <f t="shared" si="2"/>
        <v>13132322</v>
      </c>
      <c r="G2889" s="21">
        <v>2.0</v>
      </c>
      <c r="H2889" s="3">
        <v>44687.0</v>
      </c>
      <c r="I2889" s="22" t="s">
        <v>2821</v>
      </c>
    </row>
    <row r="2890">
      <c r="A2890" s="5" t="str">
        <f t="array" ref="A2890">INDEX(event_table!$A$2:$A$69, RANDBETWEEN(1, COUNTA(event_table!$A$2:$A$69)))</f>
        <v>3356</v>
      </c>
      <c r="B2890" s="6">
        <f t="array" ref="B2890">IFERROR(INDEX(event_table!$E$1:$E3686,MATCH(A2890,event_table!$A$1:$A3686,0)),"")
</f>
        <v>3</v>
      </c>
      <c r="C2890" s="7">
        <f t="shared" si="1"/>
        <v>179</v>
      </c>
      <c r="D2890" s="6" t="str">
        <f t="array" ref="D2890">IFERROR(INDEX(user_table!$C$2:$C3686,MATCH(C2890,user_table!$B$2:$B3686,0)),"")
</f>
        <v>Andi Susanto</v>
      </c>
      <c r="E2890" s="6" t="str">
        <f t="array" ref="E2890">IFERROR(INDEX(user_table!$E$2:$E3686,MATCH(C2890,user_table!$B$2:$B3686,0)),"")
</f>
        <v>1, 6</v>
      </c>
      <c r="F2890" s="6" t="str">
        <f t="shared" si="2"/>
        <v>335623179</v>
      </c>
      <c r="G2890" s="21">
        <v>2.0</v>
      </c>
      <c r="H2890" s="3">
        <v>45139.0</v>
      </c>
      <c r="I2890" s="22" t="s">
        <v>2822</v>
      </c>
    </row>
    <row r="2891">
      <c r="A2891" s="5" t="str">
        <f t="array" ref="A2891">INDEX(event_table!$A$2:$A$69, RANDBETWEEN(1, COUNTA(event_table!$A$2:$A$69)))</f>
        <v>1650</v>
      </c>
      <c r="B2891" s="6">
        <f t="array" ref="B2891">IFERROR(INDEX(event_table!$E$1:$E3686,MATCH(A2891,event_table!$A$1:$A3686,0)),"")
</f>
        <v>6</v>
      </c>
      <c r="C2891" s="7">
        <f t="shared" si="1"/>
        <v>6</v>
      </c>
      <c r="D2891" s="6" t="str">
        <f t="array" ref="D2891">IFERROR(INDEX(user_table!$C$2:$C3686,MATCH(C2891,user_table!$B$2:$B3686,0)),"")
</f>
        <v>Arif Putri</v>
      </c>
      <c r="E2891" s="6" t="str">
        <f t="array" ref="E2891">IFERROR(INDEX(user_table!$E$2:$E3686,MATCH(C2891,user_table!$B$2:$B3686,0)),"")
</f>
        <v>5, 2</v>
      </c>
      <c r="F2891" s="6" t="str">
        <f t="shared" si="2"/>
        <v>1650266</v>
      </c>
      <c r="G2891" s="21">
        <v>2.0</v>
      </c>
      <c r="H2891" s="3">
        <v>44832.0</v>
      </c>
      <c r="I2891" s="22" t="s">
        <v>2823</v>
      </c>
    </row>
    <row r="2892">
      <c r="A2892" s="5" t="str">
        <f t="array" ref="A2892">INDEX(event_table!$A$2:$A$69, RANDBETWEEN(1, COUNTA(event_table!$A$2:$A$69)))</f>
        <v>3658</v>
      </c>
      <c r="B2892" s="6">
        <f t="array" ref="B2892">IFERROR(INDEX(event_table!$E$1:$E3686,MATCH(A2892,event_table!$A$1:$A3686,0)),"")
</f>
        <v>6</v>
      </c>
      <c r="C2892" s="7">
        <f t="shared" si="1"/>
        <v>63</v>
      </c>
      <c r="D2892" s="6" t="str">
        <f t="array" ref="D2892">IFERROR(INDEX(user_table!$C$2:$C3686,MATCH(C2892,user_table!$B$2:$B3686,0)),"")
</f>
        <v>Desi Putri</v>
      </c>
      <c r="E2892" s="6" t="str">
        <f t="array" ref="E2892">IFERROR(INDEX(user_table!$E$2:$E3686,MATCH(C2892,user_table!$B$2:$B3686,0)),"")
</f>
        <v>2, 5</v>
      </c>
      <c r="F2892" s="6" t="str">
        <f t="shared" si="2"/>
        <v>36582663</v>
      </c>
      <c r="G2892" s="21">
        <v>2.0</v>
      </c>
      <c r="H2892" s="3">
        <v>44702.0</v>
      </c>
      <c r="I2892" s="22" t="s">
        <v>2824</v>
      </c>
    </row>
    <row r="2893">
      <c r="A2893" s="5" t="str">
        <f t="array" ref="A2893">INDEX(event_table!$A$2:$A$69, RANDBETWEEN(1, COUNTA(event_table!$A$2:$A$69)))</f>
        <v>1425</v>
      </c>
      <c r="B2893" s="6">
        <f t="array" ref="B2893">IFERROR(INDEX(event_table!$E$1:$E3686,MATCH(A2893,event_table!$A$1:$A3686,0)),"")
</f>
        <v>4</v>
      </c>
      <c r="C2893" s="7">
        <f t="shared" si="1"/>
        <v>54</v>
      </c>
      <c r="D2893" s="6" t="str">
        <f t="array" ref="D2893">IFERROR(INDEX(user_table!$C$2:$C3686,MATCH(C2893,user_table!$B$2:$B3686,0)),"")
</f>
        <v>Andi Kurniawan</v>
      </c>
      <c r="E2893" s="6" t="str">
        <f t="array" ref="E2893">IFERROR(INDEX(user_table!$E$2:$E3686,MATCH(C2893,user_table!$B$2:$B3686,0)),"")
</f>
        <v>4, 4</v>
      </c>
      <c r="F2893" s="6" t="str">
        <f t="shared" si="2"/>
        <v>14252454</v>
      </c>
      <c r="G2893" s="21">
        <v>2.0</v>
      </c>
      <c r="H2893" s="3">
        <v>44358.0</v>
      </c>
      <c r="I2893" s="22" t="s">
        <v>2825</v>
      </c>
    </row>
    <row r="2894">
      <c r="A2894" s="5" t="str">
        <f t="array" ref="A2894">INDEX(event_table!$A$2:$A$69, RANDBETWEEN(1, COUNTA(event_table!$A$2:$A$69)))</f>
        <v>1417</v>
      </c>
      <c r="B2894" s="6">
        <f t="array" ref="B2894">IFERROR(INDEX(event_table!$E$1:$E3686,MATCH(A2894,event_table!$A$1:$A3686,0)),"")
</f>
        <v>4</v>
      </c>
      <c r="C2894" s="7">
        <f t="shared" si="1"/>
        <v>161</v>
      </c>
      <c r="D2894" s="6" t="str">
        <f t="array" ref="D2894">IFERROR(INDEX(user_table!$C$2:$C3686,MATCH(C2894,user_table!$B$2:$B3686,0)),"")
</f>
        <v>Lina Nugroho</v>
      </c>
      <c r="E2894" s="6" t="str">
        <f t="array" ref="E2894">IFERROR(INDEX(user_table!$E$2:$E3686,MATCH(C2894,user_table!$B$2:$B3686,0)),"")
</f>
        <v>6, 5</v>
      </c>
      <c r="F2894" s="6" t="str">
        <f t="shared" si="2"/>
        <v>141724161</v>
      </c>
      <c r="G2894" s="21">
        <v>2.0</v>
      </c>
      <c r="H2894" s="3">
        <v>45250.0</v>
      </c>
      <c r="I2894" s="22" t="s">
        <v>2826</v>
      </c>
    </row>
    <row r="2895">
      <c r="A2895" s="5" t="str">
        <f t="array" ref="A2895">INDEX(event_table!$A$2:$A$69, RANDBETWEEN(1, COUNTA(event_table!$A$2:$A$69)))</f>
        <v>1423</v>
      </c>
      <c r="B2895" s="6">
        <f t="array" ref="B2895">IFERROR(INDEX(event_table!$E$1:$E3686,MATCH(A2895,event_table!$A$1:$A3686,0)),"")
</f>
        <v>4</v>
      </c>
      <c r="C2895" s="7">
        <f t="shared" si="1"/>
        <v>53</v>
      </c>
      <c r="D2895" s="6" t="str">
        <f t="array" ref="D2895">IFERROR(INDEX(user_table!$C$2:$C3686,MATCH(C2895,user_table!$B$2:$B3686,0)),"")
</f>
        <v>Wahyu Santoso</v>
      </c>
      <c r="E2895" s="6" t="str">
        <f t="array" ref="E2895">IFERROR(INDEX(user_table!$E$2:$E3686,MATCH(C2895,user_table!$B$2:$B3686,0)),"")
</f>
        <v>4, 5</v>
      </c>
      <c r="F2895" s="6" t="str">
        <f t="shared" si="2"/>
        <v>14232453</v>
      </c>
      <c r="G2895" s="21">
        <v>2.0</v>
      </c>
      <c r="H2895" s="3">
        <v>45224.0</v>
      </c>
      <c r="I2895" s="22" t="s">
        <v>2827</v>
      </c>
    </row>
    <row r="2896">
      <c r="A2896" s="5" t="str">
        <f t="array" ref="A2896">INDEX(event_table!$A$2:$A$69, RANDBETWEEN(1, COUNTA(event_table!$A$2:$A$69)))</f>
        <v>3659</v>
      </c>
      <c r="B2896" s="6">
        <f t="array" ref="B2896">IFERROR(INDEX(event_table!$E$1:$E3686,MATCH(A2896,event_table!$A$1:$A3686,0)),"")
</f>
        <v>6</v>
      </c>
      <c r="C2896" s="7">
        <f t="shared" si="1"/>
        <v>179</v>
      </c>
      <c r="D2896" s="6" t="str">
        <f t="array" ref="D2896">IFERROR(INDEX(user_table!$C$2:$C3686,MATCH(C2896,user_table!$B$2:$B3686,0)),"")
</f>
        <v>Andi Susanto</v>
      </c>
      <c r="E2896" s="6" t="str">
        <f t="array" ref="E2896">IFERROR(INDEX(user_table!$E$2:$E3686,MATCH(C2896,user_table!$B$2:$B3686,0)),"")
</f>
        <v>1, 6</v>
      </c>
      <c r="F2896" s="6" t="str">
        <f t="shared" si="2"/>
        <v>365926179</v>
      </c>
      <c r="G2896" s="21">
        <v>2.0</v>
      </c>
      <c r="H2896" s="3">
        <v>45148.0</v>
      </c>
      <c r="I2896" s="22" t="s">
        <v>2828</v>
      </c>
    </row>
    <row r="2897">
      <c r="A2897" s="5" t="str">
        <f t="array" ref="A2897">INDEX(event_table!$A$2:$A$69, RANDBETWEEN(1, COUNTA(event_table!$A$2:$A$69)))</f>
        <v>3356</v>
      </c>
      <c r="B2897" s="6">
        <f t="array" ref="B2897">IFERROR(INDEX(event_table!$E$1:$E3686,MATCH(A2897,event_table!$A$1:$A3686,0)),"")
</f>
        <v>3</v>
      </c>
      <c r="C2897" s="7">
        <f t="shared" si="1"/>
        <v>27</v>
      </c>
      <c r="D2897" s="6" t="str">
        <f t="array" ref="D2897">IFERROR(INDEX(user_table!$C$2:$C3686,MATCH(C2897,user_table!$B$2:$B3686,0)),"")
</f>
        <v>Fandi Purnama</v>
      </c>
      <c r="E2897" s="6" t="str">
        <f t="array" ref="E2897">IFERROR(INDEX(user_table!$E$2:$E3686,MATCH(C2897,user_table!$B$2:$B3686,0)),"")
</f>
        <v>4, 6</v>
      </c>
      <c r="F2897" s="6" t="str">
        <f t="shared" si="2"/>
        <v>33562327</v>
      </c>
      <c r="G2897" s="21">
        <v>2.0</v>
      </c>
      <c r="H2897" s="3">
        <v>45133.0</v>
      </c>
      <c r="I2897" s="22" t="s">
        <v>2829</v>
      </c>
    </row>
    <row r="2898">
      <c r="A2898" s="5" t="str">
        <f t="array" ref="A2898">INDEX(event_table!$A$2:$A$69, RANDBETWEEN(1, COUNTA(event_table!$A$2:$A$69)))</f>
        <v>1526</v>
      </c>
      <c r="B2898" s="6">
        <f t="array" ref="B2898">IFERROR(INDEX(event_table!$E$1:$E3686,MATCH(A2898,event_table!$A$1:$A3686,0)),"")
</f>
        <v>5</v>
      </c>
      <c r="C2898" s="7">
        <f t="shared" si="1"/>
        <v>101</v>
      </c>
      <c r="D2898" s="6" t="str">
        <f t="array" ref="D2898">IFERROR(INDEX(user_table!$C$2:$C3686,MATCH(C2898,user_table!$B$2:$B3686,0)),"")
</f>
        <v>Maya Hadiwijaya</v>
      </c>
      <c r="E2898" s="6" t="str">
        <f t="array" ref="E2898">IFERROR(INDEX(user_table!$E$2:$E3686,MATCH(C2898,user_table!$B$2:$B3686,0)),"")
</f>
        <v>5, 4</v>
      </c>
      <c r="F2898" s="6" t="str">
        <f t="shared" si="2"/>
        <v>152625101</v>
      </c>
      <c r="G2898" s="21">
        <v>2.0</v>
      </c>
      <c r="H2898" s="3">
        <v>45094.0</v>
      </c>
      <c r="I2898" s="22" t="s">
        <v>2830</v>
      </c>
    </row>
    <row r="2899">
      <c r="A2899" s="5" t="str">
        <f t="array" ref="A2899">INDEX(event_table!$A$2:$A$69, RANDBETWEEN(1, COUNTA(event_table!$A$2:$A$69)))</f>
        <v>1114</v>
      </c>
      <c r="B2899" s="6">
        <f t="array" ref="B2899">IFERROR(INDEX(event_table!$E$1:$E3686,MATCH(A2899,event_table!$A$1:$A3686,0)),"")
</f>
        <v>1</v>
      </c>
      <c r="C2899" s="7">
        <f t="shared" si="1"/>
        <v>69</v>
      </c>
      <c r="D2899" s="6" t="str">
        <f t="array" ref="D2899">IFERROR(INDEX(user_table!$C$2:$C3686,MATCH(C2899,user_table!$B$2:$B3686,0)),"")
</f>
        <v>Citra Rahayu</v>
      </c>
      <c r="E2899" s="6" t="str">
        <f t="array" ref="E2899">IFERROR(INDEX(user_table!$E$2:$E3686,MATCH(C2899,user_table!$B$2:$B3686,0)),"")
</f>
        <v>5, 5</v>
      </c>
      <c r="F2899" s="6" t="str">
        <f t="shared" si="2"/>
        <v>11142169</v>
      </c>
      <c r="G2899" s="21">
        <v>2.0</v>
      </c>
      <c r="H2899" s="3">
        <v>45090.0</v>
      </c>
      <c r="I2899" s="22" t="s">
        <v>2831</v>
      </c>
    </row>
    <row r="2900">
      <c r="A2900" s="5" t="str">
        <f t="array" ref="A2900">INDEX(event_table!$A$2:$A$69, RANDBETWEEN(1, COUNTA(event_table!$A$2:$A$69)))</f>
        <v>1553</v>
      </c>
      <c r="B2900" s="6">
        <f t="array" ref="B2900">IFERROR(INDEX(event_table!$E$1:$E3686,MATCH(A2900,event_table!$A$1:$A3686,0)),"")
</f>
        <v>5</v>
      </c>
      <c r="C2900" s="7">
        <f t="shared" si="1"/>
        <v>44</v>
      </c>
      <c r="D2900" s="6" t="str">
        <f t="array" ref="D2900">IFERROR(INDEX(user_table!$C$2:$C3686,MATCH(C2900,user_table!$B$2:$B3686,0)),"")
</f>
        <v>Arif Sari</v>
      </c>
      <c r="E2900" s="6" t="str">
        <f t="array" ref="E2900">IFERROR(INDEX(user_table!$E$2:$E3686,MATCH(C2900,user_table!$B$2:$B3686,0)),"")
</f>
        <v>2, 4</v>
      </c>
      <c r="F2900" s="6" t="str">
        <f t="shared" si="2"/>
        <v>15532544</v>
      </c>
      <c r="G2900" s="21">
        <v>2.0</v>
      </c>
      <c r="H2900" s="3">
        <v>45078.0</v>
      </c>
      <c r="I2900" s="22" t="s">
        <v>2832</v>
      </c>
    </row>
    <row r="2901">
      <c r="A2901" s="5" t="str">
        <f t="array" ref="A2901">INDEX(event_table!$A$2:$A$69, RANDBETWEEN(1, COUNTA(event_table!$A$2:$A$69)))</f>
        <v>3658</v>
      </c>
      <c r="B2901" s="6">
        <f t="array" ref="B2901">IFERROR(INDEX(event_table!$E$1:$E3686,MATCH(A2901,event_table!$A$1:$A3686,0)),"")
</f>
        <v>6</v>
      </c>
      <c r="C2901" s="7">
        <f t="shared" si="1"/>
        <v>32</v>
      </c>
      <c r="D2901" s="6" t="str">
        <f t="array" ref="D2901">IFERROR(INDEX(user_table!$C$2:$C3686,MATCH(C2901,user_table!$B$2:$B3686,0)),"")
</f>
        <v>Ani Setiawan</v>
      </c>
      <c r="E2901" s="6" t="str">
        <f t="array" ref="E2901">IFERROR(INDEX(user_table!$E$2:$E3686,MATCH(C2901,user_table!$B$2:$B3686,0)),"")
</f>
        <v>6, 3</v>
      </c>
      <c r="F2901" s="6" t="str">
        <f t="shared" si="2"/>
        <v>36581632</v>
      </c>
      <c r="G2901" s="21">
        <v>1.0</v>
      </c>
      <c r="H2901" s="3">
        <v>45269.0</v>
      </c>
      <c r="I2901" s="22" t="s">
        <v>2833</v>
      </c>
    </row>
    <row r="2902">
      <c r="A2902" s="5" t="str">
        <f t="array" ref="A2902">INDEX(event_table!$A$2:$A$69, RANDBETWEEN(1, COUNTA(event_table!$A$2:$A$69)))</f>
        <v>1644</v>
      </c>
      <c r="B2902" s="6">
        <f t="array" ref="B2902">IFERROR(INDEX(event_table!$E$1:$E3686,MATCH(A2902,event_table!$A$1:$A3686,0)),"")
</f>
        <v>6</v>
      </c>
      <c r="C2902" s="7">
        <f t="shared" si="1"/>
        <v>107</v>
      </c>
      <c r="D2902" s="6" t="str">
        <f t="array" ref="D2902">IFERROR(INDEX(user_table!$C$2:$C3686,MATCH(C2902,user_table!$B$2:$B3686,0)),"")
</f>
        <v>Citra Rahayu</v>
      </c>
      <c r="E2902" s="6" t="str">
        <f t="array" ref="E2902">IFERROR(INDEX(user_table!$E$2:$E3686,MATCH(C2902,user_table!$B$2:$B3686,0)),"")
</f>
        <v>1, 5</v>
      </c>
      <c r="F2902" s="6" t="str">
        <f t="shared" si="2"/>
        <v>164416107</v>
      </c>
      <c r="G2902" s="21">
        <v>1.0</v>
      </c>
      <c r="H2902" s="3">
        <v>45189.0</v>
      </c>
      <c r="I2902" s="22" t="s">
        <v>2834</v>
      </c>
    </row>
    <row r="2903">
      <c r="A2903" s="5" t="str">
        <f t="array" ref="A2903">INDEX(event_table!$A$2:$A$69, RANDBETWEEN(1, COUNTA(event_table!$A$2:$A$69)))</f>
        <v>1333</v>
      </c>
      <c r="B2903" s="6">
        <f t="array" ref="B2903">IFERROR(INDEX(event_table!$E$1:$E3686,MATCH(A2903,event_table!$A$1:$A3686,0)),"")
</f>
        <v>3</v>
      </c>
      <c r="C2903" s="7">
        <f t="shared" si="1"/>
        <v>101</v>
      </c>
      <c r="D2903" s="6" t="str">
        <f t="array" ref="D2903">IFERROR(INDEX(user_table!$C$2:$C3686,MATCH(C2903,user_table!$B$2:$B3686,0)),"")
</f>
        <v>Maya Hadiwijaya</v>
      </c>
      <c r="E2903" s="6" t="str">
        <f t="array" ref="E2903">IFERROR(INDEX(user_table!$E$2:$E3686,MATCH(C2903,user_table!$B$2:$B3686,0)),"")
</f>
        <v>5, 4</v>
      </c>
      <c r="F2903" s="6" t="str">
        <f t="shared" si="2"/>
        <v>133313101</v>
      </c>
      <c r="G2903" s="21">
        <v>1.0</v>
      </c>
      <c r="H2903" s="3">
        <v>45225.0</v>
      </c>
      <c r="I2903" s="22" t="s">
        <v>2835</v>
      </c>
    </row>
    <row r="2904">
      <c r="A2904" s="5" t="str">
        <f t="array" ref="A2904">INDEX(event_table!$A$2:$A$69, RANDBETWEEN(1, COUNTA(event_table!$A$2:$A$69)))</f>
        <v>1530</v>
      </c>
      <c r="B2904" s="6">
        <f t="array" ref="B2904">IFERROR(INDEX(event_table!$E$1:$E3686,MATCH(A2904,event_table!$A$1:$A3686,0)),"")
</f>
        <v>5</v>
      </c>
      <c r="C2904" s="7">
        <f t="shared" si="1"/>
        <v>159</v>
      </c>
      <c r="D2904" s="6" t="str">
        <f t="array" ref="D2904">IFERROR(INDEX(user_table!$C$2:$C3686,MATCH(C2904,user_table!$B$2:$B3686,0)),"")
</f>
        <v>Rudi Santoso</v>
      </c>
      <c r="E2904" s="6" t="str">
        <f t="array" ref="E2904">IFERROR(INDEX(user_table!$E$2:$E3686,MATCH(C2904,user_table!$B$2:$B3686,0)),"")
</f>
        <v>5, 1</v>
      </c>
      <c r="F2904" s="6" t="str">
        <f t="shared" si="2"/>
        <v>153015159</v>
      </c>
      <c r="G2904" s="21">
        <v>1.0</v>
      </c>
      <c r="H2904" s="3">
        <v>45265.0</v>
      </c>
      <c r="I2904" s="22" t="s">
        <v>2836</v>
      </c>
    </row>
    <row r="2905">
      <c r="A2905" s="5" t="str">
        <f t="array" ref="A2905">INDEX(event_table!$A$2:$A$69, RANDBETWEEN(1, COUNTA(event_table!$A$2:$A$69)))</f>
        <v>114</v>
      </c>
      <c r="B2905" s="6">
        <f t="array" ref="B2905">IFERROR(INDEX(event_table!$E$1:$E3686,MATCH(A2905,event_table!$A$1:$A3686,0)),"")
</f>
        <v>1</v>
      </c>
      <c r="C2905" s="7">
        <f t="shared" si="1"/>
        <v>33</v>
      </c>
      <c r="D2905" s="6" t="str">
        <f t="array" ref="D2905">IFERROR(INDEX(user_table!$C$2:$C3686,MATCH(C2905,user_table!$B$2:$B3686,0)),"")
</f>
        <v>Dewi Wijaya</v>
      </c>
      <c r="E2905" s="6" t="str">
        <f t="array" ref="E2905">IFERROR(INDEX(user_table!$E$2:$E3686,MATCH(C2905,user_table!$B$2:$B3686,0)),"")
</f>
        <v>4, 2</v>
      </c>
      <c r="F2905" s="6" t="str">
        <f t="shared" si="2"/>
        <v>1141133</v>
      </c>
      <c r="G2905" s="21">
        <v>1.0</v>
      </c>
      <c r="H2905" s="3">
        <v>45209.0</v>
      </c>
      <c r="I2905" s="22" t="s">
        <v>2837</v>
      </c>
    </row>
    <row r="2906">
      <c r="A2906" s="5" t="str">
        <f t="array" ref="A2906">INDEX(event_table!$A$2:$A$69, RANDBETWEEN(1, COUNTA(event_table!$A$2:$A$69)))</f>
        <v>1114</v>
      </c>
      <c r="B2906" s="6">
        <f t="array" ref="B2906">IFERROR(INDEX(event_table!$E$1:$E3686,MATCH(A2906,event_table!$A$1:$A3686,0)),"")
</f>
        <v>1</v>
      </c>
      <c r="C2906" s="7">
        <f t="shared" si="1"/>
        <v>150</v>
      </c>
      <c r="D2906" s="6" t="str">
        <f t="array" ref="D2906">IFERROR(INDEX(user_table!$C$2:$C3686,MATCH(C2906,user_table!$B$2:$B3686,0)),"")
</f>
        <v>Dina Susanto</v>
      </c>
      <c r="E2906" s="6" t="str">
        <f t="array" ref="E2906">IFERROR(INDEX(user_table!$E$2:$E3686,MATCH(C2906,user_table!$B$2:$B3686,0)),"")
</f>
        <v>2, 6</v>
      </c>
      <c r="F2906" s="6" t="str">
        <f t="shared" si="2"/>
        <v>111411150</v>
      </c>
      <c r="G2906" s="21">
        <v>1.0</v>
      </c>
      <c r="H2906" s="3">
        <v>45144.0</v>
      </c>
      <c r="I2906" s="22" t="s">
        <v>2838</v>
      </c>
    </row>
    <row r="2907">
      <c r="A2907" s="5" t="str">
        <f t="array" ref="A2907">INDEX(event_table!$A$2:$A$69, RANDBETWEEN(1, COUNTA(event_table!$A$2:$A$69)))</f>
        <v>1423</v>
      </c>
      <c r="B2907" s="6">
        <f t="array" ref="B2907">IFERROR(INDEX(event_table!$E$1:$E3686,MATCH(A2907,event_table!$A$1:$A3686,0)),"")
</f>
        <v>4</v>
      </c>
      <c r="C2907" s="7">
        <f t="shared" si="1"/>
        <v>144</v>
      </c>
      <c r="D2907" s="6" t="str">
        <f t="array" ref="D2907">IFERROR(INDEX(user_table!$C$2:$C3686,MATCH(C2907,user_table!$B$2:$B3686,0)),"")
</f>
        <v>Sinta Rahayu</v>
      </c>
      <c r="E2907" s="6" t="str">
        <f t="array" ref="E2907">IFERROR(INDEX(user_table!$E$2:$E3686,MATCH(C2907,user_table!$B$2:$B3686,0)),"")
</f>
        <v>6, 3</v>
      </c>
      <c r="F2907" s="6" t="str">
        <f t="shared" si="2"/>
        <v>142314144</v>
      </c>
      <c r="G2907" s="21">
        <v>1.0</v>
      </c>
      <c r="H2907" s="3">
        <v>45143.0</v>
      </c>
      <c r="I2907" s="22" t="s">
        <v>2839</v>
      </c>
    </row>
    <row r="2908">
      <c r="A2908" s="5" t="str">
        <f t="array" ref="A2908">INDEX(event_table!$A$2:$A$69, RANDBETWEEN(1, COUNTA(event_table!$A$2:$A$69)))</f>
        <v>1215</v>
      </c>
      <c r="B2908" s="6">
        <f t="array" ref="B2908">IFERROR(INDEX(event_table!$E$1:$E3686,MATCH(A2908,event_table!$A$1:$A3686,0)),"")
</f>
        <v>2</v>
      </c>
      <c r="C2908" s="7">
        <f t="shared" si="1"/>
        <v>78</v>
      </c>
      <c r="D2908" s="6" t="str">
        <f t="array" ref="D2908">IFERROR(INDEX(user_table!$C$2:$C3686,MATCH(C2908,user_table!$B$2:$B3686,0)),"")
</f>
        <v>Fandi Putri</v>
      </c>
      <c r="E2908" s="6" t="str">
        <f t="array" ref="E2908">IFERROR(INDEX(user_table!$E$2:$E3686,MATCH(C2908,user_table!$B$2:$B3686,0)),"")
</f>
        <v>3, 3</v>
      </c>
      <c r="F2908" s="6" t="str">
        <f t="shared" si="2"/>
        <v>12151278</v>
      </c>
      <c r="G2908" s="21">
        <v>1.0</v>
      </c>
      <c r="H2908" s="3">
        <v>45086.0</v>
      </c>
      <c r="I2908" s="22" t="s">
        <v>2840</v>
      </c>
    </row>
    <row r="2909">
      <c r="A2909" s="5" t="str">
        <f t="array" ref="A2909">INDEX(event_table!$A$2:$A$69, RANDBETWEEN(1, COUNTA(event_table!$A$2:$A$69)))</f>
        <v>1649</v>
      </c>
      <c r="B2909" s="6">
        <f t="array" ref="B2909">IFERROR(INDEX(event_table!$E$1:$E3686,MATCH(A2909,event_table!$A$1:$A3686,0)),"")
</f>
        <v>6</v>
      </c>
      <c r="C2909" s="7">
        <f t="shared" si="1"/>
        <v>59</v>
      </c>
      <c r="D2909" s="6" t="str">
        <f t="array" ref="D2909">IFERROR(INDEX(user_table!$C$2:$C3686,MATCH(C2909,user_table!$B$2:$B3686,0)),"")
</f>
        <v>Siti Rahayu</v>
      </c>
      <c r="E2909" s="6" t="str">
        <f t="array" ref="E2909">IFERROR(INDEX(user_table!$E$2:$E3686,MATCH(C2909,user_table!$B$2:$B3686,0)),"")
</f>
        <v>3, 5</v>
      </c>
      <c r="F2909" s="6" t="str">
        <f t="shared" si="2"/>
        <v>16491659</v>
      </c>
      <c r="G2909" s="21">
        <v>1.0</v>
      </c>
      <c r="H2909" s="3">
        <v>45082.0</v>
      </c>
      <c r="I2909" s="22" t="s">
        <v>2841</v>
      </c>
    </row>
    <row r="2910">
      <c r="A2910" s="5" t="str">
        <f t="array" ref="A2910">INDEX(event_table!$A$2:$A$69, RANDBETWEEN(1, COUNTA(event_table!$A$2:$A$69)))</f>
        <v>113</v>
      </c>
      <c r="B2910" s="6">
        <f t="array" ref="B2910">IFERROR(INDEX(event_table!$E$1:$E3686,MATCH(A2910,event_table!$A$1:$A3686,0)),"")
</f>
        <v>1</v>
      </c>
      <c r="C2910" s="7">
        <f t="shared" si="1"/>
        <v>10</v>
      </c>
      <c r="D2910" s="6" t="str">
        <f t="array" ref="D2910">IFERROR(INDEX(user_table!$C$2:$C3686,MATCH(C2910,user_table!$B$2:$B3686,0)),"")
</f>
        <v>Dina Susanto</v>
      </c>
      <c r="E2910" s="6" t="str">
        <f t="array" ref="E2910">IFERROR(INDEX(user_table!$E$2:$E3686,MATCH(C2910,user_table!$B$2:$B3686,0)),"")
</f>
        <v>4, 5</v>
      </c>
      <c r="F2910" s="6" t="str">
        <f t="shared" si="2"/>
        <v>1131110</v>
      </c>
      <c r="G2910" s="21">
        <v>1.0</v>
      </c>
      <c r="H2910" s="3">
        <v>45078.0</v>
      </c>
      <c r="I2910" s="22" t="s">
        <v>2842</v>
      </c>
    </row>
    <row r="2911">
      <c r="A2911" s="5" t="str">
        <f t="array" ref="A2911">INDEX(event_table!$A$2:$A$69, RANDBETWEEN(1, COUNTA(event_table!$A$2:$A$69)))</f>
        <v>113</v>
      </c>
      <c r="B2911" s="6">
        <f t="array" ref="B2911">IFERROR(INDEX(event_table!$E$1:$E3686,MATCH(A2911,event_table!$A$1:$A3686,0)),"")
</f>
        <v>1</v>
      </c>
      <c r="C2911" s="7">
        <f t="shared" si="1"/>
        <v>64</v>
      </c>
      <c r="D2911" s="6" t="str">
        <f t="array" ref="D2911">IFERROR(INDEX(user_table!$C$2:$C3686,MATCH(C2911,user_table!$B$2:$B3686,0)),"")
</f>
        <v>Fajar Utami</v>
      </c>
      <c r="E2911" s="6" t="str">
        <f t="array" ref="E2911">IFERROR(INDEX(user_table!$E$2:$E3686,MATCH(C2911,user_table!$B$2:$B3686,0)),"")
</f>
        <v>5, 2</v>
      </c>
      <c r="F2911" s="6" t="str">
        <f t="shared" si="2"/>
        <v>1131164</v>
      </c>
      <c r="G2911" s="21">
        <v>1.0</v>
      </c>
      <c r="H2911" s="3">
        <v>45072.0</v>
      </c>
      <c r="I2911" s="22" t="s">
        <v>2843</v>
      </c>
    </row>
    <row r="2912">
      <c r="A2912" s="5" t="str">
        <f t="array" ref="A2912">INDEX(event_table!$A$2:$A$69, RANDBETWEEN(1, COUNTA(event_table!$A$2:$A$69)))</f>
        <v>3168</v>
      </c>
      <c r="B2912" s="6">
        <f t="array" ref="B2912">IFERROR(INDEX(event_table!$E$1:$E3686,MATCH(A2912,event_table!$A$1:$A3686,0)),"")
</f>
        <v>1</v>
      </c>
      <c r="C2912" s="7">
        <f t="shared" si="1"/>
        <v>30</v>
      </c>
      <c r="D2912" s="6" t="str">
        <f t="array" ref="D2912">IFERROR(INDEX(user_table!$C$2:$C3686,MATCH(C2912,user_table!$B$2:$B3686,0)),"")
</f>
        <v>Fajar Kurniawan</v>
      </c>
      <c r="E2912" s="6" t="str">
        <f t="array" ref="E2912">IFERROR(INDEX(user_table!$E$2:$E3686,MATCH(C2912,user_table!$B$2:$B3686,0)),"")
</f>
        <v>5, 3</v>
      </c>
      <c r="F2912" s="6" t="str">
        <f t="shared" si="2"/>
        <v>31681130</v>
      </c>
      <c r="G2912" s="21">
        <v>1.0</v>
      </c>
      <c r="H2912" s="3">
        <v>45018.0</v>
      </c>
      <c r="I2912" s="22" t="s">
        <v>2844</v>
      </c>
    </row>
    <row r="2913">
      <c r="A2913" s="5" t="str">
        <f t="array" ref="A2913">INDEX(event_table!$A$2:$A$69, RANDBETWEEN(1, COUNTA(event_table!$A$2:$A$69)))</f>
        <v>1638</v>
      </c>
      <c r="B2913" s="6">
        <f t="array" ref="B2913">IFERROR(INDEX(event_table!$E$1:$E3686,MATCH(A2913,event_table!$A$1:$A3686,0)),"")
</f>
        <v>6</v>
      </c>
      <c r="C2913" s="7">
        <f t="shared" si="1"/>
        <v>100</v>
      </c>
      <c r="D2913" s="6" t="str">
        <f t="array" ref="D2913">IFERROR(INDEX(user_table!$C$2:$C3686,MATCH(C2913,user_table!$B$2:$B3686,0)),"")
</f>
        <v>Lina Rahayu</v>
      </c>
      <c r="E2913" s="6" t="str">
        <f t="array" ref="E2913">IFERROR(INDEX(user_table!$E$2:$E3686,MATCH(C2913,user_table!$B$2:$B3686,0)),"")
</f>
        <v>6, 2</v>
      </c>
      <c r="F2913" s="6" t="str">
        <f t="shared" si="2"/>
        <v>163856100</v>
      </c>
      <c r="G2913" s="21">
        <v>5.0</v>
      </c>
      <c r="H2913" s="3">
        <v>44745.0</v>
      </c>
      <c r="I2913" s="22" t="s">
        <v>2845</v>
      </c>
    </row>
    <row r="2914">
      <c r="A2914" s="5" t="str">
        <f t="array" ref="A2914">INDEX(event_table!$A$2:$A$69, RANDBETWEEN(1, COUNTA(event_table!$A$2:$A$69)))</f>
        <v>1647</v>
      </c>
      <c r="B2914" s="6">
        <f t="array" ref="B2914">IFERROR(INDEX(event_table!$E$1:$E3686,MATCH(A2914,event_table!$A$1:$A3686,0)),"")
</f>
        <v>6</v>
      </c>
      <c r="C2914" s="7">
        <f t="shared" si="1"/>
        <v>181</v>
      </c>
      <c r="D2914" s="6" t="str">
        <f t="array" ref="D2914">IFERROR(INDEX(user_table!$C$2:$C3686,MATCH(C2914,user_table!$B$2:$B3686,0)),"")
</f>
        <v>Andi Hadiwijaya</v>
      </c>
      <c r="E2914" s="6" t="str">
        <f t="array" ref="E2914">IFERROR(INDEX(user_table!$E$2:$E3686,MATCH(C2914,user_table!$B$2:$B3686,0)),"")
</f>
        <v>3, 2</v>
      </c>
      <c r="F2914" s="6" t="str">
        <f t="shared" si="2"/>
        <v>164756181</v>
      </c>
      <c r="G2914" s="21">
        <v>5.0</v>
      </c>
      <c r="H2914" s="3">
        <v>44741.0</v>
      </c>
      <c r="I2914" s="22" t="s">
        <v>2846</v>
      </c>
    </row>
    <row r="2915">
      <c r="A2915" s="5" t="str">
        <f t="array" ref="A2915">INDEX(event_table!$A$2:$A$69, RANDBETWEEN(1, COUNTA(event_table!$A$2:$A$69)))</f>
        <v>1212</v>
      </c>
      <c r="B2915" s="6">
        <f t="array" ref="B2915">IFERROR(INDEX(event_table!$E$1:$E3686,MATCH(A2915,event_table!$A$1:$A3686,0)),"")
</f>
        <v>2</v>
      </c>
      <c r="C2915" s="7">
        <f t="shared" si="1"/>
        <v>21</v>
      </c>
      <c r="D2915" s="6" t="str">
        <f t="array" ref="D2915">IFERROR(INDEX(user_table!$C$2:$C3686,MATCH(C2915,user_table!$B$2:$B3686,0)),"")
</f>
        <v>Budi Santoso</v>
      </c>
      <c r="E2915" s="6" t="str">
        <f t="array" ref="E2915">IFERROR(INDEX(user_table!$E$2:$E3686,MATCH(C2915,user_table!$B$2:$B3686,0)),"")
</f>
        <v>6, 1</v>
      </c>
      <c r="F2915" s="6" t="str">
        <f t="shared" si="2"/>
        <v>12125221</v>
      </c>
      <c r="G2915" s="21">
        <v>5.0</v>
      </c>
      <c r="H2915" s="3">
        <v>44738.0</v>
      </c>
      <c r="I2915" s="22" t="s">
        <v>2847</v>
      </c>
    </row>
    <row r="2916">
      <c r="A2916" s="5" t="str">
        <f t="array" ref="A2916">INDEX(event_table!$A$2:$A$69, RANDBETWEEN(1, COUNTA(event_table!$A$2:$A$69)))</f>
        <v>1643</v>
      </c>
      <c r="B2916" s="6">
        <f t="array" ref="B2916">IFERROR(INDEX(event_table!$E$1:$E3686,MATCH(A2916,event_table!$A$1:$A3686,0)),"")
</f>
        <v>6</v>
      </c>
      <c r="C2916" s="7">
        <f t="shared" si="1"/>
        <v>86</v>
      </c>
      <c r="D2916" s="6" t="str">
        <f t="array" ref="D2916">IFERROR(INDEX(user_table!$C$2:$C3686,MATCH(C2916,user_table!$B$2:$B3686,0)),"")
</f>
        <v>Lina Santoso</v>
      </c>
      <c r="E2916" s="6" t="str">
        <f t="array" ref="E2916">IFERROR(INDEX(user_table!$E$2:$E3686,MATCH(C2916,user_table!$B$2:$B3686,0)),"")
</f>
        <v>4, 3</v>
      </c>
      <c r="F2916" s="6" t="str">
        <f t="shared" si="2"/>
        <v>16435686</v>
      </c>
      <c r="G2916" s="21">
        <v>5.0</v>
      </c>
      <c r="H2916" s="3">
        <v>44709.0</v>
      </c>
      <c r="I2916" s="22" t="s">
        <v>2848</v>
      </c>
    </row>
    <row r="2917">
      <c r="A2917" s="5" t="str">
        <f t="array" ref="A2917">INDEX(event_table!$A$2:$A$69, RANDBETWEEN(1, COUNTA(event_table!$A$2:$A$69)))</f>
        <v>111</v>
      </c>
      <c r="B2917" s="6">
        <f t="array" ref="B2917">IFERROR(INDEX(event_table!$E$1:$E3686,MATCH(A2917,event_table!$A$1:$A3686,0)),"")
</f>
        <v>1</v>
      </c>
      <c r="C2917" s="7">
        <f t="shared" si="1"/>
        <v>80</v>
      </c>
      <c r="D2917" s="6" t="str">
        <f t="array" ref="D2917">IFERROR(INDEX(user_table!$C$2:$C3686,MATCH(C2917,user_table!$B$2:$B3686,0)),"")
</f>
        <v>Sinta Susanto</v>
      </c>
      <c r="E2917" s="6" t="str">
        <f t="array" ref="E2917">IFERROR(INDEX(user_table!$E$2:$E3686,MATCH(C2917,user_table!$B$2:$B3686,0)),"")
</f>
        <v>5, 2</v>
      </c>
      <c r="F2917" s="6" t="str">
        <f t="shared" si="2"/>
        <v>1115180</v>
      </c>
      <c r="G2917" s="21">
        <v>5.0</v>
      </c>
      <c r="H2917" s="3">
        <v>44707.0</v>
      </c>
      <c r="I2917" s="22" t="s">
        <v>2849</v>
      </c>
    </row>
    <row r="2918">
      <c r="A2918" s="5" t="str">
        <f t="array" ref="A2918">INDEX(event_table!$A$2:$A$69, RANDBETWEEN(1, COUNTA(event_table!$A$2:$A$69)))</f>
        <v>119</v>
      </c>
      <c r="B2918" s="6">
        <f t="array" ref="B2918">IFERROR(INDEX(event_table!$E$1:$E3686,MATCH(A2918,event_table!$A$1:$A3686,0)),"")
</f>
        <v>1</v>
      </c>
      <c r="C2918" s="7">
        <f t="shared" si="1"/>
        <v>7</v>
      </c>
      <c r="D2918" s="6" t="str">
        <f t="array" ref="D2918">IFERROR(INDEX(user_table!$C$2:$C3686,MATCH(C2918,user_table!$B$2:$B3686,0)),"")
</f>
        <v>Maya Sari</v>
      </c>
      <c r="E2918" s="6" t="str">
        <f t="array" ref="E2918">IFERROR(INDEX(user_table!$E$2:$E3686,MATCH(C2918,user_table!$B$2:$B3686,0)),"")
</f>
        <v>5, 2</v>
      </c>
      <c r="F2918" s="6" t="str">
        <f t="shared" si="2"/>
        <v>119517</v>
      </c>
      <c r="G2918" s="21">
        <v>5.0</v>
      </c>
      <c r="H2918" s="3">
        <v>44704.0</v>
      </c>
      <c r="I2918" s="22" t="s">
        <v>2850</v>
      </c>
    </row>
    <row r="2919">
      <c r="A2919" s="5" t="str">
        <f t="array" ref="A2919">INDEX(event_table!$A$2:$A$69, RANDBETWEEN(1, COUNTA(event_table!$A$2:$A$69)))</f>
        <v>1636</v>
      </c>
      <c r="B2919" s="6">
        <f t="array" ref="B2919">IFERROR(INDEX(event_table!$E$1:$E3686,MATCH(A2919,event_table!$A$1:$A3686,0)),"")
</f>
        <v>6</v>
      </c>
      <c r="C2919" s="7">
        <f t="shared" si="1"/>
        <v>18</v>
      </c>
      <c r="D2919" s="6" t="str">
        <f t="array" ref="D2919">IFERROR(INDEX(user_table!$C$2:$C3686,MATCH(C2919,user_table!$B$2:$B3686,0)),"")
</f>
        <v>Rudi Santoso</v>
      </c>
      <c r="E2919" s="6" t="str">
        <f t="array" ref="E2919">IFERROR(INDEX(user_table!$E$2:$E3686,MATCH(C2919,user_table!$B$2:$B3686,0)),"")
</f>
        <v>4, 2</v>
      </c>
      <c r="F2919" s="6" t="str">
        <f t="shared" si="2"/>
        <v>16365618</v>
      </c>
      <c r="G2919" s="21">
        <v>5.0</v>
      </c>
      <c r="H2919" s="3">
        <v>44701.0</v>
      </c>
      <c r="I2919" s="22" t="s">
        <v>2851</v>
      </c>
    </row>
    <row r="2920">
      <c r="A2920" s="5" t="str">
        <f t="array" ref="A2920">INDEX(event_table!$A$2:$A$69, RANDBETWEEN(1, COUNTA(event_table!$A$2:$A$69)))</f>
        <v>3168</v>
      </c>
      <c r="B2920" s="6">
        <f t="array" ref="B2920">IFERROR(INDEX(event_table!$E$1:$E3686,MATCH(A2920,event_table!$A$1:$A3686,0)),"")
</f>
        <v>1</v>
      </c>
      <c r="C2920" s="7">
        <f t="shared" si="1"/>
        <v>93</v>
      </c>
      <c r="D2920" s="6" t="str">
        <f t="array" ref="D2920">IFERROR(INDEX(user_table!$C$2:$C3686,MATCH(C2920,user_table!$B$2:$B3686,0)),"")
</f>
        <v>Hadi Putri</v>
      </c>
      <c r="E2920" s="6" t="str">
        <f t="array" ref="E2920">IFERROR(INDEX(user_table!$E$2:$E3686,MATCH(C2920,user_table!$B$2:$B3686,0)),"")
</f>
        <v>5, 6</v>
      </c>
      <c r="F2920" s="6" t="str">
        <f t="shared" si="2"/>
        <v>31685193</v>
      </c>
      <c r="G2920" s="21">
        <v>5.0</v>
      </c>
      <c r="H2920" s="3">
        <v>44696.0</v>
      </c>
      <c r="I2920" s="22" t="s">
        <v>2852</v>
      </c>
    </row>
    <row r="2921">
      <c r="A2921" s="5" t="str">
        <f t="array" ref="A2921">INDEX(event_table!$A$2:$A$69, RANDBETWEEN(1, COUNTA(event_table!$A$2:$A$69)))</f>
        <v>1553</v>
      </c>
      <c r="B2921" s="6">
        <f t="array" ref="B2921">IFERROR(INDEX(event_table!$E$1:$E3686,MATCH(A2921,event_table!$A$1:$A3686,0)),"")
</f>
        <v>5</v>
      </c>
      <c r="C2921" s="7">
        <f t="shared" si="1"/>
        <v>65</v>
      </c>
      <c r="D2921" s="6" t="str">
        <f t="array" ref="D2921">IFERROR(INDEX(user_table!$C$2:$C3686,MATCH(C2921,user_table!$B$2:$B3686,0)),"")
</f>
        <v>Siti Pratama</v>
      </c>
      <c r="E2921" s="6" t="str">
        <f t="array" ref="E2921">IFERROR(INDEX(user_table!$E$2:$E3686,MATCH(C2921,user_table!$B$2:$B3686,0)),"")
</f>
        <v>5, 6</v>
      </c>
      <c r="F2921" s="6" t="str">
        <f t="shared" si="2"/>
        <v>15535565</v>
      </c>
      <c r="G2921" s="21">
        <v>5.0</v>
      </c>
      <c r="H2921" s="3">
        <v>45104.0</v>
      </c>
      <c r="I2921" s="22" t="s">
        <v>2853</v>
      </c>
    </row>
    <row r="2922">
      <c r="A2922" s="5" t="str">
        <f t="array" ref="A2922">INDEX(event_table!$A$2:$A$69, RANDBETWEEN(1, COUNTA(event_table!$A$2:$A$69)))</f>
        <v>113</v>
      </c>
      <c r="B2922" s="6">
        <f t="array" ref="B2922">IFERROR(INDEX(event_table!$E$1:$E3686,MATCH(A2922,event_table!$A$1:$A3686,0)),"")
</f>
        <v>1</v>
      </c>
      <c r="C2922" s="7">
        <f t="shared" si="1"/>
        <v>59</v>
      </c>
      <c r="D2922" s="6" t="str">
        <f t="array" ref="D2922">IFERROR(INDEX(user_table!$C$2:$C3686,MATCH(C2922,user_table!$B$2:$B3686,0)),"")
</f>
        <v>Siti Rahayu</v>
      </c>
      <c r="E2922" s="6" t="str">
        <f t="array" ref="E2922">IFERROR(INDEX(user_table!$E$2:$E3686,MATCH(C2922,user_table!$B$2:$B3686,0)),"")
</f>
        <v>3, 5</v>
      </c>
      <c r="F2922" s="6" t="str">
        <f t="shared" si="2"/>
        <v>1135159</v>
      </c>
      <c r="G2922" s="21">
        <v>5.0</v>
      </c>
      <c r="H2922" s="3">
        <v>45079.0</v>
      </c>
      <c r="I2922" s="22" t="s">
        <v>2854</v>
      </c>
    </row>
    <row r="2923">
      <c r="A2923" s="5" t="str">
        <f t="array" ref="A2923">INDEX(event_table!$A$2:$A$69, RANDBETWEEN(1, COUNTA(event_table!$A$2:$A$69)))</f>
        <v>1422</v>
      </c>
      <c r="B2923" s="6">
        <f t="array" ref="B2923">IFERROR(INDEX(event_table!$E$1:$E3686,MATCH(A2923,event_table!$A$1:$A3686,0)),"")
</f>
        <v>4</v>
      </c>
      <c r="C2923" s="7">
        <f t="shared" si="1"/>
        <v>98</v>
      </c>
      <c r="D2923" s="6" t="str">
        <f t="array" ref="D2923">IFERROR(INDEX(user_table!$C$2:$C3686,MATCH(C2923,user_table!$B$2:$B3686,0)),"")
</f>
        <v>Agus Hidayat</v>
      </c>
      <c r="E2923" s="6" t="str">
        <f t="array" ref="E2923">IFERROR(INDEX(user_table!$E$2:$E3686,MATCH(C2923,user_table!$B$2:$B3686,0)),"")
</f>
        <v>3, 6</v>
      </c>
      <c r="F2923" s="6" t="str">
        <f t="shared" si="2"/>
        <v>14225498</v>
      </c>
      <c r="G2923" s="21">
        <v>5.0</v>
      </c>
      <c r="H2923" s="3">
        <v>44927.0</v>
      </c>
      <c r="I2923" s="22" t="s">
        <v>2855</v>
      </c>
    </row>
    <row r="2924">
      <c r="A2924" s="5" t="str">
        <f t="array" ref="A2924">INDEX(event_table!$A$2:$A$69, RANDBETWEEN(1, COUNTA(event_table!$A$2:$A$69)))</f>
        <v>3455</v>
      </c>
      <c r="B2924" s="6">
        <f t="array" ref="B2924">IFERROR(INDEX(event_table!$E$1:$E3686,MATCH(A2924,event_table!$A$1:$A3686,0)),"")
</f>
        <v>4</v>
      </c>
      <c r="C2924" s="7">
        <f t="shared" si="1"/>
        <v>20</v>
      </c>
      <c r="D2924" s="6" t="str">
        <f t="array" ref="D2924">IFERROR(INDEX(user_table!$C$2:$C3686,MATCH(C2924,user_table!$B$2:$B3686,0)),"")
</f>
        <v>Arif Septiani</v>
      </c>
      <c r="E2924" s="6" t="str">
        <f t="array" ref="E2924">IFERROR(INDEX(user_table!$E$2:$E3686,MATCH(C2924,user_table!$B$2:$B3686,0)),"")
</f>
        <v>6, 3</v>
      </c>
      <c r="F2924" s="6" t="str">
        <f t="shared" si="2"/>
        <v>34555420</v>
      </c>
      <c r="G2924" s="21">
        <v>5.0</v>
      </c>
      <c r="H2924" s="3">
        <v>44893.0</v>
      </c>
      <c r="I2924" s="22" t="s">
        <v>2856</v>
      </c>
    </row>
    <row r="2925">
      <c r="A2925" s="5" t="str">
        <f t="array" ref="A2925">INDEX(event_table!$A$2:$A$69, RANDBETWEEN(1, COUNTA(event_table!$A$2:$A$69)))</f>
        <v>1418</v>
      </c>
      <c r="B2925" s="6">
        <f t="array" ref="B2925">IFERROR(INDEX(event_table!$E$1:$E3686,MATCH(A2925,event_table!$A$1:$A3686,0)),"")
</f>
        <v>4</v>
      </c>
      <c r="C2925" s="7">
        <f t="shared" si="1"/>
        <v>33</v>
      </c>
      <c r="D2925" s="6" t="str">
        <f t="array" ref="D2925">IFERROR(INDEX(user_table!$C$2:$C3686,MATCH(C2925,user_table!$B$2:$B3686,0)),"")
</f>
        <v>Dewi Wijaya</v>
      </c>
      <c r="E2925" s="6" t="str">
        <f t="array" ref="E2925">IFERROR(INDEX(user_table!$E$2:$E3686,MATCH(C2925,user_table!$B$2:$B3686,0)),"")
</f>
        <v>4, 2</v>
      </c>
      <c r="F2925" s="6" t="str">
        <f t="shared" si="2"/>
        <v>14185433</v>
      </c>
      <c r="G2925" s="21">
        <v>5.0</v>
      </c>
      <c r="H2925" s="3">
        <v>44745.0</v>
      </c>
      <c r="I2925" s="22" t="s">
        <v>2857</v>
      </c>
    </row>
    <row r="2926">
      <c r="A2926" s="5" t="str">
        <f t="array" ref="A2926">INDEX(event_table!$A$2:$A3686, RANDBETWEEN(1, COUNTA(event_table!$A$2:$A3686)))</f>
        <v>1671</v>
      </c>
      <c r="B2926" s="6">
        <f t="array" ref="B2926">IFERROR(INDEX(event_table!$E$1:$E3686,MATCH(A2926,event_table!$A$1:$A3686,0)),"")
</f>
        <v>6</v>
      </c>
      <c r="C2926" s="7">
        <f t="shared" si="1"/>
        <v>53</v>
      </c>
      <c r="D2926" s="6" t="str">
        <f t="array" ref="D2926">IFERROR(INDEX(user_table!$C$2:$C3686,MATCH(C2926,user_table!$B$2:$B3686,0)),"")
</f>
        <v>Wahyu Santoso</v>
      </c>
      <c r="E2926" s="6" t="str">
        <f t="array" ref="E2926">IFERROR(INDEX(user_table!$E$2:$E3686,MATCH(C2926,user_table!$B$2:$B3686,0)),"")
</f>
        <v>4, 5</v>
      </c>
      <c r="F2926" s="6" t="str">
        <f t="shared" si="2"/>
        <v>16714653</v>
      </c>
      <c r="G2926" s="21">
        <v>4.0</v>
      </c>
      <c r="H2926" s="3">
        <v>45253.0</v>
      </c>
      <c r="I2926" s="22" t="s">
        <v>2858</v>
      </c>
    </row>
    <row r="2927">
      <c r="A2927" s="5" t="str">
        <f t="array" ref="A2927">INDEX(event_table!$A$2:$A$69, RANDBETWEEN(1, COUNTA(event_table!$A$2:$A$69)))</f>
        <v>115</v>
      </c>
      <c r="B2927" s="6">
        <f t="array" ref="B2927">IFERROR(INDEX(event_table!$E$1:$E3686,MATCH(A2927,event_table!$A$1:$A3686,0)),"")
</f>
        <v>1</v>
      </c>
      <c r="C2927" s="7">
        <f t="shared" si="1"/>
        <v>93</v>
      </c>
      <c r="D2927" s="6" t="str">
        <f t="array" ref="D2927">IFERROR(INDEX(user_table!$C$2:$C3686,MATCH(C2927,user_table!$B$2:$B3686,0)),"")
</f>
        <v>Hadi Putri</v>
      </c>
      <c r="E2927" s="6" t="str">
        <f t="array" ref="E2927">IFERROR(INDEX(user_table!$E$2:$E3686,MATCH(C2927,user_table!$B$2:$B3686,0)),"")
</f>
        <v>5, 6</v>
      </c>
      <c r="F2927" s="6" t="str">
        <f t="shared" si="2"/>
        <v>1154193</v>
      </c>
      <c r="G2927" s="21">
        <v>4.0</v>
      </c>
      <c r="H2927" s="3">
        <v>45119.0</v>
      </c>
      <c r="I2927" s="22" t="s">
        <v>2859</v>
      </c>
    </row>
    <row r="2928">
      <c r="A2928" s="5" t="str">
        <f t="array" ref="A2928">INDEX(event_table!$A$2:$A$69, RANDBETWEEN(1, COUNTA(event_table!$A$2:$A$69)))</f>
        <v>1652</v>
      </c>
      <c r="B2928" s="6">
        <f t="array" ref="B2928">IFERROR(INDEX(event_table!$E$1:$E3686,MATCH(A2928,event_table!$A$1:$A3686,0)),"")
</f>
        <v>6</v>
      </c>
      <c r="C2928" s="7">
        <f t="shared" si="1"/>
        <v>132</v>
      </c>
      <c r="D2928" s="6" t="str">
        <f t="array" ref="D2928">IFERROR(INDEX(user_table!$C$2:$C3686,MATCH(C2928,user_table!$B$2:$B3686,0)),"")
</f>
        <v>Joko Hartono</v>
      </c>
      <c r="E2928" s="6" t="str">
        <f t="array" ref="E2928">IFERROR(INDEX(user_table!$E$2:$E3686,MATCH(C2928,user_table!$B$2:$B3686,0)),"")
</f>
        <v>1, 3</v>
      </c>
      <c r="F2928" s="6" t="str">
        <f t="shared" si="2"/>
        <v>165246132</v>
      </c>
      <c r="G2928" s="21">
        <v>4.0</v>
      </c>
      <c r="H2928" s="3">
        <v>44844.0</v>
      </c>
      <c r="I2928" s="22" t="s">
        <v>2860</v>
      </c>
    </row>
    <row r="2929">
      <c r="A2929" s="5" t="str">
        <f t="array" ref="A2929">INDEX(event_table!$A$2:$A$69, RANDBETWEEN(1, COUNTA(event_table!$A$2:$A$69)))</f>
        <v>3165</v>
      </c>
      <c r="B2929" s="6">
        <f t="array" ref="B2929">IFERROR(INDEX(event_table!$E$1:$E3686,MATCH(A2929,event_table!$A$1:$A3686,0)),"")
</f>
        <v>1</v>
      </c>
      <c r="C2929" s="7">
        <f t="shared" si="1"/>
        <v>75</v>
      </c>
      <c r="D2929" s="6" t="str">
        <f t="array" ref="D2929">IFERROR(INDEX(user_table!$C$2:$C3686,MATCH(C2929,user_table!$B$2:$B3686,0)),"")
</f>
        <v>Citra Sari</v>
      </c>
      <c r="E2929" s="6" t="str">
        <f t="array" ref="E2929">IFERROR(INDEX(user_table!$E$2:$E3686,MATCH(C2929,user_table!$B$2:$B3686,0)),"")
</f>
        <v>2, 5</v>
      </c>
      <c r="F2929" s="6" t="str">
        <f t="shared" si="2"/>
        <v>31654175</v>
      </c>
      <c r="G2929" s="21">
        <v>4.0</v>
      </c>
      <c r="H2929" s="3">
        <v>44802.0</v>
      </c>
      <c r="I2929" s="22" t="s">
        <v>2861</v>
      </c>
    </row>
    <row r="2930">
      <c r="A2930" s="5" t="str">
        <f t="array" ref="A2930">INDEX(event_table!$A$2:$A$69, RANDBETWEEN(1, COUNTA(event_table!$A$2:$A$69)))</f>
        <v>1530</v>
      </c>
      <c r="B2930" s="6">
        <f t="array" ref="B2930">IFERROR(INDEX(event_table!$E$1:$E3686,MATCH(A2930,event_table!$A$1:$A3686,0)),"")
</f>
        <v>5</v>
      </c>
      <c r="C2930" s="7">
        <f t="shared" si="1"/>
        <v>143</v>
      </c>
      <c r="D2930" s="6" t="str">
        <f t="array" ref="D2930">IFERROR(INDEX(user_table!$C$2:$C3686,MATCH(C2930,user_table!$B$2:$B3686,0)),"")
</f>
        <v>Agus Putri</v>
      </c>
      <c r="E2930" s="6" t="str">
        <f t="array" ref="E2930">IFERROR(INDEX(user_table!$E$2:$E3686,MATCH(C2930,user_table!$B$2:$B3686,0)),"")
</f>
        <v>3, 3</v>
      </c>
      <c r="F2930" s="6" t="str">
        <f t="shared" si="2"/>
        <v>153045143</v>
      </c>
      <c r="G2930" s="21">
        <v>4.0</v>
      </c>
      <c r="H2930" s="3">
        <v>45250.0</v>
      </c>
      <c r="I2930" s="22" t="s">
        <v>482</v>
      </c>
    </row>
    <row r="2931">
      <c r="A2931" s="5" t="str">
        <f t="array" ref="A2931">INDEX(event_table!$A$2:$A$69, RANDBETWEEN(1, COUNTA(event_table!$A$2:$A$69)))</f>
        <v>1421</v>
      </c>
      <c r="B2931" s="6">
        <f t="array" ref="B2931">IFERROR(INDEX(event_table!$E$1:$E3686,MATCH(A2931,event_table!$A$1:$A3686,0)),"")
</f>
        <v>4</v>
      </c>
      <c r="C2931" s="7">
        <f t="shared" si="1"/>
        <v>43</v>
      </c>
      <c r="D2931" s="6" t="str">
        <f t="array" ref="D2931">IFERROR(INDEX(user_table!$C$2:$C3686,MATCH(C2931,user_table!$B$2:$B3686,0)),"")
</f>
        <v>Lina Putri</v>
      </c>
      <c r="E2931" s="6" t="str">
        <f t="array" ref="E2931">IFERROR(INDEX(user_table!$E$2:$E3686,MATCH(C2931,user_table!$B$2:$B3686,0)),"")
</f>
        <v>1, 6</v>
      </c>
      <c r="F2931" s="6" t="str">
        <f t="shared" si="2"/>
        <v>14214443</v>
      </c>
      <c r="G2931" s="21">
        <v>4.0</v>
      </c>
      <c r="H2931" s="3">
        <v>44770.0</v>
      </c>
      <c r="I2931" s="22" t="s">
        <v>2862</v>
      </c>
    </row>
    <row r="2932">
      <c r="A2932" s="5" t="str">
        <f t="array" ref="A2932">INDEX(event_table!$A$2:$A$69, RANDBETWEEN(1, COUNTA(event_table!$A$2:$A$69)))</f>
        <v>1114</v>
      </c>
      <c r="B2932" s="6">
        <f t="array" ref="B2932">IFERROR(INDEX(event_table!$E$1:$E3686,MATCH(A2932,event_table!$A$1:$A3686,0)),"")
</f>
        <v>1</v>
      </c>
      <c r="C2932" s="7">
        <f t="shared" si="1"/>
        <v>187</v>
      </c>
      <c r="D2932" s="6" t="str">
        <f t="array" ref="D2932">IFERROR(INDEX(user_table!$C$2:$C3686,MATCH(C2932,user_table!$B$2:$B3686,0)),"")
</f>
        <v>Bambang Saputra</v>
      </c>
      <c r="E2932" s="6" t="str">
        <f t="array" ref="E2932">IFERROR(INDEX(user_table!$E$2:$E3686,MATCH(C2932,user_table!$B$2:$B3686,0)),"")
</f>
        <v>3, 1</v>
      </c>
      <c r="F2932" s="6" t="str">
        <f t="shared" si="2"/>
        <v>111441187</v>
      </c>
      <c r="G2932" s="21">
        <v>4.0</v>
      </c>
      <c r="H2932" s="3">
        <v>44705.0</v>
      </c>
      <c r="I2932" s="22" t="s">
        <v>2863</v>
      </c>
    </row>
    <row r="2933">
      <c r="A2933" s="5" t="str">
        <f t="array" ref="A2933">INDEX(event_table!$A$2:$A$69, RANDBETWEEN(1, COUNTA(event_table!$A$2:$A$69)))</f>
        <v>3454</v>
      </c>
      <c r="B2933" s="6">
        <f t="array" ref="B2933">IFERROR(INDEX(event_table!$E$1:$E3686,MATCH(A2933,event_table!$A$1:$A3686,0)),"")
</f>
        <v>4</v>
      </c>
      <c r="C2933" s="7">
        <f t="shared" si="1"/>
        <v>141</v>
      </c>
      <c r="D2933" s="6" t="str">
        <f t="array" ref="D2933">IFERROR(INDEX(user_table!$C$2:$C3686,MATCH(C2933,user_table!$B$2:$B3686,0)),"")
</f>
        <v>Bambang Santoso</v>
      </c>
      <c r="E2933" s="6" t="str">
        <f t="array" ref="E2933">IFERROR(INDEX(user_table!$E$2:$E3686,MATCH(C2933,user_table!$B$2:$B3686,0)),"")
</f>
        <v>5, 3</v>
      </c>
      <c r="F2933" s="6" t="str">
        <f t="shared" si="2"/>
        <v>345434141</v>
      </c>
      <c r="G2933" s="21">
        <v>3.0</v>
      </c>
      <c r="H2933" s="3">
        <v>45247.0</v>
      </c>
      <c r="I2933" s="22" t="s">
        <v>2864</v>
      </c>
    </row>
    <row r="2934">
      <c r="A2934" s="5" t="str">
        <f t="array" ref="A2934">INDEX(event_table!$A$2:$A$69, RANDBETWEEN(1, COUNTA(event_table!$A$2:$A$69)))</f>
        <v>113</v>
      </c>
      <c r="B2934" s="6">
        <f t="array" ref="B2934">IFERROR(INDEX(event_table!$E$1:$E3686,MATCH(A2934,event_table!$A$1:$A3686,0)),"")
</f>
        <v>1</v>
      </c>
      <c r="C2934" s="7">
        <f t="shared" si="1"/>
        <v>133</v>
      </c>
      <c r="D2934" s="6" t="str">
        <f t="array" ref="D2934">IFERROR(INDEX(user_table!$C$2:$C3686,MATCH(C2934,user_table!$B$2:$B3686,0)),"")
</f>
        <v>Dewi Sari</v>
      </c>
      <c r="E2934" s="6" t="str">
        <f t="array" ref="E2934">IFERROR(INDEX(user_table!$E$2:$E3686,MATCH(C2934,user_table!$B$2:$B3686,0)),"")
</f>
        <v>6, 5</v>
      </c>
      <c r="F2934" s="6" t="str">
        <f t="shared" si="2"/>
        <v>11331133</v>
      </c>
      <c r="G2934" s="21">
        <v>3.0</v>
      </c>
      <c r="H2934" s="3">
        <v>45143.0</v>
      </c>
      <c r="I2934" s="22" t="s">
        <v>2865</v>
      </c>
    </row>
    <row r="2935">
      <c r="A2935" s="5" t="str">
        <f t="array" ref="A2935">INDEX(event_table!$A$2:$A$69, RANDBETWEEN(1, COUNTA(event_table!$A$2:$A$69)))</f>
        <v>122</v>
      </c>
      <c r="B2935" s="6">
        <f t="array" ref="B2935">IFERROR(INDEX(event_table!$E$1:$E3686,MATCH(A2935,event_table!$A$1:$A3686,0)),"")
</f>
        <v>2</v>
      </c>
      <c r="C2935" s="7">
        <f t="shared" si="1"/>
        <v>90</v>
      </c>
      <c r="D2935" s="6" t="str">
        <f t="array" ref="D2935">IFERROR(INDEX(user_table!$C$2:$C3686,MATCH(C2935,user_table!$B$2:$B3686,0)),"")
</f>
        <v>Dina Saputra</v>
      </c>
      <c r="E2935" s="6" t="str">
        <f t="array" ref="E2935">IFERROR(INDEX(user_table!$E$2:$E3686,MATCH(C2935,user_table!$B$2:$B3686,0)),"")
</f>
        <v>1, 2</v>
      </c>
      <c r="F2935" s="6" t="str">
        <f t="shared" si="2"/>
        <v>1223290</v>
      </c>
      <c r="G2935" s="21">
        <v>3.0</v>
      </c>
      <c r="H2935" s="3">
        <v>45122.0</v>
      </c>
      <c r="I2935" s="22" t="s">
        <v>2866</v>
      </c>
    </row>
    <row r="2936">
      <c r="A2936" s="5" t="str">
        <f t="array" ref="A2936">INDEX(event_table!$A$2:$A$69, RANDBETWEEN(1, COUNTA(event_table!$A$2:$A$69)))</f>
        <v>115</v>
      </c>
      <c r="B2936" s="6">
        <f t="array" ref="B2936">IFERROR(INDEX(event_table!$E$1:$E3686,MATCH(A2936,event_table!$A$1:$A3686,0)),"")
</f>
        <v>1</v>
      </c>
      <c r="C2936" s="7">
        <f t="shared" si="1"/>
        <v>89</v>
      </c>
      <c r="D2936" s="6" t="str">
        <f t="array" ref="D2936">IFERROR(INDEX(user_table!$C$2:$C3686,MATCH(C2936,user_table!$B$2:$B3686,0)),"")
</f>
        <v>Hadi Wijaya</v>
      </c>
      <c r="E2936" s="6" t="str">
        <f t="array" ref="E2936">IFERROR(INDEX(user_table!$E$2:$E3686,MATCH(C2936,user_table!$B$2:$B3686,0)),"")
</f>
        <v>6, 4</v>
      </c>
      <c r="F2936" s="6" t="str">
        <f t="shared" si="2"/>
        <v>1153189</v>
      </c>
      <c r="G2936" s="21">
        <v>3.0</v>
      </c>
      <c r="H2936" s="3">
        <v>45114.0</v>
      </c>
      <c r="I2936" s="22" t="s">
        <v>2867</v>
      </c>
    </row>
    <row r="2937">
      <c r="A2937" s="5" t="str">
        <f t="array" ref="A2937">INDEX(event_table!$A$2:$A$69, RANDBETWEEN(1, COUNTA(event_table!$A$2:$A$69)))</f>
        <v>115</v>
      </c>
      <c r="B2937" s="6">
        <f t="array" ref="B2937">IFERROR(INDEX(event_table!$E$1:$E3686,MATCH(A2937,event_table!$A$1:$A3686,0)),"")
</f>
        <v>1</v>
      </c>
      <c r="C2937" s="7">
        <f t="shared" si="1"/>
        <v>109</v>
      </c>
      <c r="D2937" s="6" t="str">
        <f t="array" ref="D2937">IFERROR(INDEX(user_table!$C$2:$C3686,MATCH(C2937,user_table!$B$2:$B3686,0)),"")
</f>
        <v>Ani Sari</v>
      </c>
      <c r="E2937" s="6" t="str">
        <f t="array" ref="E2937">IFERROR(INDEX(user_table!$E$2:$E3686,MATCH(C2937,user_table!$B$2:$B3686,0)),"")
</f>
        <v>4, 5</v>
      </c>
      <c r="F2937" s="6" t="str">
        <f t="shared" si="2"/>
        <v>11531109</v>
      </c>
      <c r="G2937" s="21">
        <v>3.0</v>
      </c>
      <c r="H2937" s="3">
        <v>45113.0</v>
      </c>
      <c r="I2937" s="22" t="s">
        <v>2868</v>
      </c>
    </row>
    <row r="2938">
      <c r="A2938" s="5" t="str">
        <f t="array" ref="A2938">INDEX(event_table!$A$2:$A$69, RANDBETWEEN(1, COUNTA(event_table!$A$2:$A$69)))</f>
        <v>122</v>
      </c>
      <c r="B2938" s="6">
        <f t="array" ref="B2938">IFERROR(INDEX(event_table!$E$1:$E3686,MATCH(A2938,event_table!$A$1:$A3686,0)),"")
</f>
        <v>2</v>
      </c>
      <c r="C2938" s="7">
        <f t="shared" si="1"/>
        <v>87</v>
      </c>
      <c r="D2938" s="6" t="str">
        <f t="array" ref="D2938">IFERROR(INDEX(user_table!$C$2:$C3686,MATCH(C2938,user_table!$B$2:$B3686,0)),"")
</f>
        <v>Budi Setiawan</v>
      </c>
      <c r="E2938" s="6" t="str">
        <f t="array" ref="E2938">IFERROR(INDEX(user_table!$E$2:$E3686,MATCH(C2938,user_table!$B$2:$B3686,0)),"")
</f>
        <v>3, 5</v>
      </c>
      <c r="F2938" s="6" t="str">
        <f t="shared" si="2"/>
        <v>1222287</v>
      </c>
      <c r="G2938" s="21">
        <v>2.0</v>
      </c>
      <c r="H2938" s="3">
        <v>44687.0</v>
      </c>
      <c r="I2938" s="22" t="s">
        <v>2869</v>
      </c>
    </row>
    <row r="2939">
      <c r="A2939" s="5" t="str">
        <f t="array" ref="A2939">INDEX(event_table!$A$2:$A$69, RANDBETWEEN(1, COUNTA(event_table!$A$2:$A$69)))</f>
        <v>3162</v>
      </c>
      <c r="B2939" s="6">
        <f t="array" ref="B2939">IFERROR(INDEX(event_table!$E$1:$E3686,MATCH(A2939,event_table!$A$1:$A3686,0)),"")
</f>
        <v>1</v>
      </c>
      <c r="C2939" s="7">
        <f t="shared" si="1"/>
        <v>4</v>
      </c>
      <c r="D2939" s="6" t="str">
        <f t="array" ref="D2939">IFERROR(INDEX(user_table!$C$2:$C3686,MATCH(C2939,user_table!$B$2:$B3686,0)),"")
</f>
        <v>Dina Utami</v>
      </c>
      <c r="E2939" s="6" t="str">
        <f t="array" ref="E2939">IFERROR(INDEX(user_table!$E$2:$E3686,MATCH(C2939,user_table!$B$2:$B3686,0)),"")
</f>
        <v>6, 2</v>
      </c>
      <c r="F2939" s="6" t="str">
        <f t="shared" si="2"/>
        <v>3162214</v>
      </c>
      <c r="G2939" s="21">
        <v>2.0</v>
      </c>
      <c r="H2939" s="3">
        <v>45068.0</v>
      </c>
      <c r="I2939" s="22" t="s">
        <v>2870</v>
      </c>
    </row>
    <row r="2940">
      <c r="A2940" s="5" t="str">
        <f t="array" ref="A2940">INDEX(event_table!$A$2:$A$69, RANDBETWEEN(1, COUNTA(event_table!$A$2:$A$69)))</f>
        <v>1636</v>
      </c>
      <c r="B2940" s="6">
        <f t="array" ref="B2940">IFERROR(INDEX(event_table!$E$1:$E3686,MATCH(A2940,event_table!$A$1:$A3686,0)),"")
</f>
        <v>6</v>
      </c>
      <c r="C2940" s="7">
        <f t="shared" si="1"/>
        <v>8</v>
      </c>
      <c r="D2940" s="6" t="str">
        <f t="array" ref="D2940">IFERROR(INDEX(user_table!$C$2:$C3686,MATCH(C2940,user_table!$B$2:$B3686,0)),"")
</f>
        <v>Bambang Kurniawan</v>
      </c>
      <c r="E2940" s="6" t="str">
        <f t="array" ref="E2940">IFERROR(INDEX(user_table!$E$2:$E3686,MATCH(C2940,user_table!$B$2:$B3686,0)),"")
</f>
        <v>2, 1</v>
      </c>
      <c r="F2940" s="6" t="str">
        <f t="shared" si="2"/>
        <v>1636268</v>
      </c>
      <c r="G2940" s="21">
        <v>2.0</v>
      </c>
      <c r="H2940" s="3">
        <v>45044.0</v>
      </c>
      <c r="I2940" s="22" t="s">
        <v>2871</v>
      </c>
    </row>
    <row r="2941">
      <c r="A2941" s="5" t="str">
        <f t="array" ref="A2941">INDEX(event_table!$A$2:$A$69, RANDBETWEEN(1, COUNTA(event_table!$A$2:$A$69)))</f>
        <v>1526</v>
      </c>
      <c r="B2941" s="6">
        <f t="array" ref="B2941">IFERROR(INDEX(event_table!$E$1:$E3686,MATCH(A2941,event_table!$A$1:$A3686,0)),"")
</f>
        <v>5</v>
      </c>
      <c r="C2941" s="7">
        <f t="shared" si="1"/>
        <v>131</v>
      </c>
      <c r="D2941" s="6" t="str">
        <f t="array" ref="D2941">IFERROR(INDEX(user_table!$C$2:$C3686,MATCH(C2941,user_table!$B$2:$B3686,0)),"")
</f>
        <v>Dian Purnama</v>
      </c>
      <c r="E2941" s="6" t="str">
        <f t="array" ref="E2941">IFERROR(INDEX(user_table!$E$2:$E3686,MATCH(C2941,user_table!$B$2:$B3686,0)),"")
</f>
        <v>3, 5</v>
      </c>
      <c r="F2941" s="6" t="str">
        <f t="shared" si="2"/>
        <v>152625131</v>
      </c>
      <c r="G2941" s="21">
        <v>2.0</v>
      </c>
      <c r="H2941" s="3">
        <v>45007.0</v>
      </c>
      <c r="I2941" s="22" t="s">
        <v>2872</v>
      </c>
    </row>
    <row r="2942">
      <c r="A2942" s="5" t="str">
        <f t="array" ref="A2942">INDEX(event_table!$A$2:$A$69, RANDBETWEEN(1, COUNTA(event_table!$A$2:$A$69)))</f>
        <v>1212</v>
      </c>
      <c r="B2942" s="6">
        <f t="array" ref="B2942">IFERROR(INDEX(event_table!$E$1:$E3686,MATCH(A2942,event_table!$A$1:$A3686,0)),"")
</f>
        <v>2</v>
      </c>
      <c r="C2942" s="7">
        <f t="shared" si="1"/>
        <v>155</v>
      </c>
      <c r="D2942" s="6" t="str">
        <f t="array" ref="D2942">IFERROR(INDEX(user_table!$C$2:$C3686,MATCH(C2942,user_table!$B$2:$B3686,0)),"")
</f>
        <v>Sinta Saputra</v>
      </c>
      <c r="E2942" s="6" t="str">
        <f t="array" ref="E2942">IFERROR(INDEX(user_table!$E$2:$E3686,MATCH(C2942,user_table!$B$2:$B3686,0)),"")
</f>
        <v>5, 2</v>
      </c>
      <c r="F2942" s="6" t="str">
        <f t="shared" si="2"/>
        <v>121222155</v>
      </c>
      <c r="G2942" s="21">
        <v>2.0</v>
      </c>
      <c r="H2942" s="3">
        <v>44604.0</v>
      </c>
      <c r="I2942" s="22" t="s">
        <v>2873</v>
      </c>
    </row>
    <row r="2943">
      <c r="A2943" s="5" t="str">
        <f t="array" ref="A2943">INDEX(event_table!$A$2:$A$69, RANDBETWEEN(1, COUNTA(event_table!$A$2:$A$69)))</f>
        <v>3163</v>
      </c>
      <c r="B2943" s="6">
        <f t="array" ref="B2943">IFERROR(INDEX(event_table!$E$1:$E3686,MATCH(A2943,event_table!$A$1:$A3686,0)),"")
</f>
        <v>1</v>
      </c>
      <c r="C2943" s="7">
        <f t="shared" si="1"/>
        <v>41</v>
      </c>
      <c r="D2943" s="6" t="str">
        <f t="array" ref="D2943">IFERROR(INDEX(user_table!$C$2:$C3686,MATCH(C2943,user_table!$B$2:$B3686,0)),"")
</f>
        <v>Wahyu Susanto</v>
      </c>
      <c r="E2943" s="6" t="str">
        <f t="array" ref="E2943">IFERROR(INDEX(user_table!$E$2:$E3686,MATCH(C2943,user_table!$B$2:$B3686,0)),"")
</f>
        <v>5, 4</v>
      </c>
      <c r="F2943" s="6" t="str">
        <f t="shared" si="2"/>
        <v>31632141</v>
      </c>
      <c r="G2943" s="21">
        <v>2.0</v>
      </c>
      <c r="H2943" s="3">
        <v>44503.0</v>
      </c>
      <c r="I2943" s="22" t="s">
        <v>2874</v>
      </c>
    </row>
    <row r="2944">
      <c r="A2944" s="5" t="str">
        <f t="array" ref="A2944">INDEX(event_table!$A$2:$A$69, RANDBETWEEN(1, COUNTA(event_table!$A$2:$A$69)))</f>
        <v>1416</v>
      </c>
      <c r="B2944" s="6">
        <f t="array" ref="B2944">IFERROR(INDEX(event_table!$E$1:$E3686,MATCH(A2944,event_table!$A$1:$A3686,0)),"")
</f>
        <v>4</v>
      </c>
      <c r="C2944" s="7">
        <f t="shared" si="1"/>
        <v>7</v>
      </c>
      <c r="D2944" s="6" t="str">
        <f t="array" ref="D2944">IFERROR(INDEX(user_table!$C$2:$C3686,MATCH(C2944,user_table!$B$2:$B3686,0)),"")
</f>
        <v>Maya Sari</v>
      </c>
      <c r="E2944" s="6" t="str">
        <f t="array" ref="E2944">IFERROR(INDEX(user_table!$E$2:$E3686,MATCH(C2944,user_table!$B$2:$B3686,0)),"")
</f>
        <v>5, 2</v>
      </c>
      <c r="F2944" s="6" t="str">
        <f t="shared" si="2"/>
        <v>1416247</v>
      </c>
      <c r="G2944" s="21">
        <v>2.0</v>
      </c>
      <c r="H2944" s="3">
        <v>45152.0</v>
      </c>
      <c r="I2944" s="22" t="s">
        <v>2875</v>
      </c>
    </row>
    <row r="2945">
      <c r="A2945" s="5" t="str">
        <f t="array" ref="A2945">INDEX(event_table!$A$2:$A$69, RANDBETWEEN(1, COUNTA(event_table!$A$2:$A$69)))</f>
        <v>1416</v>
      </c>
      <c r="B2945" s="6">
        <f t="array" ref="B2945">IFERROR(INDEX(event_table!$E$1:$E3686,MATCH(A2945,event_table!$A$1:$A3686,0)),"")
</f>
        <v>4</v>
      </c>
      <c r="C2945" s="7">
        <f t="shared" si="1"/>
        <v>162</v>
      </c>
      <c r="D2945" s="6" t="str">
        <f t="array" ref="D2945">IFERROR(INDEX(user_table!$C$2:$C3686,MATCH(C2945,user_table!$B$2:$B3686,0)),"")
</f>
        <v>Dewi Nugroho</v>
      </c>
      <c r="E2945" s="6" t="str">
        <f t="array" ref="E2945">IFERROR(INDEX(user_table!$E$2:$E3686,MATCH(C2945,user_table!$B$2:$B3686,0)),"")
</f>
        <v>2, 5</v>
      </c>
      <c r="F2945" s="6" t="str">
        <f t="shared" si="2"/>
        <v>141624162</v>
      </c>
      <c r="G2945" s="21">
        <v>2.0</v>
      </c>
      <c r="H2945" s="3">
        <v>45112.0</v>
      </c>
      <c r="I2945" s="22" t="s">
        <v>2876</v>
      </c>
    </row>
    <row r="2946">
      <c r="A2946" s="5" t="str">
        <f t="array" ref="A2946">INDEX(event_table!$A$2:$A$69, RANDBETWEEN(1, COUNTA(event_table!$A$2:$A$69)))</f>
        <v>3165</v>
      </c>
      <c r="B2946" s="6">
        <f t="array" ref="B2946">IFERROR(INDEX(event_table!$E$1:$E3686,MATCH(A2946,event_table!$A$1:$A3686,0)),"")
</f>
        <v>1</v>
      </c>
      <c r="C2946" s="7">
        <f t="shared" si="1"/>
        <v>171</v>
      </c>
      <c r="D2946" s="6" t="str">
        <f t="array" ref="D2946">IFERROR(INDEX(user_table!$C$2:$C3686,MATCH(C2946,user_table!$B$2:$B3686,0)),"")
</f>
        <v>Andi Santoso</v>
      </c>
      <c r="E2946" s="6" t="str">
        <f t="array" ref="E2946">IFERROR(INDEX(user_table!$E$2:$E3686,MATCH(C2946,user_table!$B$2:$B3686,0)),"")
</f>
        <v>4, 3</v>
      </c>
      <c r="F2946" s="6" t="str">
        <f t="shared" si="2"/>
        <v>316521171</v>
      </c>
      <c r="G2946" s="21">
        <v>2.0</v>
      </c>
      <c r="H2946" s="3">
        <v>45097.0</v>
      </c>
      <c r="I2946" s="22" t="s">
        <v>2877</v>
      </c>
    </row>
    <row r="2947">
      <c r="A2947" s="5" t="str">
        <f t="array" ref="A2947">INDEX(event_table!$A$2:$A$69, RANDBETWEEN(1, COUNTA(event_table!$A$2:$A$69)))</f>
        <v>1526</v>
      </c>
      <c r="B2947" s="6">
        <f t="array" ref="B2947">IFERROR(INDEX(event_table!$E$1:$E3686,MATCH(A2947,event_table!$A$1:$A3686,0)),"")
</f>
        <v>5</v>
      </c>
      <c r="C2947" s="7">
        <f t="shared" si="1"/>
        <v>172</v>
      </c>
      <c r="D2947" s="6" t="str">
        <f t="array" ref="D2947">IFERROR(INDEX(user_table!$C$2:$C3686,MATCH(C2947,user_table!$B$2:$B3686,0)),"")
</f>
        <v>Dian Kurniawan</v>
      </c>
      <c r="E2947" s="6" t="str">
        <f t="array" ref="E2947">IFERROR(INDEX(user_table!$E$2:$E3686,MATCH(C2947,user_table!$B$2:$B3686,0)),"")
</f>
        <v>1, 2</v>
      </c>
      <c r="F2947" s="6" t="str">
        <f t="shared" si="2"/>
        <v>152625172</v>
      </c>
      <c r="G2947" s="21">
        <v>2.0</v>
      </c>
      <c r="H2947" s="3">
        <v>45043.0</v>
      </c>
      <c r="I2947" s="22" t="s">
        <v>2878</v>
      </c>
    </row>
    <row r="2948">
      <c r="A2948" s="5" t="str">
        <f t="array" ref="A2948">INDEX(event_table!$A$2:$A$69, RANDBETWEEN(1, COUNTA(event_table!$A$2:$A$69)))</f>
        <v>1424</v>
      </c>
      <c r="B2948" s="6">
        <f t="array" ref="B2948">IFERROR(INDEX(event_table!$E$1:$E3686,MATCH(A2948,event_table!$A$1:$A3686,0)),"")
</f>
        <v>4</v>
      </c>
      <c r="C2948" s="7">
        <f t="shared" si="1"/>
        <v>27</v>
      </c>
      <c r="D2948" s="6" t="str">
        <f t="array" ref="D2948">IFERROR(INDEX(user_table!$C$2:$C3686,MATCH(C2948,user_table!$B$2:$B3686,0)),"")
</f>
        <v>Fandi Purnama</v>
      </c>
      <c r="E2948" s="6" t="str">
        <f t="array" ref="E2948">IFERROR(INDEX(user_table!$E$2:$E3686,MATCH(C2948,user_table!$B$2:$B3686,0)),"")
</f>
        <v>4, 6</v>
      </c>
      <c r="F2948" s="6" t="str">
        <f t="shared" si="2"/>
        <v>14242427</v>
      </c>
      <c r="G2948" s="21">
        <v>2.0</v>
      </c>
      <c r="H2948" s="3">
        <v>45042.0</v>
      </c>
      <c r="I2948" s="22" t="s">
        <v>2879</v>
      </c>
    </row>
    <row r="2949">
      <c r="A2949" s="5" t="str">
        <f t="array" ref="A2949">INDEX(event_table!$A$2:$A$69, RANDBETWEEN(1, COUNTA(event_table!$A$2:$A$69)))</f>
        <v>3657</v>
      </c>
      <c r="B2949" s="6">
        <f t="array" ref="B2949">IFERROR(INDEX(event_table!$E$1:$E3686,MATCH(A2949,event_table!$A$1:$A3686,0)),"")
</f>
        <v>6</v>
      </c>
      <c r="C2949" s="7">
        <f t="shared" si="1"/>
        <v>74</v>
      </c>
      <c r="D2949" s="6" t="str">
        <f t="array" ref="D2949">IFERROR(INDEX(user_table!$C$2:$C3686,MATCH(C2949,user_table!$B$2:$B3686,0)),"")
</f>
        <v>Arif Purnama</v>
      </c>
      <c r="E2949" s="6" t="str">
        <f t="array" ref="E2949">IFERROR(INDEX(user_table!$E$2:$E3686,MATCH(C2949,user_table!$B$2:$B3686,0)),"")
</f>
        <v>3, 2</v>
      </c>
      <c r="F2949" s="6" t="str">
        <f t="shared" si="2"/>
        <v>36572674</v>
      </c>
      <c r="G2949" s="21">
        <v>2.0</v>
      </c>
      <c r="H2949" s="3">
        <v>45041.0</v>
      </c>
      <c r="I2949" s="22" t="s">
        <v>2880</v>
      </c>
    </row>
    <row r="2950">
      <c r="A2950" s="5" t="str">
        <f t="array" ref="A2950">INDEX(event_table!$A$2:$A$69, RANDBETWEEN(1, COUNTA(event_table!$A$2:$A$69)))</f>
        <v>1528</v>
      </c>
      <c r="B2950" s="6">
        <f t="array" ref="B2950">IFERROR(INDEX(event_table!$E$1:$E3686,MATCH(A2950,event_table!$A$1:$A3686,0)),"")
</f>
        <v>5</v>
      </c>
      <c r="C2950" s="7">
        <f t="shared" si="1"/>
        <v>131</v>
      </c>
      <c r="D2950" s="6" t="str">
        <f t="array" ref="D2950">IFERROR(INDEX(user_table!$C$2:$C3686,MATCH(C2950,user_table!$B$2:$B3686,0)),"")
</f>
        <v>Dian Purnama</v>
      </c>
      <c r="E2950" s="6" t="str">
        <f t="array" ref="E2950">IFERROR(INDEX(user_table!$E$2:$E3686,MATCH(C2950,user_table!$B$2:$B3686,0)),"")
</f>
        <v>3, 5</v>
      </c>
      <c r="F2950" s="6" t="str">
        <f t="shared" si="2"/>
        <v>152815131</v>
      </c>
      <c r="G2950" s="21">
        <v>1.0</v>
      </c>
      <c r="H2950" s="3">
        <v>45228.0</v>
      </c>
      <c r="I2950" s="22" t="s">
        <v>2881</v>
      </c>
    </row>
    <row r="2951">
      <c r="A2951" s="5" t="str">
        <f t="array" ref="A2951">INDEX(event_table!$A$2:$A$69, RANDBETWEEN(1, COUNTA(event_table!$A$2:$A$69)))</f>
        <v>3166</v>
      </c>
      <c r="B2951" s="6">
        <f t="array" ref="B2951">IFERROR(INDEX(event_table!$E$1:$E3686,MATCH(A2951,event_table!$A$1:$A3686,0)),"")
</f>
        <v>1</v>
      </c>
      <c r="C2951" s="7">
        <f t="shared" si="1"/>
        <v>125</v>
      </c>
      <c r="D2951" s="6" t="str">
        <f t="array" ref="D2951">IFERROR(INDEX(user_table!$C$2:$C3686,MATCH(C2951,user_table!$B$2:$B3686,0)),"")
</f>
        <v>Fandi Hidayat</v>
      </c>
      <c r="E2951" s="6" t="str">
        <f t="array" ref="E2951">IFERROR(INDEX(user_table!$E$2:$E3686,MATCH(C2951,user_table!$B$2:$B3686,0)),"")
</f>
        <v>5, 2</v>
      </c>
      <c r="F2951" s="6" t="str">
        <f t="shared" si="2"/>
        <v>316611125</v>
      </c>
      <c r="G2951" s="21">
        <v>1.0</v>
      </c>
      <c r="H2951" s="3">
        <v>45199.0</v>
      </c>
      <c r="I2951" s="22" t="s">
        <v>2882</v>
      </c>
    </row>
    <row r="2952">
      <c r="A2952" s="5" t="str">
        <f t="array" ref="A2952">INDEX(event_table!$A$2:$A$69, RANDBETWEEN(1, COUNTA(event_table!$A$2:$A$69)))</f>
        <v>1110</v>
      </c>
      <c r="B2952" s="6">
        <f t="array" ref="B2952">IFERROR(INDEX(event_table!$E$1:$E3686,MATCH(A2952,event_table!$A$1:$A3686,0)),"")
</f>
        <v>1</v>
      </c>
      <c r="C2952" s="7">
        <f t="shared" si="1"/>
        <v>121</v>
      </c>
      <c r="D2952" s="6" t="str">
        <f t="array" ref="D2952">IFERROR(INDEX(user_table!$C$2:$C3686,MATCH(C2952,user_table!$B$2:$B3686,0)),"")
</f>
        <v>Wahyu Saputra</v>
      </c>
      <c r="E2952" s="6" t="str">
        <f t="array" ref="E2952">IFERROR(INDEX(user_table!$E$2:$E3686,MATCH(C2952,user_table!$B$2:$B3686,0)),"")
</f>
        <v>6, 3</v>
      </c>
      <c r="F2952" s="6" t="str">
        <f t="shared" si="2"/>
        <v>111011121</v>
      </c>
      <c r="G2952" s="21">
        <v>1.0</v>
      </c>
      <c r="H2952" s="3">
        <v>45192.0</v>
      </c>
      <c r="I2952" s="22" t="s">
        <v>2883</v>
      </c>
    </row>
    <row r="2953">
      <c r="A2953" s="5" t="str">
        <f t="array" ref="A2953">INDEX(event_table!$A$2:$A$69, RANDBETWEEN(1, COUNTA(event_table!$A$2:$A$69)))</f>
        <v>3455</v>
      </c>
      <c r="B2953" s="6">
        <f t="array" ref="B2953">IFERROR(INDEX(event_table!$E$1:$E3686,MATCH(A2953,event_table!$A$1:$A3686,0)),"")
</f>
        <v>4</v>
      </c>
      <c r="C2953" s="7">
        <f t="shared" si="1"/>
        <v>34</v>
      </c>
      <c r="D2953" s="6" t="str">
        <f t="array" ref="D2953">IFERROR(INDEX(user_table!$C$2:$C3686,MATCH(C2953,user_table!$B$2:$B3686,0)),"")
</f>
        <v>Bambang Putri</v>
      </c>
      <c r="E2953" s="6" t="str">
        <f t="array" ref="E2953">IFERROR(INDEX(user_table!$E$2:$E3686,MATCH(C2953,user_table!$B$2:$B3686,0)),"")
</f>
        <v>3, 5</v>
      </c>
      <c r="F2953" s="6" t="str">
        <f t="shared" si="2"/>
        <v>34551434</v>
      </c>
      <c r="G2953" s="21">
        <v>1.0</v>
      </c>
      <c r="H2953" s="3">
        <v>45105.0</v>
      </c>
      <c r="I2953" s="22" t="s">
        <v>2884</v>
      </c>
    </row>
    <row r="2954">
      <c r="A2954" s="5" t="str">
        <f t="array" ref="A2954">INDEX(event_table!$A$2:$A$69, RANDBETWEEN(1, COUNTA(event_table!$A$2:$A$69)))</f>
        <v>113</v>
      </c>
      <c r="B2954" s="6">
        <f t="array" ref="B2954">IFERROR(INDEX(event_table!$E$1:$E3686,MATCH(A2954,event_table!$A$1:$A3686,0)),"")
</f>
        <v>1</v>
      </c>
      <c r="C2954" s="7">
        <f t="shared" si="1"/>
        <v>17</v>
      </c>
      <c r="D2954" s="6" t="str">
        <f t="array" ref="D2954">IFERROR(INDEX(user_table!$C$2:$C3686,MATCH(C2954,user_table!$B$2:$B3686,0)),"")
</f>
        <v>Fajar Wijaya</v>
      </c>
      <c r="E2954" s="6" t="str">
        <f t="array" ref="E2954">IFERROR(INDEX(user_table!$E$2:$E3686,MATCH(C2954,user_table!$B$2:$B3686,0)),"")
</f>
        <v>1, 1</v>
      </c>
      <c r="F2954" s="6" t="str">
        <f t="shared" si="2"/>
        <v>1131117</v>
      </c>
      <c r="G2954" s="21">
        <v>1.0</v>
      </c>
      <c r="H2954" s="3">
        <v>45072.0</v>
      </c>
      <c r="I2954" s="22" t="s">
        <v>2885</v>
      </c>
    </row>
    <row r="2955">
      <c r="A2955" s="5" t="str">
        <f t="array" ref="A2955">INDEX(event_table!$A$2:$A$69, RANDBETWEEN(1, COUNTA(event_table!$A$2:$A$69)))</f>
        <v>119</v>
      </c>
      <c r="B2955" s="6">
        <f t="array" ref="B2955">IFERROR(INDEX(event_table!$E$1:$E3686,MATCH(A2955,event_table!$A$1:$A3686,0)),"")
</f>
        <v>1</v>
      </c>
      <c r="C2955" s="7">
        <f t="shared" si="1"/>
        <v>128</v>
      </c>
      <c r="D2955" s="6" t="str">
        <f t="array" ref="D2955">IFERROR(INDEX(user_table!$C$2:$C3686,MATCH(C2955,user_table!$B$2:$B3686,0)),"")
</f>
        <v>Bambang Utami</v>
      </c>
      <c r="E2955" s="6" t="str">
        <f t="array" ref="E2955">IFERROR(INDEX(user_table!$E$2:$E3686,MATCH(C2955,user_table!$B$2:$B3686,0)),"")
</f>
        <v>3, 6</v>
      </c>
      <c r="F2955" s="6" t="str">
        <f t="shared" si="2"/>
        <v>11951128</v>
      </c>
      <c r="G2955" s="21">
        <v>5.0</v>
      </c>
      <c r="H2955" s="3">
        <v>44751.0</v>
      </c>
      <c r="I2955" s="22" t="s">
        <v>2886</v>
      </c>
    </row>
    <row r="2956">
      <c r="A2956" s="5" t="str">
        <f t="array" ref="A2956">INDEX(event_table!$A$2:$A$69, RANDBETWEEN(1, COUNTA(event_table!$A$2:$A$69)))</f>
        <v>115</v>
      </c>
      <c r="B2956" s="6">
        <f t="array" ref="B2956">IFERROR(INDEX(event_table!$E$1:$E3686,MATCH(A2956,event_table!$A$1:$A3686,0)),"")
</f>
        <v>1</v>
      </c>
      <c r="C2956" s="7">
        <f t="shared" si="1"/>
        <v>45</v>
      </c>
      <c r="D2956" s="6" t="str">
        <f t="array" ref="D2956">IFERROR(INDEX(user_table!$C$2:$C3686,MATCH(C2956,user_table!$B$2:$B3686,0)),"")
</f>
        <v>Siti Kurniawan</v>
      </c>
      <c r="E2956" s="6" t="str">
        <f t="array" ref="E2956">IFERROR(INDEX(user_table!$E$2:$E3686,MATCH(C2956,user_table!$B$2:$B3686,0)),"")
</f>
        <v>1, 1</v>
      </c>
      <c r="F2956" s="6" t="str">
        <f t="shared" si="2"/>
        <v>1155145</v>
      </c>
      <c r="G2956" s="21">
        <v>5.0</v>
      </c>
      <c r="H2956" s="3">
        <v>44715.0</v>
      </c>
      <c r="I2956" s="22" t="s">
        <v>2887</v>
      </c>
    </row>
    <row r="2957">
      <c r="A2957" s="5" t="str">
        <f t="array" ref="A2957">INDEX(event_table!$A$2:$A$69, RANDBETWEEN(1, COUNTA(event_table!$A$2:$A$69)))</f>
        <v>1110</v>
      </c>
      <c r="B2957" s="6">
        <f t="array" ref="B2957">IFERROR(INDEX(event_table!$E$1:$E3686,MATCH(A2957,event_table!$A$1:$A3686,0)),"")
</f>
        <v>1</v>
      </c>
      <c r="C2957" s="7">
        <f t="shared" si="1"/>
        <v>13</v>
      </c>
      <c r="D2957" s="6" t="str">
        <f t="array" ref="D2957">IFERROR(INDEX(user_table!$C$2:$C3686,MATCH(C2957,user_table!$B$2:$B3686,0)),"")
</f>
        <v>Hadi Kurniawan</v>
      </c>
      <c r="E2957" s="6" t="str">
        <f t="array" ref="E2957">IFERROR(INDEX(user_table!$E$2:$E3686,MATCH(C2957,user_table!$B$2:$B3686,0)),"")
</f>
        <v>4, 3</v>
      </c>
      <c r="F2957" s="6" t="str">
        <f t="shared" si="2"/>
        <v>11105113</v>
      </c>
      <c r="G2957" s="21">
        <v>5.0</v>
      </c>
      <c r="H2957" s="3">
        <v>44710.0</v>
      </c>
      <c r="I2957" s="22" t="s">
        <v>2888</v>
      </c>
    </row>
    <row r="2958">
      <c r="A2958" s="5" t="str">
        <f t="array" ref="A2958">INDEX(event_table!$A$2:$A$69, RANDBETWEEN(1, COUNTA(event_table!$A$2:$A$69)))</f>
        <v>3162</v>
      </c>
      <c r="B2958" s="6">
        <f t="array" ref="B2958">IFERROR(INDEX(event_table!$E$1:$E3686,MATCH(A2958,event_table!$A$1:$A3686,0)),"")
</f>
        <v>1</v>
      </c>
      <c r="C2958" s="7">
        <f t="shared" si="1"/>
        <v>167</v>
      </c>
      <c r="D2958" s="6" t="str">
        <f t="array" ref="D2958">IFERROR(INDEX(user_table!$C$2:$C3686,MATCH(C2958,user_table!$B$2:$B3686,0)),"")
</f>
        <v>Fandi Hermawan</v>
      </c>
      <c r="E2958" s="6" t="str">
        <f t="array" ref="E2958">IFERROR(INDEX(user_table!$E$2:$E3686,MATCH(C2958,user_table!$B$2:$B3686,0)),"")
</f>
        <v>3, 1</v>
      </c>
      <c r="F2958" s="6" t="str">
        <f t="shared" si="2"/>
        <v>316251167</v>
      </c>
      <c r="G2958" s="21">
        <v>5.0</v>
      </c>
      <c r="H2958" s="3">
        <v>44692.0</v>
      </c>
      <c r="I2958" s="22" t="s">
        <v>2889</v>
      </c>
    </row>
    <row r="2959">
      <c r="A2959" s="5" t="str">
        <f t="array" ref="A2959">INDEX(event_table!$A$2:$A$69, RANDBETWEEN(1, COUNTA(event_table!$A$2:$A$69)))</f>
        <v>1645</v>
      </c>
      <c r="B2959" s="6">
        <f t="array" ref="B2959">IFERROR(INDEX(event_table!$E$1:$E3686,MATCH(A2959,event_table!$A$1:$A3686,0)),"")
</f>
        <v>6</v>
      </c>
      <c r="C2959" s="7">
        <f t="shared" si="1"/>
        <v>21</v>
      </c>
      <c r="D2959" s="6" t="str">
        <f t="array" ref="D2959">IFERROR(INDEX(user_table!$C$2:$C3686,MATCH(C2959,user_table!$B$2:$B3686,0)),"")
</f>
        <v>Budi Santoso</v>
      </c>
      <c r="E2959" s="6" t="str">
        <f t="array" ref="E2959">IFERROR(INDEX(user_table!$E$2:$E3686,MATCH(C2959,user_table!$B$2:$B3686,0)),"")
</f>
        <v>6, 1</v>
      </c>
      <c r="F2959" s="6" t="str">
        <f t="shared" si="2"/>
        <v>16455621</v>
      </c>
      <c r="G2959" s="21">
        <v>5.0</v>
      </c>
      <c r="H2959" s="3">
        <v>44691.0</v>
      </c>
      <c r="I2959" s="22" t="s">
        <v>2890</v>
      </c>
    </row>
    <row r="2960">
      <c r="A2960" s="5" t="str">
        <f t="array" ref="A2960">INDEX(event_table!$A$2:$A$69, RANDBETWEEN(1, COUNTA(event_table!$A$2:$A$69)))</f>
        <v>113</v>
      </c>
      <c r="B2960" s="6">
        <f t="array" ref="B2960">IFERROR(INDEX(event_table!$E$1:$E3686,MATCH(A2960,event_table!$A$1:$A3686,0)),"")
</f>
        <v>1</v>
      </c>
      <c r="C2960" s="7">
        <f t="shared" si="1"/>
        <v>172</v>
      </c>
      <c r="D2960" s="6" t="str">
        <f t="array" ref="D2960">IFERROR(INDEX(user_table!$C$2:$C3686,MATCH(C2960,user_table!$B$2:$B3686,0)),"")
</f>
        <v>Dian Kurniawan</v>
      </c>
      <c r="E2960" s="6" t="str">
        <f t="array" ref="E2960">IFERROR(INDEX(user_table!$E$2:$E3686,MATCH(C2960,user_table!$B$2:$B3686,0)),"")
</f>
        <v>1, 2</v>
      </c>
      <c r="F2960" s="6" t="str">
        <f t="shared" si="2"/>
        <v>11351172</v>
      </c>
      <c r="G2960" s="21">
        <v>5.0</v>
      </c>
      <c r="H2960" s="3">
        <v>45026.0</v>
      </c>
      <c r="I2960" s="22" t="s">
        <v>2891</v>
      </c>
    </row>
    <row r="2961">
      <c r="A2961" s="5" t="str">
        <f t="array" ref="A2961">INDEX(event_table!$A$2:$A$69, RANDBETWEEN(1, COUNTA(event_table!$A$2:$A$69)))</f>
        <v>1335</v>
      </c>
      <c r="B2961" s="6">
        <f t="array" ref="B2961">IFERROR(INDEX(event_table!$E$1:$E3686,MATCH(A2961,event_table!$A$1:$A3686,0)),"")
</f>
        <v>3</v>
      </c>
      <c r="C2961" s="7">
        <f t="shared" si="1"/>
        <v>98</v>
      </c>
      <c r="D2961" s="6" t="str">
        <f t="array" ref="D2961">IFERROR(INDEX(user_table!$C$2:$C3686,MATCH(C2961,user_table!$B$2:$B3686,0)),"")
</f>
        <v>Agus Hidayat</v>
      </c>
      <c r="E2961" s="6" t="str">
        <f t="array" ref="E2961">IFERROR(INDEX(user_table!$E$2:$E3686,MATCH(C2961,user_table!$B$2:$B3686,0)),"")
</f>
        <v>3, 6</v>
      </c>
      <c r="F2961" s="6" t="str">
        <f t="shared" si="2"/>
        <v>13355398</v>
      </c>
      <c r="G2961" s="21">
        <v>5.0</v>
      </c>
      <c r="H2961" s="3">
        <v>45018.0</v>
      </c>
      <c r="I2961" s="22" t="s">
        <v>2892</v>
      </c>
    </row>
    <row r="2962">
      <c r="A2962" s="5" t="str">
        <f t="array" ref="A2962">INDEX(event_table!$A$2:$A$69, RANDBETWEEN(1, COUNTA(event_table!$A$2:$A$69)))</f>
        <v>1427</v>
      </c>
      <c r="B2962" s="6">
        <f t="array" ref="B2962">IFERROR(INDEX(event_table!$E$1:$E3686,MATCH(A2962,event_table!$A$1:$A3686,0)),"")
</f>
        <v>4</v>
      </c>
      <c r="C2962" s="7">
        <f t="shared" si="1"/>
        <v>21</v>
      </c>
      <c r="D2962" s="6" t="str">
        <f t="array" ref="D2962">IFERROR(INDEX(user_table!$C$2:$C3686,MATCH(C2962,user_table!$B$2:$B3686,0)),"")
</f>
        <v>Budi Santoso</v>
      </c>
      <c r="E2962" s="6" t="str">
        <f t="array" ref="E2962">IFERROR(INDEX(user_table!$E$2:$E3686,MATCH(C2962,user_table!$B$2:$B3686,0)),"")
</f>
        <v>6, 1</v>
      </c>
      <c r="F2962" s="6" t="str">
        <f t="shared" si="2"/>
        <v>14275421</v>
      </c>
      <c r="G2962" s="21">
        <v>5.0</v>
      </c>
      <c r="H2962" s="3">
        <v>44956.0</v>
      </c>
      <c r="I2962" s="22" t="s">
        <v>2893</v>
      </c>
    </row>
    <row r="2963">
      <c r="A2963" s="5" t="str">
        <f t="array" ref="A2963">INDEX(event_table!$A$2:$A$69, RANDBETWEEN(1, COUNTA(event_table!$A$2:$A$69)))</f>
        <v>3167</v>
      </c>
      <c r="B2963" s="6">
        <f t="array" ref="B2963">IFERROR(INDEX(event_table!$E$1:$E3686,MATCH(A2963,event_table!$A$1:$A3686,0)),"")
</f>
        <v>1</v>
      </c>
      <c r="C2963" s="7">
        <f t="shared" si="1"/>
        <v>76</v>
      </c>
      <c r="D2963" s="6" t="str">
        <f t="array" ref="D2963">IFERROR(INDEX(user_table!$C$2:$C3686,MATCH(C2963,user_table!$B$2:$B3686,0)),"")
</f>
        <v>Sinta Hidayat</v>
      </c>
      <c r="E2963" s="6" t="str">
        <f t="array" ref="E2963">IFERROR(INDEX(user_table!$E$2:$E3686,MATCH(C2963,user_table!$B$2:$B3686,0)),"")
</f>
        <v>3, 2</v>
      </c>
      <c r="F2963" s="6" t="str">
        <f t="shared" si="2"/>
        <v>31675176</v>
      </c>
      <c r="G2963" s="21">
        <v>5.0</v>
      </c>
      <c r="H2963" s="3">
        <v>44753.0</v>
      </c>
      <c r="I2963" s="22" t="s">
        <v>2894</v>
      </c>
    </row>
    <row r="2964">
      <c r="A2964" s="5" t="str">
        <f t="array" ref="A2964">INDEX(event_table!$A$2:$A$69, RANDBETWEEN(1, COUNTA(event_table!$A$2:$A$69)))</f>
        <v>1637</v>
      </c>
      <c r="B2964" s="6">
        <f t="array" ref="B2964">IFERROR(INDEX(event_table!$E$1:$E3686,MATCH(A2964,event_table!$A$1:$A3686,0)),"")
</f>
        <v>6</v>
      </c>
      <c r="C2964" s="7">
        <f t="shared" si="1"/>
        <v>111</v>
      </c>
      <c r="D2964" s="6" t="str">
        <f t="array" ref="D2964">IFERROR(INDEX(user_table!$C$2:$C3686,MATCH(C2964,user_table!$B$2:$B3686,0)),"")
</f>
        <v>Hadi Kurniawan</v>
      </c>
      <c r="E2964" s="6" t="str">
        <f t="array" ref="E2964">IFERROR(INDEX(user_table!$E$2:$E3686,MATCH(C2964,user_table!$B$2:$B3686,0)),"")
</f>
        <v>3, 4</v>
      </c>
      <c r="F2964" s="6" t="str">
        <f t="shared" si="2"/>
        <v>163756111</v>
      </c>
      <c r="G2964" s="21">
        <v>5.0</v>
      </c>
      <c r="H2964" s="3">
        <v>44743.0</v>
      </c>
      <c r="I2964" s="22" t="s">
        <v>2895</v>
      </c>
    </row>
    <row r="2965">
      <c r="A2965" s="5" t="str">
        <f t="array" ref="A2965">INDEX(event_table!$A$2:$A$69, RANDBETWEEN(1, COUNTA(event_table!$A$2:$A$69)))</f>
        <v>1526</v>
      </c>
      <c r="B2965" s="6">
        <f t="array" ref="B2965">IFERROR(INDEX(event_table!$E$1:$E3686,MATCH(A2965,event_table!$A$1:$A3686,0)),"")
</f>
        <v>5</v>
      </c>
      <c r="C2965" s="7">
        <f t="shared" si="1"/>
        <v>178</v>
      </c>
      <c r="D2965" s="6" t="str">
        <f t="array" ref="D2965">IFERROR(INDEX(user_table!$C$2:$C3686,MATCH(C2965,user_table!$B$2:$B3686,0)),"")
</f>
        <v>Dewi Hidayat</v>
      </c>
      <c r="E2965" s="6" t="str">
        <f t="array" ref="E2965">IFERROR(INDEX(user_table!$E$2:$E3686,MATCH(C2965,user_table!$B$2:$B3686,0)),"")
</f>
        <v>3, 2</v>
      </c>
      <c r="F2965" s="6" t="str">
        <f t="shared" si="2"/>
        <v>152655178</v>
      </c>
      <c r="G2965" s="21">
        <v>5.0</v>
      </c>
      <c r="H2965" s="3">
        <v>44697.0</v>
      </c>
      <c r="I2965" s="22" t="s">
        <v>2896</v>
      </c>
    </row>
    <row r="2966">
      <c r="A2966" s="5" t="str">
        <f t="array" ref="A2966">INDEX(event_table!$A$2:$A$69, RANDBETWEEN(1, COUNTA(event_table!$A$2:$A$69)))</f>
        <v>1424</v>
      </c>
      <c r="B2966" s="6">
        <f t="array" ref="B2966">IFERROR(INDEX(event_table!$E$1:$E3686,MATCH(A2966,event_table!$A$1:$A3686,0)),"")
</f>
        <v>4</v>
      </c>
      <c r="C2966" s="7">
        <f t="shared" si="1"/>
        <v>164</v>
      </c>
      <c r="D2966" s="6" t="str">
        <f t="array" ref="D2966">IFERROR(INDEX(user_table!$C$2:$C3686,MATCH(C2966,user_table!$B$2:$B3686,0)),"")
</f>
        <v>Bambang Purnama</v>
      </c>
      <c r="E2966" s="6" t="str">
        <f t="array" ref="E2966">IFERROR(INDEX(user_table!$E$2:$E3686,MATCH(C2966,user_table!$B$2:$B3686,0)),"")
</f>
        <v>2, 3</v>
      </c>
      <c r="F2966" s="6" t="str">
        <f t="shared" si="2"/>
        <v>142454164</v>
      </c>
      <c r="G2966" s="21">
        <v>5.0</v>
      </c>
      <c r="H2966" s="3">
        <v>44688.0</v>
      </c>
      <c r="I2966" s="22" t="s">
        <v>2897</v>
      </c>
    </row>
    <row r="2967">
      <c r="A2967" s="5" t="str">
        <f t="array" ref="A2967">INDEX(event_table!$A$2:$A$69, RANDBETWEEN(1, COUNTA(event_table!$A$2:$A$69)))</f>
        <v>113</v>
      </c>
      <c r="B2967" s="6">
        <f t="array" ref="B2967">IFERROR(INDEX(event_table!$E$1:$E3686,MATCH(A2967,event_table!$A$1:$A3686,0)),"")
</f>
        <v>1</v>
      </c>
      <c r="C2967" s="7">
        <f t="shared" si="1"/>
        <v>15</v>
      </c>
      <c r="D2967" s="6" t="str">
        <f t="array" ref="D2967">IFERROR(INDEX(user_table!$C$2:$C3686,MATCH(C2967,user_table!$B$2:$B3686,0)),"")
</f>
        <v>Arif Kurniawan</v>
      </c>
      <c r="E2967" s="6" t="str">
        <f t="array" ref="E2967">IFERROR(INDEX(user_table!$E$2:$E3686,MATCH(C2967,user_table!$B$2:$B3686,0)),"")
</f>
        <v>3, 1</v>
      </c>
      <c r="F2967" s="6" t="str">
        <f t="shared" si="2"/>
        <v>1134115</v>
      </c>
      <c r="G2967" s="21">
        <v>4.0</v>
      </c>
      <c r="H2967" s="3">
        <v>45250.0</v>
      </c>
      <c r="I2967" s="22" t="s">
        <v>2898</v>
      </c>
    </row>
    <row r="2968">
      <c r="A2968" s="5" t="str">
        <f t="array" ref="A2968">INDEX(event_table!$A$2:$A$69, RANDBETWEEN(1, COUNTA(event_table!$A$2:$A$69)))</f>
        <v>3455</v>
      </c>
      <c r="B2968" s="6">
        <f t="array" ref="B2968">IFERROR(INDEX(event_table!$E$1:$E3686,MATCH(A2968,event_table!$A$1:$A3686,0)),"")
</f>
        <v>4</v>
      </c>
      <c r="C2968" s="7">
        <f t="shared" si="1"/>
        <v>113</v>
      </c>
      <c r="D2968" s="6" t="str">
        <f t="array" ref="D2968">IFERROR(INDEX(user_table!$C$2:$C3686,MATCH(C2968,user_table!$B$2:$B3686,0)),"")
</f>
        <v>Budi Wijaya</v>
      </c>
      <c r="E2968" s="6" t="str">
        <f t="array" ref="E2968">IFERROR(INDEX(user_table!$E$2:$E3686,MATCH(C2968,user_table!$B$2:$B3686,0)),"")
</f>
        <v>1, 5</v>
      </c>
      <c r="F2968" s="6" t="str">
        <f t="shared" si="2"/>
        <v>345544113</v>
      </c>
      <c r="G2968" s="21">
        <v>4.0</v>
      </c>
      <c r="H2968" s="3">
        <v>44930.0</v>
      </c>
      <c r="I2968" s="22" t="s">
        <v>2899</v>
      </c>
    </row>
    <row r="2969">
      <c r="A2969" s="5" t="str">
        <f t="array" ref="A2969">INDEX(event_table!$A$2:$A$69, RANDBETWEEN(1, COUNTA(event_table!$A$2:$A$69)))</f>
        <v>3356</v>
      </c>
      <c r="B2969" s="6">
        <f t="array" ref="B2969">IFERROR(INDEX(event_table!$E$1:$E3686,MATCH(A2969,event_table!$A$1:$A3686,0)),"")
</f>
        <v>3</v>
      </c>
      <c r="C2969" s="7">
        <f t="shared" si="1"/>
        <v>80</v>
      </c>
      <c r="D2969" s="6" t="str">
        <f t="array" ref="D2969">IFERROR(INDEX(user_table!$C$2:$C3686,MATCH(C2969,user_table!$B$2:$B3686,0)),"")
</f>
        <v>Sinta Susanto</v>
      </c>
      <c r="E2969" s="6" t="str">
        <f t="array" ref="E2969">IFERROR(INDEX(user_table!$E$2:$E3686,MATCH(C2969,user_table!$B$2:$B3686,0)),"")
</f>
        <v>5, 2</v>
      </c>
      <c r="F2969" s="6" t="str">
        <f t="shared" si="2"/>
        <v>33564380</v>
      </c>
      <c r="G2969" s="21">
        <v>4.0</v>
      </c>
      <c r="H2969" s="3">
        <v>44858.0</v>
      </c>
      <c r="I2969" s="22" t="s">
        <v>2900</v>
      </c>
    </row>
    <row r="2970">
      <c r="A2970" s="5" t="str">
        <f t="array" ref="A2970">INDEX(event_table!$A$2:$A$69, RANDBETWEEN(1, COUNTA(event_table!$A$2:$A$69)))</f>
        <v>114</v>
      </c>
      <c r="B2970" s="6">
        <f t="array" ref="B2970">IFERROR(INDEX(event_table!$E$1:$E3686,MATCH(A2970,event_table!$A$1:$A3686,0)),"")
</f>
        <v>1</v>
      </c>
      <c r="C2970" s="7">
        <f t="shared" si="1"/>
        <v>41</v>
      </c>
      <c r="D2970" s="6" t="str">
        <f t="array" ref="D2970">IFERROR(INDEX(user_table!$C$2:$C3686,MATCH(C2970,user_table!$B$2:$B3686,0)),"")
</f>
        <v>Wahyu Susanto</v>
      </c>
      <c r="E2970" s="6" t="str">
        <f t="array" ref="E2970">IFERROR(INDEX(user_table!$E$2:$E3686,MATCH(C2970,user_table!$B$2:$B3686,0)),"")
</f>
        <v>5, 4</v>
      </c>
      <c r="F2970" s="6" t="str">
        <f t="shared" si="2"/>
        <v>1144141</v>
      </c>
      <c r="G2970" s="21">
        <v>4.0</v>
      </c>
      <c r="H2970" s="3">
        <v>44725.0</v>
      </c>
      <c r="I2970" s="22" t="s">
        <v>2901</v>
      </c>
    </row>
    <row r="2971">
      <c r="A2971" s="5" t="str">
        <f t="array" ref="A2971">INDEX(event_table!$A$2:$A$69, RANDBETWEEN(1, COUNTA(event_table!$A$2:$A$69)))</f>
        <v>3657</v>
      </c>
      <c r="B2971" s="6">
        <f t="array" ref="B2971">IFERROR(INDEX(event_table!$E$1:$E3686,MATCH(A2971,event_table!$A$1:$A3686,0)),"")
</f>
        <v>6</v>
      </c>
      <c r="C2971" s="7">
        <f t="shared" si="1"/>
        <v>105</v>
      </c>
      <c r="D2971" s="6" t="str">
        <f t="array" ref="D2971">IFERROR(INDEX(user_table!$C$2:$C3686,MATCH(C2971,user_table!$B$2:$B3686,0)),"")
</f>
        <v>Siti Susanto</v>
      </c>
      <c r="E2971" s="6" t="str">
        <f t="array" ref="E2971">IFERROR(INDEX(user_table!$E$2:$E3686,MATCH(C2971,user_table!$B$2:$B3686,0)),"")
</f>
        <v>2, 6</v>
      </c>
      <c r="F2971" s="6" t="str">
        <f t="shared" si="2"/>
        <v>365746105</v>
      </c>
      <c r="G2971" s="21">
        <v>4.0</v>
      </c>
      <c r="H2971" s="3">
        <v>44706.0</v>
      </c>
      <c r="I2971" s="22" t="s">
        <v>2902</v>
      </c>
    </row>
    <row r="2972">
      <c r="A2972" s="5" t="str">
        <f t="array" ref="A2972">INDEX(event_table!$A$2:$A$69, RANDBETWEEN(1, COUNTA(event_table!$A$2:$A$69)))</f>
        <v>122</v>
      </c>
      <c r="B2972" s="6">
        <f t="array" ref="B2972">IFERROR(INDEX(event_table!$E$1:$E3686,MATCH(A2972,event_table!$A$1:$A3686,0)),"")
</f>
        <v>2</v>
      </c>
      <c r="C2972" s="7">
        <f t="shared" si="1"/>
        <v>138</v>
      </c>
      <c r="D2972" s="6" t="str">
        <f t="array" ref="D2972">IFERROR(INDEX(user_table!$C$2:$C3686,MATCH(C2972,user_table!$B$2:$B3686,0)),"")
</f>
        <v>Joko Hermawan</v>
      </c>
      <c r="E2972" s="6" t="str">
        <f t="array" ref="E2972">IFERROR(INDEX(user_table!$E$2:$E3686,MATCH(C2972,user_table!$B$2:$B3686,0)),"")
</f>
        <v>4, 1</v>
      </c>
      <c r="F2972" s="6" t="str">
        <f t="shared" si="2"/>
        <v>12242138</v>
      </c>
      <c r="G2972" s="21">
        <v>4.0</v>
      </c>
      <c r="H2972" s="3">
        <v>45106.0</v>
      </c>
      <c r="I2972" s="22" t="s">
        <v>2903</v>
      </c>
    </row>
    <row r="2973">
      <c r="A2973" s="5" t="str">
        <f t="array" ref="A2973">INDEX(event_table!$A$2:$A$69, RANDBETWEEN(1, COUNTA(event_table!$A$2:$A$69)))</f>
        <v>1645</v>
      </c>
      <c r="B2973" s="6">
        <f t="array" ref="B2973">IFERROR(INDEX(event_table!$E$1:$E3686,MATCH(A2973,event_table!$A$1:$A3686,0)),"")
</f>
        <v>6</v>
      </c>
      <c r="C2973" s="7">
        <f t="shared" si="1"/>
        <v>56</v>
      </c>
      <c r="D2973" s="6" t="str">
        <f t="array" ref="D2973">IFERROR(INDEX(user_table!$C$2:$C3686,MATCH(C2973,user_table!$B$2:$B3686,0)),"")
</f>
        <v>Desi Putri</v>
      </c>
      <c r="E2973" s="6" t="str">
        <f t="array" ref="E2973">IFERROR(INDEX(user_table!$E$2:$E3686,MATCH(C2973,user_table!$B$2:$B3686,0)),"")
</f>
        <v>1, 3</v>
      </c>
      <c r="F2973" s="6" t="str">
        <f t="shared" si="2"/>
        <v>16454656</v>
      </c>
      <c r="G2973" s="21">
        <v>4.0</v>
      </c>
      <c r="H2973" s="3">
        <v>44760.0</v>
      </c>
      <c r="I2973" s="22" t="s">
        <v>2904</v>
      </c>
    </row>
    <row r="2974">
      <c r="A2974" s="5" t="str">
        <f t="array" ref="A2974">INDEX(event_table!$A$2:$A$69, RANDBETWEEN(1, COUNTA(event_table!$A$2:$A$69)))</f>
        <v>3168</v>
      </c>
      <c r="B2974" s="6">
        <f t="array" ref="B2974">IFERROR(INDEX(event_table!$E$1:$E3686,MATCH(A2974,event_table!$A$1:$A3686,0)),"")
</f>
        <v>1</v>
      </c>
      <c r="C2974" s="7">
        <f t="shared" si="1"/>
        <v>54</v>
      </c>
      <c r="D2974" s="6" t="str">
        <f t="array" ref="D2974">IFERROR(INDEX(user_table!$C$2:$C3686,MATCH(C2974,user_table!$B$2:$B3686,0)),"")
</f>
        <v>Andi Kurniawan</v>
      </c>
      <c r="E2974" s="6" t="str">
        <f t="array" ref="E2974">IFERROR(INDEX(user_table!$E$2:$E3686,MATCH(C2974,user_table!$B$2:$B3686,0)),"")
</f>
        <v>4, 4</v>
      </c>
      <c r="F2974" s="6" t="str">
        <f t="shared" si="2"/>
        <v>31684154</v>
      </c>
      <c r="G2974" s="21">
        <v>4.0</v>
      </c>
      <c r="H2974" s="3">
        <v>44744.0</v>
      </c>
      <c r="I2974" s="22" t="s">
        <v>2905</v>
      </c>
    </row>
    <row r="2975">
      <c r="A2975" s="5" t="str">
        <f t="array" ref="A2975">INDEX(event_table!$A$2:$A$69, RANDBETWEEN(1, COUNTA(event_table!$A$2:$A$69)))</f>
        <v>115</v>
      </c>
      <c r="B2975" s="6">
        <f t="array" ref="B2975">IFERROR(INDEX(event_table!$E$1:$E3686,MATCH(A2975,event_table!$A$1:$A3686,0)),"")
</f>
        <v>1</v>
      </c>
      <c r="C2975" s="7">
        <f t="shared" si="1"/>
        <v>16</v>
      </c>
      <c r="D2975" s="6" t="str">
        <f t="array" ref="D2975">IFERROR(INDEX(user_table!$C$2:$C3686,MATCH(C2975,user_table!$B$2:$B3686,0)),"")
</f>
        <v>Siti Utami</v>
      </c>
      <c r="E2975" s="6" t="str">
        <f t="array" ref="E2975">IFERROR(INDEX(user_table!$E$2:$E3686,MATCH(C2975,user_table!$B$2:$B3686,0)),"")
</f>
        <v>1, 2</v>
      </c>
      <c r="F2975" s="6" t="str">
        <f t="shared" si="2"/>
        <v>1154116</v>
      </c>
      <c r="G2975" s="21">
        <v>4.0</v>
      </c>
      <c r="H2975" s="3">
        <v>44719.0</v>
      </c>
      <c r="I2975" s="22" t="s">
        <v>2906</v>
      </c>
    </row>
    <row r="2976">
      <c r="A2976" s="5" t="str">
        <f t="array" ref="A2976">INDEX(event_table!$A$2:$A$69, RANDBETWEEN(1, COUNTA(event_table!$A$2:$A$69)))</f>
        <v>1642</v>
      </c>
      <c r="B2976" s="6">
        <f t="array" ref="B2976">IFERROR(INDEX(event_table!$E$1:$E3686,MATCH(A2976,event_table!$A$1:$A3686,0)),"")
</f>
        <v>6</v>
      </c>
      <c r="C2976" s="7">
        <f t="shared" si="1"/>
        <v>198</v>
      </c>
      <c r="D2976" s="6" t="str">
        <f t="array" ref="D2976">IFERROR(INDEX(user_table!$C$2:$C3686,MATCH(C2976,user_table!$B$2:$B3686,0)),"")
</f>
        <v>Siti Nugroho</v>
      </c>
      <c r="E2976" s="6" t="str">
        <f t="array" ref="E2976">IFERROR(INDEX(user_table!$E$2:$E3686,MATCH(C2976,user_table!$B$2:$B3686,0)),"")
</f>
        <v>5, 2</v>
      </c>
      <c r="F2976" s="6" t="str">
        <f t="shared" si="2"/>
        <v>164246198</v>
      </c>
      <c r="G2976" s="21">
        <v>4.0</v>
      </c>
      <c r="H2976" s="3">
        <v>44803.0</v>
      </c>
      <c r="I2976" s="22" t="s">
        <v>2907</v>
      </c>
    </row>
    <row r="2977">
      <c r="A2977" s="5" t="str">
        <f t="array" ref="A2977">INDEX(event_table!$A$2:$A$69, RANDBETWEEN(1, COUNTA(event_table!$A$2:$A$69)))</f>
        <v>1642</v>
      </c>
      <c r="B2977" s="6">
        <f t="array" ref="B2977">IFERROR(INDEX(event_table!$E$1:$E3686,MATCH(A2977,event_table!$A$1:$A3686,0)),"")
</f>
        <v>6</v>
      </c>
      <c r="C2977" s="7">
        <f t="shared" si="1"/>
        <v>139</v>
      </c>
      <c r="D2977" s="6" t="str">
        <f t="array" ref="D2977">IFERROR(INDEX(user_table!$C$2:$C3686,MATCH(C2977,user_table!$B$2:$B3686,0)),"")
</f>
        <v>Sinta Kurniawan</v>
      </c>
      <c r="E2977" s="6" t="str">
        <f t="array" ref="E2977">IFERROR(INDEX(user_table!$E$2:$E3686,MATCH(C2977,user_table!$B$2:$B3686,0)),"")
</f>
        <v>4, 6</v>
      </c>
      <c r="F2977" s="6" t="str">
        <f t="shared" si="2"/>
        <v>164246139</v>
      </c>
      <c r="G2977" s="21">
        <v>4.0</v>
      </c>
      <c r="H2977" s="3">
        <v>44727.0</v>
      </c>
      <c r="I2977" s="22" t="s">
        <v>2908</v>
      </c>
    </row>
    <row r="2978">
      <c r="A2978" s="5" t="str">
        <f t="array" ref="A2978">INDEX(event_table!$A$2:$A$69, RANDBETWEEN(1, COUNTA(event_table!$A$2:$A$69)))</f>
        <v>118</v>
      </c>
      <c r="B2978" s="6">
        <f t="array" ref="B2978">IFERROR(INDEX(event_table!$E$1:$E3686,MATCH(A2978,event_table!$A$1:$A3686,0)),"")
</f>
        <v>1</v>
      </c>
      <c r="C2978" s="7">
        <f t="shared" si="1"/>
        <v>175</v>
      </c>
      <c r="D2978" s="6" t="str">
        <f t="array" ref="D2978">IFERROR(INDEX(user_table!$C$2:$C3686,MATCH(C2978,user_table!$B$2:$B3686,0)),"")
</f>
        <v>Siti Septiani</v>
      </c>
      <c r="E2978" s="6" t="str">
        <f t="array" ref="E2978">IFERROR(INDEX(user_table!$E$2:$E3686,MATCH(C2978,user_table!$B$2:$B3686,0)),"")
</f>
        <v>2, 5</v>
      </c>
      <c r="F2978" s="6" t="str">
        <f t="shared" si="2"/>
        <v>11831175</v>
      </c>
      <c r="G2978" s="21">
        <v>3.0</v>
      </c>
      <c r="H2978" s="3">
        <v>45018.0</v>
      </c>
      <c r="I2978" s="22" t="s">
        <v>2909</v>
      </c>
    </row>
    <row r="2979">
      <c r="A2979" s="5" t="str">
        <f t="array" ref="A2979">INDEX(event_table!$A$2:$A$69, RANDBETWEEN(1, COUNTA(event_table!$A$2:$A$69)))</f>
        <v>1425</v>
      </c>
      <c r="B2979" s="6">
        <f t="array" ref="B2979">IFERROR(INDEX(event_table!$E$1:$E3686,MATCH(A2979,event_table!$A$1:$A3686,0)),"")
</f>
        <v>4</v>
      </c>
      <c r="C2979" s="7">
        <f t="shared" si="1"/>
        <v>83</v>
      </c>
      <c r="D2979" s="6" t="str">
        <f t="array" ref="D2979">IFERROR(INDEX(user_table!$C$2:$C3686,MATCH(C2979,user_table!$B$2:$B3686,0)),"")
</f>
        <v>Sinta Nurhayati</v>
      </c>
      <c r="E2979" s="6" t="str">
        <f t="array" ref="E2979">IFERROR(INDEX(user_table!$E$2:$E3686,MATCH(C2979,user_table!$B$2:$B3686,0)),"")
</f>
        <v>5, 5</v>
      </c>
      <c r="F2979" s="6" t="str">
        <f t="shared" si="2"/>
        <v>14253483</v>
      </c>
      <c r="G2979" s="21">
        <v>3.0</v>
      </c>
      <c r="H2979" s="3">
        <v>45247.0</v>
      </c>
      <c r="I2979" s="22" t="s">
        <v>2910</v>
      </c>
    </row>
    <row r="2980">
      <c r="A2980" s="5" t="str">
        <f t="array" ref="A2980">INDEX(event_table!$A$2:$A$69, RANDBETWEEN(1, COUNTA(event_table!$A$2:$A$69)))</f>
        <v>1425</v>
      </c>
      <c r="B2980" s="6">
        <f t="array" ref="B2980">IFERROR(INDEX(event_table!$E$1:$E3686,MATCH(A2980,event_table!$A$1:$A3686,0)),"")
</f>
        <v>4</v>
      </c>
      <c r="C2980" s="7">
        <f t="shared" si="1"/>
        <v>179</v>
      </c>
      <c r="D2980" s="6" t="str">
        <f t="array" ref="D2980">IFERROR(INDEX(user_table!$C$2:$C3686,MATCH(C2980,user_table!$B$2:$B3686,0)),"")
</f>
        <v>Andi Susanto</v>
      </c>
      <c r="E2980" s="6" t="str">
        <f t="array" ref="E2980">IFERROR(INDEX(user_table!$E$2:$E3686,MATCH(C2980,user_table!$B$2:$B3686,0)),"")
</f>
        <v>1, 6</v>
      </c>
      <c r="F2980" s="6" t="str">
        <f t="shared" si="2"/>
        <v>142534179</v>
      </c>
      <c r="G2980" s="21">
        <v>3.0</v>
      </c>
      <c r="H2980" s="3">
        <v>45228.0</v>
      </c>
      <c r="I2980" s="22" t="s">
        <v>2911</v>
      </c>
    </row>
    <row r="2981">
      <c r="A2981" s="5" t="str">
        <f t="array" ref="A2981">INDEX(event_table!$A$2:$A$69, RANDBETWEEN(1, COUNTA(event_table!$A$2:$A$69)))</f>
        <v>1651</v>
      </c>
      <c r="B2981" s="6">
        <f t="array" ref="B2981">IFERROR(INDEX(event_table!$E$1:$E3686,MATCH(A2981,event_table!$A$1:$A3686,0)),"")
</f>
        <v>6</v>
      </c>
      <c r="C2981" s="7">
        <f t="shared" si="1"/>
        <v>11</v>
      </c>
      <c r="D2981" s="6" t="str">
        <f t="array" ref="D2981">IFERROR(INDEX(user_table!$C$2:$C3686,MATCH(C2981,user_table!$B$2:$B3686,0)),"")
</f>
        <v>Arif Sari</v>
      </c>
      <c r="E2981" s="6" t="str">
        <f t="array" ref="E2981">IFERROR(INDEX(user_table!$E$2:$E3686,MATCH(C2981,user_table!$B$2:$B3686,0)),"")
</f>
        <v>5, 2</v>
      </c>
      <c r="F2981" s="6" t="str">
        <f t="shared" si="2"/>
        <v>16513611</v>
      </c>
      <c r="G2981" s="21">
        <v>3.0</v>
      </c>
      <c r="H2981" s="3">
        <v>45209.0</v>
      </c>
      <c r="I2981" s="22" t="s">
        <v>2912</v>
      </c>
    </row>
    <row r="2982">
      <c r="A2982" s="5" t="str">
        <f t="array" ref="A2982">INDEX(event_table!$A$2:$A$69, RANDBETWEEN(1, COUNTA(event_table!$A$2:$A$69)))</f>
        <v>1425</v>
      </c>
      <c r="B2982" s="6">
        <f t="array" ref="B2982">IFERROR(INDEX(event_table!$E$1:$E3686,MATCH(A2982,event_table!$A$1:$A3686,0)),"")
</f>
        <v>4</v>
      </c>
      <c r="C2982" s="7">
        <f t="shared" si="1"/>
        <v>185</v>
      </c>
      <c r="D2982" s="6" t="str">
        <f t="array" ref="D2982">IFERROR(INDEX(user_table!$C$2:$C3686,MATCH(C2982,user_table!$B$2:$B3686,0)),"")
</f>
        <v>Budi Wijaya</v>
      </c>
      <c r="E2982" s="6" t="str">
        <f t="array" ref="E2982">IFERROR(INDEX(user_table!$E$2:$E3686,MATCH(C2982,user_table!$B$2:$B3686,0)),"")
</f>
        <v>6, 3</v>
      </c>
      <c r="F2982" s="6" t="str">
        <f t="shared" si="2"/>
        <v>142534185</v>
      </c>
      <c r="G2982" s="21">
        <v>3.0</v>
      </c>
      <c r="H2982" s="3">
        <v>45111.0</v>
      </c>
      <c r="I2982" s="22" t="s">
        <v>2913</v>
      </c>
    </row>
    <row r="2983">
      <c r="A2983" s="5" t="str">
        <f t="array" ref="A2983">INDEX(event_table!$A$2:$A$69, RANDBETWEEN(1, COUNTA(event_table!$A$2:$A$69)))</f>
        <v>115</v>
      </c>
      <c r="B2983" s="6">
        <f t="array" ref="B2983">IFERROR(INDEX(event_table!$E$1:$E3686,MATCH(A2983,event_table!$A$1:$A3686,0)),"")
</f>
        <v>1</v>
      </c>
      <c r="C2983" s="7">
        <f t="shared" si="1"/>
        <v>124</v>
      </c>
      <c r="D2983" s="6" t="str">
        <f t="array" ref="D2983">IFERROR(INDEX(user_table!$C$2:$C3686,MATCH(C2983,user_table!$B$2:$B3686,0)),"")
</f>
        <v>Fandi Setiawan</v>
      </c>
      <c r="E2983" s="6" t="str">
        <f t="array" ref="E2983">IFERROR(INDEX(user_table!$E$2:$E3686,MATCH(C2983,user_table!$B$2:$B3686,0)),"")
</f>
        <v>5, 4</v>
      </c>
      <c r="F2983" s="6" t="str">
        <f t="shared" si="2"/>
        <v>11531124</v>
      </c>
      <c r="G2983" s="21">
        <v>3.0</v>
      </c>
      <c r="H2983" s="3">
        <v>45104.0</v>
      </c>
      <c r="I2983" s="22" t="s">
        <v>2914</v>
      </c>
    </row>
    <row r="2984">
      <c r="A2984" s="5" t="str">
        <f t="array" ref="A2984">INDEX(event_table!$A$2:$A$69, RANDBETWEEN(1, COUNTA(event_table!$A$2:$A$69)))</f>
        <v>1651</v>
      </c>
      <c r="B2984" s="6">
        <f t="array" ref="B2984">IFERROR(INDEX(event_table!$E$1:$E3686,MATCH(A2984,event_table!$A$1:$A3686,0)),"")
</f>
        <v>6</v>
      </c>
      <c r="C2984" s="7">
        <f t="shared" si="1"/>
        <v>108</v>
      </c>
      <c r="D2984" s="6" t="str">
        <f t="array" ref="D2984">IFERROR(INDEX(user_table!$C$2:$C3686,MATCH(C2984,user_table!$B$2:$B3686,0)),"")
</f>
        <v>Dewi Hadiwijaya</v>
      </c>
      <c r="E2984" s="6" t="str">
        <f t="array" ref="E2984">IFERROR(INDEX(user_table!$E$2:$E3686,MATCH(C2984,user_table!$B$2:$B3686,0)),"")
</f>
        <v>6, 6</v>
      </c>
      <c r="F2984" s="6" t="str">
        <f t="shared" si="2"/>
        <v>165126108</v>
      </c>
      <c r="G2984" s="21">
        <v>2.0</v>
      </c>
      <c r="H2984" s="3">
        <v>44749.0</v>
      </c>
      <c r="I2984" s="22" t="s">
        <v>2915</v>
      </c>
    </row>
    <row r="2985">
      <c r="A2985" s="5" t="str">
        <f t="array" ref="A2985">INDEX(event_table!$A$2:$A$69, RANDBETWEEN(1, COUNTA(event_table!$A$2:$A$69)))</f>
        <v>1531</v>
      </c>
      <c r="B2985" s="6">
        <f t="array" ref="B2985">IFERROR(INDEX(event_table!$E$1:$E3686,MATCH(A2985,event_table!$A$1:$A3686,0)),"")
</f>
        <v>5</v>
      </c>
      <c r="C2985" s="7">
        <f t="shared" si="1"/>
        <v>171</v>
      </c>
      <c r="D2985" s="6" t="str">
        <f t="array" ref="D2985">IFERROR(INDEX(user_table!$C$2:$C3686,MATCH(C2985,user_table!$B$2:$B3686,0)),"")
</f>
        <v>Andi Santoso</v>
      </c>
      <c r="E2985" s="6" t="str">
        <f t="array" ref="E2985">IFERROR(INDEX(user_table!$E$2:$E3686,MATCH(C2985,user_table!$B$2:$B3686,0)),"")
</f>
        <v>4, 3</v>
      </c>
      <c r="F2985" s="6" t="str">
        <f t="shared" si="2"/>
        <v>153125171</v>
      </c>
      <c r="G2985" s="21">
        <v>2.0</v>
      </c>
      <c r="H2985" s="3">
        <v>44356.0</v>
      </c>
      <c r="I2985" s="22" t="s">
        <v>2916</v>
      </c>
    </row>
    <row r="2986">
      <c r="A2986" s="5" t="str">
        <f t="array" ref="A2986">INDEX(event_table!$A$2:$A$69, RANDBETWEEN(1, COUNTA(event_table!$A$2:$A$69)))</f>
        <v>1424</v>
      </c>
      <c r="B2986" s="6">
        <f t="array" ref="B2986">IFERROR(INDEX(event_table!$E$1:$E3686,MATCH(A2986,event_table!$A$1:$A3686,0)),"")
</f>
        <v>4</v>
      </c>
      <c r="C2986" s="7">
        <f t="shared" si="1"/>
        <v>78</v>
      </c>
      <c r="D2986" s="6" t="str">
        <f t="array" ref="D2986">IFERROR(INDEX(user_table!$C$2:$C3686,MATCH(C2986,user_table!$B$2:$B3686,0)),"")
</f>
        <v>Fandi Putri</v>
      </c>
      <c r="E2986" s="6" t="str">
        <f t="array" ref="E2986">IFERROR(INDEX(user_table!$E$2:$E3686,MATCH(C2986,user_table!$B$2:$B3686,0)),"")
</f>
        <v>3, 3</v>
      </c>
      <c r="F2986" s="6" t="str">
        <f t="shared" si="2"/>
        <v>14242478</v>
      </c>
      <c r="G2986" s="21">
        <v>2.0</v>
      </c>
      <c r="H2986" s="3">
        <v>45191.0</v>
      </c>
      <c r="I2986" s="22" t="s">
        <v>2917</v>
      </c>
    </row>
    <row r="2987">
      <c r="A2987" s="5" t="str">
        <f t="array" ref="A2987">INDEX(event_table!$A$2:$A$69, RANDBETWEEN(1, COUNTA(event_table!$A$2:$A$69)))</f>
        <v>1553</v>
      </c>
      <c r="B2987" s="6">
        <f t="array" ref="B2987">IFERROR(INDEX(event_table!$E$1:$E3686,MATCH(A2987,event_table!$A$1:$A3686,0)),"")
</f>
        <v>5</v>
      </c>
      <c r="C2987" s="7">
        <f t="shared" si="1"/>
        <v>6</v>
      </c>
      <c r="D2987" s="6" t="str">
        <f t="array" ref="D2987">IFERROR(INDEX(user_table!$C$2:$C3686,MATCH(C2987,user_table!$B$2:$B3686,0)),"")
</f>
        <v>Arif Putri</v>
      </c>
      <c r="E2987" s="6" t="str">
        <f t="array" ref="E2987">IFERROR(INDEX(user_table!$E$2:$E3686,MATCH(C2987,user_table!$B$2:$B3686,0)),"")
</f>
        <v>5, 2</v>
      </c>
      <c r="F2987" s="6" t="str">
        <f t="shared" si="2"/>
        <v>1553256</v>
      </c>
      <c r="G2987" s="21">
        <v>2.0</v>
      </c>
      <c r="H2987" s="3">
        <v>45123.0</v>
      </c>
      <c r="I2987" s="22" t="s">
        <v>2918</v>
      </c>
    </row>
    <row r="2988">
      <c r="A2988" s="5" t="str">
        <f t="array" ref="A2988">INDEX(event_table!$A$2:$A$69, RANDBETWEEN(1, COUNTA(event_table!$A$2:$A$69)))</f>
        <v>1644</v>
      </c>
      <c r="B2988" s="6">
        <f t="array" ref="B2988">IFERROR(INDEX(event_table!$E$1:$E3686,MATCH(A2988,event_table!$A$1:$A3686,0)),"")
</f>
        <v>6</v>
      </c>
      <c r="C2988" s="7">
        <f t="shared" si="1"/>
        <v>29</v>
      </c>
      <c r="D2988" s="6" t="str">
        <f t="array" ref="D2988">IFERROR(INDEX(user_table!$C$2:$C3686,MATCH(C2988,user_table!$B$2:$B3686,0)),"")
</f>
        <v>Bambang Putri</v>
      </c>
      <c r="E2988" s="6" t="str">
        <f t="array" ref="E2988">IFERROR(INDEX(user_table!$E$2:$E3686,MATCH(C2988,user_table!$B$2:$B3686,0)),"")
</f>
        <v>3, 4</v>
      </c>
      <c r="F2988" s="6" t="str">
        <f t="shared" si="2"/>
        <v>16442629</v>
      </c>
      <c r="G2988" s="21">
        <v>2.0</v>
      </c>
      <c r="H2988" s="3">
        <v>45117.0</v>
      </c>
      <c r="I2988" s="22" t="s">
        <v>2919</v>
      </c>
    </row>
    <row r="2989">
      <c r="A2989" s="5" t="str">
        <f t="array" ref="A2989">INDEX(event_table!$A$2:$A$69, RANDBETWEEN(1, COUNTA(event_table!$A$2:$A$69)))</f>
        <v>117</v>
      </c>
      <c r="B2989" s="6">
        <f t="array" ref="B2989">IFERROR(INDEX(event_table!$E$1:$E3686,MATCH(A2989,event_table!$A$1:$A3686,0)),"")
</f>
        <v>1</v>
      </c>
      <c r="C2989" s="7">
        <f t="shared" si="1"/>
        <v>19</v>
      </c>
      <c r="D2989" s="6" t="str">
        <f t="array" ref="D2989">IFERROR(INDEX(user_table!$C$2:$C3686,MATCH(C2989,user_table!$B$2:$B3686,0)),"")
</f>
        <v>Siti Purnama</v>
      </c>
      <c r="E2989" s="6" t="str">
        <f t="array" ref="E2989">IFERROR(INDEX(user_table!$E$2:$E3686,MATCH(C2989,user_table!$B$2:$B3686,0)),"")
</f>
        <v>2, 1</v>
      </c>
      <c r="F2989" s="6" t="str">
        <f t="shared" si="2"/>
        <v>1172119</v>
      </c>
      <c r="G2989" s="21">
        <v>2.0</v>
      </c>
      <c r="H2989" s="3">
        <v>45068.0</v>
      </c>
      <c r="I2989" s="22" t="s">
        <v>2920</v>
      </c>
    </row>
    <row r="2990">
      <c r="A2990" s="5" t="str">
        <f t="array" ref="A2990">INDEX(event_table!$A$2:$A$69, RANDBETWEEN(1, COUNTA(event_table!$A$2:$A$69)))</f>
        <v>1645</v>
      </c>
      <c r="B2990" s="6">
        <f t="array" ref="B2990">IFERROR(INDEX(event_table!$E$1:$E3686,MATCH(A2990,event_table!$A$1:$A3686,0)),"")
</f>
        <v>6</v>
      </c>
      <c r="C2990" s="7">
        <f t="shared" si="1"/>
        <v>149</v>
      </c>
      <c r="D2990" s="6" t="str">
        <f t="array" ref="D2990">IFERROR(INDEX(user_table!$C$2:$C3686,MATCH(C2990,user_table!$B$2:$B3686,0)),"")
</f>
        <v>Dian Setiawan</v>
      </c>
      <c r="E2990" s="6" t="str">
        <f t="array" ref="E2990">IFERROR(INDEX(user_table!$E$2:$E3686,MATCH(C2990,user_table!$B$2:$B3686,0)),"")
</f>
        <v>2, 4</v>
      </c>
      <c r="F2990" s="6" t="str">
        <f t="shared" si="2"/>
        <v>164526149</v>
      </c>
      <c r="G2990" s="21">
        <v>2.0</v>
      </c>
      <c r="H2990" s="3">
        <v>45044.0</v>
      </c>
      <c r="I2990" s="22" t="s">
        <v>2921</v>
      </c>
    </row>
    <row r="2991">
      <c r="A2991" s="5" t="str">
        <f t="array" ref="A2991">INDEX(event_table!$A$2:$A$69, RANDBETWEEN(1, COUNTA(event_table!$A$2:$A$69)))</f>
        <v>3658</v>
      </c>
      <c r="B2991" s="6">
        <f t="array" ref="B2991">IFERROR(INDEX(event_table!$E$1:$E3686,MATCH(A2991,event_table!$A$1:$A3686,0)),"")
</f>
        <v>6</v>
      </c>
      <c r="C2991" s="7">
        <f t="shared" si="1"/>
        <v>200</v>
      </c>
      <c r="D2991" s="6" t="str">
        <f t="array" ref="D2991">IFERROR(INDEX(user_table!$C$2:$C3686,MATCH(C2991,user_table!$B$2:$B3686,0)),"")
</f>
        <v>Dina Susanto</v>
      </c>
      <c r="E2991" s="6" t="str">
        <f t="array" ref="E2991">IFERROR(INDEX(user_table!$E$2:$E3686,MATCH(C2991,user_table!$B$2:$B3686,0)),"")
</f>
        <v>5, 4</v>
      </c>
      <c r="F2991" s="6" t="str">
        <f t="shared" si="2"/>
        <v>365816200</v>
      </c>
      <c r="G2991" s="21">
        <v>1.0</v>
      </c>
      <c r="H2991" s="3">
        <v>45205.0</v>
      </c>
      <c r="I2991" s="22" t="s">
        <v>2922</v>
      </c>
    </row>
    <row r="2992">
      <c r="A2992" s="5" t="str">
        <f t="array" ref="A2992">INDEX(event_table!$A$2:$A$69, RANDBETWEEN(1, COUNTA(event_table!$A$2:$A$69)))</f>
        <v>116</v>
      </c>
      <c r="B2992" s="6">
        <f t="array" ref="B2992">IFERROR(INDEX(event_table!$E$1:$E3686,MATCH(A2992,event_table!$A$1:$A3686,0)),"")
</f>
        <v>1</v>
      </c>
      <c r="C2992" s="7">
        <f t="shared" si="1"/>
        <v>16</v>
      </c>
      <c r="D2992" s="6" t="str">
        <f t="array" ref="D2992">IFERROR(INDEX(user_table!$C$2:$C3686,MATCH(C2992,user_table!$B$2:$B3686,0)),"")
</f>
        <v>Siti Utami</v>
      </c>
      <c r="E2992" s="6" t="str">
        <f t="array" ref="E2992">IFERROR(INDEX(user_table!$E$2:$E3686,MATCH(C2992,user_table!$B$2:$B3686,0)),"")
</f>
        <v>1, 2</v>
      </c>
      <c r="F2992" s="6" t="str">
        <f t="shared" si="2"/>
        <v>1161116</v>
      </c>
      <c r="G2992" s="21">
        <v>1.0</v>
      </c>
      <c r="H2992" s="3">
        <v>45206.0</v>
      </c>
      <c r="I2992" s="22" t="s">
        <v>2923</v>
      </c>
    </row>
    <row r="2993">
      <c r="A2993" s="5" t="str">
        <f t="array" ref="A2993">INDEX(event_table!$A$2:$A$69, RANDBETWEEN(1, COUNTA(event_table!$A$2:$A$69)))</f>
        <v>1638</v>
      </c>
      <c r="B2993" s="6">
        <f t="array" ref="B2993">IFERROR(INDEX(event_table!$E$1:$E3686,MATCH(A2993,event_table!$A$1:$A3686,0)),"")
</f>
        <v>6</v>
      </c>
      <c r="C2993" s="7">
        <f t="shared" si="1"/>
        <v>127</v>
      </c>
      <c r="D2993" s="6" t="str">
        <f t="array" ref="D2993">IFERROR(INDEX(user_table!$C$2:$C3686,MATCH(C2993,user_table!$B$2:$B3686,0)),"")
</f>
        <v>Sinta Wijaya</v>
      </c>
      <c r="E2993" s="6" t="str">
        <f t="array" ref="E2993">IFERROR(INDEX(user_table!$E$2:$E3686,MATCH(C2993,user_table!$B$2:$B3686,0)),"")
</f>
        <v>6, 4</v>
      </c>
      <c r="F2993" s="6" t="str">
        <f t="shared" si="2"/>
        <v>163816127</v>
      </c>
      <c r="G2993" s="21">
        <v>1.0</v>
      </c>
      <c r="H2993" s="3">
        <v>45191.0</v>
      </c>
      <c r="I2993" s="22" t="s">
        <v>2924</v>
      </c>
    </row>
    <row r="2994">
      <c r="A2994" s="5" t="str">
        <f t="array" ref="A2994">INDEX(event_table!$A$2:$A$69, RANDBETWEEN(1, COUNTA(event_table!$A$2:$A$69)))</f>
        <v>119</v>
      </c>
      <c r="B2994" s="6">
        <f t="array" ref="B2994">IFERROR(INDEX(event_table!$E$1:$E3686,MATCH(A2994,event_table!$A$1:$A3686,0)),"")
</f>
        <v>1</v>
      </c>
      <c r="C2994" s="7">
        <f t="shared" si="1"/>
        <v>140</v>
      </c>
      <c r="D2994" s="6" t="str">
        <f t="array" ref="D2994">IFERROR(INDEX(user_table!$C$2:$C3686,MATCH(C2994,user_table!$B$2:$B3686,0)),"")
</f>
        <v>Maya Wijaya</v>
      </c>
      <c r="E2994" s="6" t="str">
        <f t="array" ref="E2994">IFERROR(INDEX(user_table!$E$2:$E3686,MATCH(C2994,user_table!$B$2:$B3686,0)),"")
</f>
        <v>3, 2</v>
      </c>
      <c r="F2994" s="6" t="str">
        <f t="shared" si="2"/>
        <v>11911140</v>
      </c>
      <c r="G2994" s="21">
        <v>1.0</v>
      </c>
      <c r="H2994" s="3">
        <v>45252.0</v>
      </c>
      <c r="I2994" s="22" t="s">
        <v>2925</v>
      </c>
    </row>
    <row r="2995">
      <c r="A2995" s="5" t="str">
        <f t="array" ref="A2995">INDEX(event_table!$A$2:$A$69, RANDBETWEEN(1, COUNTA(event_table!$A$2:$A$69)))</f>
        <v>1528</v>
      </c>
      <c r="B2995" s="6">
        <f t="array" ref="B2995">IFERROR(INDEX(event_table!$E$1:$E3686,MATCH(A2995,event_table!$A$1:$A3686,0)),"")
</f>
        <v>5</v>
      </c>
      <c r="C2995" s="7">
        <f t="shared" si="1"/>
        <v>120</v>
      </c>
      <c r="D2995" s="6" t="str">
        <f t="array" ref="D2995">IFERROR(INDEX(user_table!$C$2:$C3686,MATCH(C2995,user_table!$B$2:$B3686,0)),"")
</f>
        <v>Dewi Septiani</v>
      </c>
      <c r="E2995" s="6" t="str">
        <f t="array" ref="E2995">IFERROR(INDEX(user_table!$E$2:$E3686,MATCH(C2995,user_table!$B$2:$B3686,0)),"")
</f>
        <v>5, 3</v>
      </c>
      <c r="F2995" s="6" t="str">
        <f t="shared" si="2"/>
        <v>152815120</v>
      </c>
      <c r="G2995" s="21">
        <v>1.0</v>
      </c>
      <c r="H2995" s="3">
        <v>45238.0</v>
      </c>
      <c r="I2995" s="22" t="s">
        <v>2926</v>
      </c>
    </row>
    <row r="2996">
      <c r="A2996" s="5" t="str">
        <f t="array" ref="A2996">INDEX(event_table!$A$2:$A$69, RANDBETWEEN(1, COUNTA(event_table!$A$2:$A$69)))</f>
        <v>1643</v>
      </c>
      <c r="B2996" s="6">
        <f t="array" ref="B2996">IFERROR(INDEX(event_table!$E$1:$E3686,MATCH(A2996,event_table!$A$1:$A3686,0)),"")
</f>
        <v>6</v>
      </c>
      <c r="C2996" s="7">
        <f t="shared" si="1"/>
        <v>88</v>
      </c>
      <c r="D2996" s="6" t="str">
        <f t="array" ref="D2996">IFERROR(INDEX(user_table!$C$2:$C3686,MATCH(C2996,user_table!$B$2:$B3686,0)),"")
</f>
        <v>Fajar Hadiwijaya</v>
      </c>
      <c r="E2996" s="6" t="str">
        <f t="array" ref="E2996">IFERROR(INDEX(user_table!$E$2:$E3686,MATCH(C2996,user_table!$B$2:$B3686,0)),"")
</f>
        <v>2, 6</v>
      </c>
      <c r="F2996" s="6" t="str">
        <f t="shared" si="2"/>
        <v>16431688</v>
      </c>
      <c r="G2996" s="21">
        <v>1.0</v>
      </c>
      <c r="H2996" s="3">
        <v>45124.0</v>
      </c>
      <c r="I2996" s="22" t="s">
        <v>2927</v>
      </c>
    </row>
    <row r="2997">
      <c r="A2997" s="5" t="str">
        <f t="array" ref="A2997">INDEX(event_table!$A$2:$A$69, RANDBETWEEN(1, COUNTA(event_table!$A$2:$A$69)))</f>
        <v>1423</v>
      </c>
      <c r="B2997" s="6">
        <f t="array" ref="B2997">IFERROR(INDEX(event_table!$E$1:$E3686,MATCH(A2997,event_table!$A$1:$A3686,0)),"")
</f>
        <v>4</v>
      </c>
      <c r="C2997" s="7">
        <f t="shared" si="1"/>
        <v>123</v>
      </c>
      <c r="D2997" s="6" t="str">
        <f t="array" ref="D2997">IFERROR(INDEX(user_table!$C$2:$C3686,MATCH(C2997,user_table!$B$2:$B3686,0)),"")
</f>
        <v>Lina Hartono</v>
      </c>
      <c r="E2997" s="6" t="str">
        <f t="array" ref="E2997">IFERROR(INDEX(user_table!$E$2:$E3686,MATCH(C2997,user_table!$B$2:$B3686,0)),"")
</f>
        <v>6, 5</v>
      </c>
      <c r="F2997" s="6" t="str">
        <f t="shared" si="2"/>
        <v>142314123</v>
      </c>
      <c r="G2997" s="21">
        <v>1.0</v>
      </c>
      <c r="H2997" s="3">
        <v>45198.0</v>
      </c>
      <c r="I2997" s="22" t="s">
        <v>2928</v>
      </c>
    </row>
    <row r="2998">
      <c r="A2998" s="5" t="str">
        <f t="array" ref="A2998">INDEX(event_table!$A$2:$A$69, RANDBETWEEN(1, COUNTA(event_table!$A$2:$A$69)))</f>
        <v>1638</v>
      </c>
      <c r="B2998" s="6">
        <f t="array" ref="B2998">IFERROR(INDEX(event_table!$E$1:$E3686,MATCH(A2998,event_table!$A$1:$A3686,0)),"")
</f>
        <v>6</v>
      </c>
      <c r="C2998" s="7">
        <f t="shared" si="1"/>
        <v>200</v>
      </c>
      <c r="D2998" s="6" t="str">
        <f t="array" ref="D2998">IFERROR(INDEX(user_table!$C$2:$C3686,MATCH(C2998,user_table!$B$2:$B3686,0)),"")
</f>
        <v>Dina Susanto</v>
      </c>
      <c r="E2998" s="6" t="str">
        <f t="array" ref="E2998">IFERROR(INDEX(user_table!$E$2:$E3686,MATCH(C2998,user_table!$B$2:$B3686,0)),"")
</f>
        <v>5, 4</v>
      </c>
      <c r="F2998" s="6" t="str">
        <f t="shared" si="2"/>
        <v>163816200</v>
      </c>
      <c r="G2998" s="21">
        <v>1.0</v>
      </c>
      <c r="H2998" s="3">
        <v>45226.0</v>
      </c>
      <c r="I2998" s="22" t="s">
        <v>2929</v>
      </c>
    </row>
    <row r="2999">
      <c r="A2999" s="5" t="str">
        <f t="array" ref="A2999">INDEX(event_table!$A$2:$A$69, RANDBETWEEN(1, COUNTA(event_table!$A$2:$A$69)))</f>
        <v>1645</v>
      </c>
      <c r="B2999" s="6">
        <f t="array" ref="B2999">IFERROR(INDEX(event_table!$E$1:$E3686,MATCH(A2999,event_table!$A$1:$A3686,0)),"")
</f>
        <v>6</v>
      </c>
      <c r="C2999" s="7">
        <f t="shared" si="1"/>
        <v>171</v>
      </c>
      <c r="D2999" s="6" t="str">
        <f t="array" ref="D2999">IFERROR(INDEX(user_table!$C$2:$C3686,MATCH(C2999,user_table!$B$2:$B3686,0)),"")
</f>
        <v>Andi Santoso</v>
      </c>
      <c r="E2999" s="6" t="str">
        <f t="array" ref="E2999">IFERROR(INDEX(user_table!$E$2:$E3686,MATCH(C2999,user_table!$B$2:$B3686,0)),"")
</f>
        <v>4, 3</v>
      </c>
      <c r="F2999" s="6" t="str">
        <f t="shared" si="2"/>
        <v>164516171</v>
      </c>
      <c r="G2999" s="21">
        <v>1.0</v>
      </c>
      <c r="H2999" s="3">
        <v>45182.0</v>
      </c>
      <c r="I2999" s="22" t="s">
        <v>2930</v>
      </c>
    </row>
    <row r="3000">
      <c r="A3000" s="5" t="str">
        <f t="array" ref="A3000">INDEX(event_table!$A$2:$A$69, RANDBETWEEN(1, COUNTA(event_table!$A$2:$A$69)))</f>
        <v>1648</v>
      </c>
      <c r="B3000" s="6">
        <f t="array" ref="B3000">IFERROR(INDEX(event_table!$E$1:$E3686,MATCH(A3000,event_table!$A$1:$A3686,0)),"")
</f>
        <v>6</v>
      </c>
      <c r="C3000" s="7">
        <f t="shared" si="1"/>
        <v>137</v>
      </c>
      <c r="D3000" s="6" t="str">
        <f t="array" ref="D3000">IFERROR(INDEX(user_table!$C$2:$C3686,MATCH(C3000,user_table!$B$2:$B3686,0)),"")
</f>
        <v>Dina Pratama</v>
      </c>
      <c r="E3000" s="6" t="str">
        <f t="array" ref="E3000">IFERROR(INDEX(user_table!$E$2:$E3686,MATCH(C3000,user_table!$B$2:$B3686,0)),"")
</f>
        <v>4, 4</v>
      </c>
      <c r="F3000" s="6" t="str">
        <f t="shared" si="2"/>
        <v>164816137</v>
      </c>
      <c r="G3000" s="21">
        <v>1.0</v>
      </c>
      <c r="H3000" s="3">
        <v>45144.0</v>
      </c>
      <c r="I3000" s="22" t="s">
        <v>2931</v>
      </c>
    </row>
    <row r="3001">
      <c r="A3001" s="5" t="str">
        <f t="array" ref="A3001">INDEX(event_table!$A$2:$A$69, RANDBETWEEN(1, COUNTA(event_table!$A$2:$A$69)))</f>
        <v>1648</v>
      </c>
      <c r="B3001" s="6">
        <f t="array" ref="B3001">IFERROR(INDEX(event_table!$E$1:$E3686,MATCH(A3001,event_table!$A$1:$A3686,0)),"")
</f>
        <v>6</v>
      </c>
      <c r="C3001" s="7">
        <f t="shared" si="1"/>
        <v>167</v>
      </c>
      <c r="D3001" s="6" t="str">
        <f t="array" ref="D3001">IFERROR(INDEX(user_table!$C$2:$C3686,MATCH(C3001,user_table!$B$2:$B3686,0)),"")
</f>
        <v>Fandi Hermawan</v>
      </c>
      <c r="E3001" s="6" t="str">
        <f t="array" ref="E3001">IFERROR(INDEX(user_table!$E$2:$E3686,MATCH(C3001,user_table!$B$2:$B3686,0)),"")
</f>
        <v>3, 1</v>
      </c>
      <c r="F3001" s="6" t="str">
        <f t="shared" si="2"/>
        <v>164816167</v>
      </c>
      <c r="G3001" s="21">
        <v>1.0</v>
      </c>
      <c r="H3001" s="3">
        <v>45143.0</v>
      </c>
      <c r="I3001" s="22" t="s">
        <v>2932</v>
      </c>
    </row>
    <row r="3002">
      <c r="A3002" s="5" t="str">
        <f t="array" ref="A3002">INDEX(event_table!$A$2:$A$69, RANDBETWEEN(1, COUNTA(event_table!$A$2:$A$69)))</f>
        <v>116</v>
      </c>
      <c r="B3002" s="6">
        <f t="array" ref="B3002">IFERROR(INDEX(event_table!$E$1:$E3686,MATCH(A3002,event_table!$A$1:$A3686,0)),"")
</f>
        <v>1</v>
      </c>
      <c r="C3002" s="7">
        <f t="shared" si="1"/>
        <v>88</v>
      </c>
      <c r="D3002" s="6" t="str">
        <f t="array" ref="D3002">IFERROR(INDEX(user_table!$C$2:$C3686,MATCH(C3002,user_table!$B$2:$B3686,0)),"")
</f>
        <v>Fajar Hadiwijaya</v>
      </c>
      <c r="E3002" s="6" t="str">
        <f t="array" ref="E3002">IFERROR(INDEX(user_table!$E$2:$E3686,MATCH(C3002,user_table!$B$2:$B3686,0)),"")
</f>
        <v>2, 6</v>
      </c>
      <c r="F3002" s="6" t="str">
        <f t="shared" si="2"/>
        <v>1161188</v>
      </c>
      <c r="G3002" s="21">
        <v>1.0</v>
      </c>
      <c r="H3002" s="3">
        <v>45143.0</v>
      </c>
      <c r="I3002" s="22" t="s">
        <v>2933</v>
      </c>
    </row>
    <row r="3003">
      <c r="A3003" s="5" t="str">
        <f t="array" ref="A3003">INDEX(event_table!$A$2:$A$69, RANDBETWEEN(1, COUNTA(event_table!$A$2:$A$69)))</f>
        <v>111</v>
      </c>
      <c r="B3003" s="6">
        <f t="array" ref="B3003">IFERROR(INDEX(event_table!$E$1:$E3686,MATCH(A3003,event_table!$A$1:$A3686,0)),"")
</f>
        <v>1</v>
      </c>
      <c r="C3003" s="7">
        <f t="shared" si="1"/>
        <v>149</v>
      </c>
      <c r="D3003" s="6" t="str">
        <f t="array" ref="D3003">IFERROR(INDEX(user_table!$C$2:$C3686,MATCH(C3003,user_table!$B$2:$B3686,0)),"")
</f>
        <v>Dian Setiawan</v>
      </c>
      <c r="E3003" s="6" t="str">
        <f t="array" ref="E3003">IFERROR(INDEX(user_table!$E$2:$E3686,MATCH(C3003,user_table!$B$2:$B3686,0)),"")
</f>
        <v>2, 4</v>
      </c>
      <c r="F3003" s="6" t="str">
        <f t="shared" si="2"/>
        <v>11111149</v>
      </c>
      <c r="G3003" s="21">
        <v>1.0</v>
      </c>
      <c r="H3003" s="3">
        <v>45106.0</v>
      </c>
      <c r="I3003" s="22" t="s">
        <v>2934</v>
      </c>
    </row>
    <row r="3004">
      <c r="A3004" s="5" t="str">
        <f t="array" ref="A3004">INDEX(event_table!$A$2:$A$69, RANDBETWEEN(1, COUNTA(event_table!$A$2:$A$69)))</f>
        <v>1649</v>
      </c>
      <c r="B3004" s="6">
        <f t="array" ref="B3004">IFERROR(INDEX(event_table!$E$1:$E3686,MATCH(A3004,event_table!$A$1:$A3686,0)),"")
</f>
        <v>6</v>
      </c>
      <c r="C3004" s="7">
        <f t="shared" si="1"/>
        <v>51</v>
      </c>
      <c r="D3004" s="6" t="str">
        <f t="array" ref="D3004">IFERROR(INDEX(user_table!$C$2:$C3686,MATCH(C3004,user_table!$B$2:$B3686,0)),"")
</f>
        <v>Fandi Pratama</v>
      </c>
      <c r="E3004" s="6" t="str">
        <f t="array" ref="E3004">IFERROR(INDEX(user_table!$E$2:$E3686,MATCH(C3004,user_table!$B$2:$B3686,0)),"")
</f>
        <v>2, 1</v>
      </c>
      <c r="F3004" s="6" t="str">
        <f t="shared" si="2"/>
        <v>16491651</v>
      </c>
      <c r="G3004" s="21">
        <v>1.0</v>
      </c>
      <c r="H3004" s="3">
        <v>45084.0</v>
      </c>
      <c r="I3004" s="22" t="s">
        <v>2935</v>
      </c>
    </row>
    <row r="3005">
      <c r="A3005" s="5" t="str">
        <f t="array" ref="A3005">INDEX(event_table!$A$2:$A$69, RANDBETWEEN(1, COUNTA(event_table!$A$2:$A$69)))</f>
        <v>1640</v>
      </c>
      <c r="B3005" s="6">
        <f t="array" ref="B3005">IFERROR(INDEX(event_table!$E$1:$E3686,MATCH(A3005,event_table!$A$1:$A3686,0)),"")
</f>
        <v>6</v>
      </c>
      <c r="C3005" s="7">
        <f t="shared" si="1"/>
        <v>63</v>
      </c>
      <c r="D3005" s="6" t="str">
        <f t="array" ref="D3005">IFERROR(INDEX(user_table!$C$2:$C3686,MATCH(C3005,user_table!$B$2:$B3686,0)),"")
</f>
        <v>Desi Putri</v>
      </c>
      <c r="E3005" s="6" t="str">
        <f t="array" ref="E3005">IFERROR(INDEX(user_table!$E$2:$E3686,MATCH(C3005,user_table!$B$2:$B3686,0)),"")
</f>
        <v>2, 5</v>
      </c>
      <c r="F3005" s="6" t="str">
        <f t="shared" si="2"/>
        <v>16405663</v>
      </c>
      <c r="G3005" s="21">
        <v>5.0</v>
      </c>
      <c r="H3005" s="3">
        <v>44740.0</v>
      </c>
      <c r="I3005" s="22" t="s">
        <v>2936</v>
      </c>
    </row>
    <row r="3006">
      <c r="A3006" s="5" t="str">
        <f t="array" ref="A3006">INDEX(event_table!$A$2:$A$69, RANDBETWEEN(1, COUNTA(event_table!$A$2:$A$69)))</f>
        <v>1530</v>
      </c>
      <c r="B3006" s="6">
        <f t="array" ref="B3006">IFERROR(INDEX(event_table!$E$1:$E3686,MATCH(A3006,event_table!$A$1:$A3686,0)),"")
</f>
        <v>5</v>
      </c>
      <c r="C3006" s="7">
        <f t="shared" si="1"/>
        <v>40</v>
      </c>
      <c r="D3006" s="6" t="str">
        <f t="array" ref="D3006">IFERROR(INDEX(user_table!$C$2:$C3686,MATCH(C3006,user_table!$B$2:$B3686,0)),"")
</f>
        <v>Joko Sari</v>
      </c>
      <c r="E3006" s="6" t="str">
        <f t="array" ref="E3006">IFERROR(INDEX(user_table!$E$2:$E3686,MATCH(C3006,user_table!$B$2:$B3686,0)),"")
</f>
        <v>5, 6</v>
      </c>
      <c r="F3006" s="6" t="str">
        <f t="shared" si="2"/>
        <v>15305540</v>
      </c>
      <c r="G3006" s="21">
        <v>5.0</v>
      </c>
      <c r="H3006" s="3">
        <v>44709.0</v>
      </c>
      <c r="I3006" s="22" t="s">
        <v>2937</v>
      </c>
    </row>
    <row r="3007">
      <c r="A3007" s="5" t="str">
        <f t="array" ref="A3007">INDEX(event_table!$A$2:$A$69, RANDBETWEEN(1, COUNTA(event_table!$A$2:$A$69)))</f>
        <v>1427</v>
      </c>
      <c r="B3007" s="6">
        <f t="array" ref="B3007">IFERROR(INDEX(event_table!$E$1:$E3686,MATCH(A3007,event_table!$A$1:$A3686,0)),"")
</f>
        <v>4</v>
      </c>
      <c r="C3007" s="7">
        <f t="shared" si="1"/>
        <v>27</v>
      </c>
      <c r="D3007" s="6" t="str">
        <f t="array" ref="D3007">IFERROR(INDEX(user_table!$C$2:$C3686,MATCH(C3007,user_table!$B$2:$B3686,0)),"")
</f>
        <v>Fandi Purnama</v>
      </c>
      <c r="E3007" s="6" t="str">
        <f t="array" ref="E3007">IFERROR(INDEX(user_table!$E$2:$E3686,MATCH(C3007,user_table!$B$2:$B3686,0)),"")
</f>
        <v>4, 6</v>
      </c>
      <c r="F3007" s="6" t="str">
        <f t="shared" si="2"/>
        <v>14275427</v>
      </c>
      <c r="G3007" s="21">
        <v>5.0</v>
      </c>
      <c r="H3007" s="3">
        <v>44688.0</v>
      </c>
      <c r="I3007" s="22" t="s">
        <v>2938</v>
      </c>
    </row>
    <row r="3008">
      <c r="A3008" s="5" t="str">
        <f t="array" ref="A3008">INDEX(event_table!$A$2:$A$69, RANDBETWEEN(1, COUNTA(event_table!$A$2:$A$69)))</f>
        <v>1424</v>
      </c>
      <c r="B3008" s="6">
        <f t="array" ref="B3008">IFERROR(INDEX(event_table!$E$1:$E3686,MATCH(A3008,event_table!$A$1:$A3686,0)),"")
</f>
        <v>4</v>
      </c>
      <c r="C3008" s="7">
        <f t="shared" si="1"/>
        <v>167</v>
      </c>
      <c r="D3008" s="6" t="str">
        <f t="array" ref="D3008">IFERROR(INDEX(user_table!$C$2:$C3686,MATCH(C3008,user_table!$B$2:$B3686,0)),"")
</f>
        <v>Fandi Hermawan</v>
      </c>
      <c r="E3008" s="6" t="str">
        <f t="array" ref="E3008">IFERROR(INDEX(user_table!$E$2:$E3686,MATCH(C3008,user_table!$B$2:$B3686,0)),"")
</f>
        <v>3, 1</v>
      </c>
      <c r="F3008" s="6" t="str">
        <f t="shared" si="2"/>
        <v>142454167</v>
      </c>
      <c r="G3008" s="21">
        <v>5.0</v>
      </c>
      <c r="H3008" s="3">
        <v>44679.0</v>
      </c>
      <c r="I3008" s="22" t="s">
        <v>2939</v>
      </c>
    </row>
    <row r="3009">
      <c r="A3009" s="5" t="str">
        <f t="array" ref="A3009">INDEX(event_table!$A$2:$A$69, RANDBETWEEN(1, COUNTA(event_table!$A$2:$A$69)))</f>
        <v>1528</v>
      </c>
      <c r="B3009" s="6">
        <f t="array" ref="B3009">IFERROR(INDEX(event_table!$E$1:$E3686,MATCH(A3009,event_table!$A$1:$A3686,0)),"")
</f>
        <v>5</v>
      </c>
      <c r="C3009" s="7">
        <f t="shared" si="1"/>
        <v>140</v>
      </c>
      <c r="D3009" s="6" t="str">
        <f t="array" ref="D3009">IFERROR(INDEX(user_table!$C$2:$C3686,MATCH(C3009,user_table!$B$2:$B3686,0)),"")
</f>
        <v>Maya Wijaya</v>
      </c>
      <c r="E3009" s="6" t="str">
        <f t="array" ref="E3009">IFERROR(INDEX(user_table!$E$2:$E3686,MATCH(C3009,user_table!$B$2:$B3686,0)),"")
</f>
        <v>3, 2</v>
      </c>
      <c r="F3009" s="6" t="str">
        <f t="shared" si="2"/>
        <v>152855140</v>
      </c>
      <c r="G3009" s="21">
        <v>5.0</v>
      </c>
      <c r="H3009" s="3">
        <v>45252.0</v>
      </c>
      <c r="I3009" s="22" t="s">
        <v>2940</v>
      </c>
    </row>
    <row r="3010">
      <c r="A3010" s="5" t="str">
        <f t="array" ref="A3010">INDEX(event_table!$A$2:$A$69, RANDBETWEEN(1, COUNTA(event_table!$A$2:$A$69)))</f>
        <v>1333</v>
      </c>
      <c r="B3010" s="6">
        <f t="array" ref="B3010">IFERROR(INDEX(event_table!$E$1:$E3686,MATCH(A3010,event_table!$A$1:$A3686,0)),"")
</f>
        <v>3</v>
      </c>
      <c r="C3010" s="7">
        <f t="shared" si="1"/>
        <v>14</v>
      </c>
      <c r="D3010" s="6" t="str">
        <f t="array" ref="D3010">IFERROR(INDEX(user_table!$C$2:$C3686,MATCH(C3010,user_table!$B$2:$B3686,0)),"")
</f>
        <v>Ani Purnama</v>
      </c>
      <c r="E3010" s="6" t="str">
        <f t="array" ref="E3010">IFERROR(INDEX(user_table!$E$2:$E3686,MATCH(C3010,user_table!$B$2:$B3686,0)),"")
</f>
        <v>6, 2</v>
      </c>
      <c r="F3010" s="6" t="str">
        <f t="shared" si="2"/>
        <v>13335314</v>
      </c>
      <c r="G3010" s="21">
        <v>5.0</v>
      </c>
      <c r="H3010" s="3">
        <v>45249.0</v>
      </c>
      <c r="I3010" s="22" t="s">
        <v>2048</v>
      </c>
    </row>
    <row r="3011">
      <c r="A3011" s="5" t="str">
        <f t="array" ref="A3011">INDEX(event_table!$A$2:$A$69, RANDBETWEEN(1, COUNTA(event_table!$A$2:$A$69)))</f>
        <v>1421</v>
      </c>
      <c r="B3011" s="6">
        <f t="array" ref="B3011">IFERROR(INDEX(event_table!$E$1:$E3686,MATCH(A3011,event_table!$A$1:$A3686,0)),"")
</f>
        <v>4</v>
      </c>
      <c r="C3011" s="7">
        <f t="shared" si="1"/>
        <v>22</v>
      </c>
      <c r="D3011" s="6" t="str">
        <f t="array" ref="D3011">IFERROR(INDEX(user_table!$C$2:$C3686,MATCH(C3011,user_table!$B$2:$B3686,0)),"")
</f>
        <v>Fajar Wijaya</v>
      </c>
      <c r="E3011" s="6" t="str">
        <f t="array" ref="E3011">IFERROR(INDEX(user_table!$E$2:$E3686,MATCH(C3011,user_table!$B$2:$B3686,0)),"")
</f>
        <v>2, 6</v>
      </c>
      <c r="F3011" s="6" t="str">
        <f t="shared" si="2"/>
        <v>14215422</v>
      </c>
      <c r="G3011" s="21">
        <v>5.0</v>
      </c>
      <c r="H3011" s="3">
        <v>45127.0</v>
      </c>
      <c r="I3011" s="22" t="s">
        <v>2941</v>
      </c>
    </row>
    <row r="3012">
      <c r="A3012" s="5" t="str">
        <f t="array" ref="A3012">INDEX(event_table!$A$2:$A$69, RANDBETWEEN(1, COUNTA(event_table!$A$2:$A$69)))</f>
        <v>1212</v>
      </c>
      <c r="B3012" s="6">
        <f t="array" ref="B3012">IFERROR(INDEX(event_table!$E$1:$E3686,MATCH(A3012,event_table!$A$1:$A3686,0)),"")
</f>
        <v>2</v>
      </c>
      <c r="C3012" s="7">
        <f t="shared" si="1"/>
        <v>63</v>
      </c>
      <c r="D3012" s="6" t="str">
        <f t="array" ref="D3012">IFERROR(INDEX(user_table!$C$2:$C3686,MATCH(C3012,user_table!$B$2:$B3686,0)),"")
</f>
        <v>Desi Putri</v>
      </c>
      <c r="E3012" s="6" t="str">
        <f t="array" ref="E3012">IFERROR(INDEX(user_table!$E$2:$E3686,MATCH(C3012,user_table!$B$2:$B3686,0)),"")
</f>
        <v>2, 5</v>
      </c>
      <c r="F3012" s="6" t="str">
        <f t="shared" si="2"/>
        <v>12125263</v>
      </c>
      <c r="G3012" s="21">
        <v>5.0</v>
      </c>
      <c r="H3012" s="3">
        <v>45110.0</v>
      </c>
      <c r="I3012" s="22" t="s">
        <v>2942</v>
      </c>
    </row>
    <row r="3013">
      <c r="A3013" s="5" t="str">
        <f t="array" ref="A3013">INDEX(event_table!$A$2:$A$69, RANDBETWEEN(1, COUNTA(event_table!$A$2:$A$69)))</f>
        <v>1417</v>
      </c>
      <c r="B3013" s="6">
        <f t="array" ref="B3013">IFERROR(INDEX(event_table!$E$1:$E3686,MATCH(A3013,event_table!$A$1:$A3686,0)),"")
</f>
        <v>4</v>
      </c>
      <c r="C3013" s="7">
        <f t="shared" si="1"/>
        <v>187</v>
      </c>
      <c r="D3013" s="6" t="str">
        <f t="array" ref="D3013">IFERROR(INDEX(user_table!$C$2:$C3686,MATCH(C3013,user_table!$B$2:$B3686,0)),"")
</f>
        <v>Bambang Saputra</v>
      </c>
      <c r="E3013" s="6" t="str">
        <f t="array" ref="E3013">IFERROR(INDEX(user_table!$E$2:$E3686,MATCH(C3013,user_table!$B$2:$B3686,0)),"")
</f>
        <v>3, 1</v>
      </c>
      <c r="F3013" s="6" t="str">
        <f t="shared" si="2"/>
        <v>141754187</v>
      </c>
      <c r="G3013" s="21">
        <v>5.0</v>
      </c>
      <c r="H3013" s="3">
        <v>45081.0</v>
      </c>
      <c r="I3013" s="22" t="s">
        <v>2943</v>
      </c>
    </row>
    <row r="3014">
      <c r="A3014" s="5" t="str">
        <f t="array" ref="A3014">INDEX(event_table!$A$2:$A$69, RANDBETWEEN(1, COUNTA(event_table!$A$2:$A$69)))</f>
        <v>1425</v>
      </c>
      <c r="B3014" s="6">
        <f t="array" ref="B3014">IFERROR(INDEX(event_table!$E$1:$E3686,MATCH(A3014,event_table!$A$1:$A3686,0)),"")
</f>
        <v>4</v>
      </c>
      <c r="C3014" s="7">
        <f t="shared" si="1"/>
        <v>11</v>
      </c>
      <c r="D3014" s="6" t="str">
        <f t="array" ref="D3014">IFERROR(INDEX(user_table!$C$2:$C3686,MATCH(C3014,user_table!$B$2:$B3686,0)),"")
</f>
        <v>Arif Sari</v>
      </c>
      <c r="E3014" s="6" t="str">
        <f t="array" ref="E3014">IFERROR(INDEX(user_table!$E$2:$E3686,MATCH(C3014,user_table!$B$2:$B3686,0)),"")
</f>
        <v>5, 2</v>
      </c>
      <c r="F3014" s="6" t="str">
        <f t="shared" si="2"/>
        <v>14255411</v>
      </c>
      <c r="G3014" s="21">
        <v>5.0</v>
      </c>
      <c r="H3014" s="3">
        <v>45062.0</v>
      </c>
      <c r="I3014" s="22" t="s">
        <v>2944</v>
      </c>
    </row>
    <row r="3015">
      <c r="A3015" s="5" t="str">
        <f t="array" ref="A3015">INDEX(event_table!$A$2:$A$69, RANDBETWEEN(1, COUNTA(event_table!$A$2:$A$69)))</f>
        <v>1650</v>
      </c>
      <c r="B3015" s="6">
        <f t="array" ref="B3015">IFERROR(INDEX(event_table!$E$1:$E3686,MATCH(A3015,event_table!$A$1:$A3686,0)),"")
</f>
        <v>6</v>
      </c>
      <c r="C3015" s="7">
        <f t="shared" si="1"/>
        <v>141</v>
      </c>
      <c r="D3015" s="6" t="str">
        <f t="array" ref="D3015">IFERROR(INDEX(user_table!$C$2:$C3686,MATCH(C3015,user_table!$B$2:$B3686,0)),"")
</f>
        <v>Bambang Santoso</v>
      </c>
      <c r="E3015" s="6" t="str">
        <f t="array" ref="E3015">IFERROR(INDEX(user_table!$E$2:$E3686,MATCH(C3015,user_table!$B$2:$B3686,0)),"")
</f>
        <v>5, 3</v>
      </c>
      <c r="F3015" s="6" t="str">
        <f t="shared" si="2"/>
        <v>165056141</v>
      </c>
      <c r="G3015" s="21">
        <v>5.0</v>
      </c>
      <c r="H3015" s="3">
        <v>44901.0</v>
      </c>
      <c r="I3015" s="22" t="s">
        <v>990</v>
      </c>
    </row>
    <row r="3016">
      <c r="A3016" s="5" t="str">
        <f t="array" ref="A3016">INDEX(event_table!$A$2:$A$69, RANDBETWEEN(1, COUNTA(event_table!$A$2:$A$69)))</f>
        <v>3164</v>
      </c>
      <c r="B3016" s="6">
        <f t="array" ref="B3016">IFERROR(INDEX(event_table!$E$1:$E3686,MATCH(A3016,event_table!$A$1:$A3686,0)),"")
</f>
        <v>1</v>
      </c>
      <c r="C3016" s="7">
        <f t="shared" si="1"/>
        <v>71</v>
      </c>
      <c r="D3016" s="6" t="str">
        <f t="array" ref="D3016">IFERROR(INDEX(user_table!$C$2:$C3686,MATCH(C3016,user_table!$B$2:$B3686,0)),"")
</f>
        <v>Hadi Putri</v>
      </c>
      <c r="E3016" s="6" t="str">
        <f t="array" ref="E3016">IFERROR(INDEX(user_table!$E$2:$E3686,MATCH(C3016,user_table!$B$2:$B3686,0)),"")
</f>
        <v>3, 3</v>
      </c>
      <c r="F3016" s="6" t="str">
        <f t="shared" si="2"/>
        <v>31645171</v>
      </c>
      <c r="G3016" s="21">
        <v>5.0</v>
      </c>
      <c r="H3016" s="3">
        <v>44797.0</v>
      </c>
      <c r="I3016" s="22" t="s">
        <v>2945</v>
      </c>
    </row>
    <row r="3017">
      <c r="A3017" s="5" t="str">
        <f t="array" ref="A3017">INDEX(event_table!$A$2:$A$69, RANDBETWEEN(1, COUNTA(event_table!$A$2:$A$69)))</f>
        <v>1111</v>
      </c>
      <c r="B3017" s="6">
        <f t="array" ref="B3017">IFERROR(INDEX(event_table!$E$1:$E3686,MATCH(A3017,event_table!$A$1:$A3686,0)),"")
</f>
        <v>1</v>
      </c>
      <c r="C3017" s="7">
        <f t="shared" si="1"/>
        <v>126</v>
      </c>
      <c r="D3017" s="6" t="str">
        <f t="array" ref="D3017">IFERROR(INDEX(user_table!$C$2:$C3686,MATCH(C3017,user_table!$B$2:$B3686,0)),"")
</f>
        <v>Agus Santoso</v>
      </c>
      <c r="E3017" s="6" t="str">
        <f t="array" ref="E3017">IFERROR(INDEX(user_table!$E$2:$E3686,MATCH(C3017,user_table!$B$2:$B3686,0)),"")
</f>
        <v>3, 6</v>
      </c>
      <c r="F3017" s="6" t="str">
        <f t="shared" si="2"/>
        <v>111151126</v>
      </c>
      <c r="G3017" s="21">
        <v>5.0</v>
      </c>
      <c r="H3017" s="3">
        <v>44790.0</v>
      </c>
      <c r="I3017" s="22" t="s">
        <v>2946</v>
      </c>
    </row>
    <row r="3018">
      <c r="A3018" s="5" t="str">
        <f t="array" ref="A3018">INDEX(event_table!$A$2:$A$69, RANDBETWEEN(1, COUNTA(event_table!$A$2:$A$69)))</f>
        <v>1417</v>
      </c>
      <c r="B3018" s="6">
        <f t="array" ref="B3018">IFERROR(INDEX(event_table!$E$1:$E3686,MATCH(A3018,event_table!$A$1:$A3686,0)),"")
</f>
        <v>4</v>
      </c>
      <c r="C3018" s="7">
        <f t="shared" si="1"/>
        <v>108</v>
      </c>
      <c r="D3018" s="6" t="str">
        <f t="array" ref="D3018">IFERROR(INDEX(user_table!$C$2:$C3686,MATCH(C3018,user_table!$B$2:$B3686,0)),"")
</f>
        <v>Dewi Hadiwijaya</v>
      </c>
      <c r="E3018" s="6" t="str">
        <f t="array" ref="E3018">IFERROR(INDEX(user_table!$E$2:$E3686,MATCH(C3018,user_table!$B$2:$B3686,0)),"")
</f>
        <v>6, 6</v>
      </c>
      <c r="F3018" s="6" t="str">
        <f t="shared" si="2"/>
        <v>141754108</v>
      </c>
      <c r="G3018" s="21">
        <v>5.0</v>
      </c>
      <c r="H3018" s="3">
        <v>44757.0</v>
      </c>
      <c r="I3018" s="22" t="s">
        <v>2947</v>
      </c>
    </row>
    <row r="3019">
      <c r="A3019" s="5" t="str">
        <f t="array" ref="A3019">INDEX(event_table!$A$2:$A$69, RANDBETWEEN(1, COUNTA(event_table!$A$2:$A$69)))</f>
        <v>1641</v>
      </c>
      <c r="B3019" s="6">
        <f t="array" ref="B3019">IFERROR(INDEX(event_table!$E$1:$E3686,MATCH(A3019,event_table!$A$1:$A3686,0)),"")
</f>
        <v>6</v>
      </c>
      <c r="C3019" s="7">
        <f t="shared" si="1"/>
        <v>151</v>
      </c>
      <c r="D3019" s="6" t="str">
        <f t="array" ref="D3019">IFERROR(INDEX(user_table!$C$2:$C3686,MATCH(C3019,user_table!$B$2:$B3686,0)),"")
</f>
        <v>Maya Hidayat</v>
      </c>
      <c r="E3019" s="6" t="str">
        <f t="array" ref="E3019">IFERROR(INDEX(user_table!$E$2:$E3686,MATCH(C3019,user_table!$B$2:$B3686,0)),"")
</f>
        <v>2, 3</v>
      </c>
      <c r="F3019" s="6" t="str">
        <f t="shared" si="2"/>
        <v>164156151</v>
      </c>
      <c r="G3019" s="21">
        <v>5.0</v>
      </c>
      <c r="H3019" s="3">
        <v>44752.0</v>
      </c>
      <c r="I3019" s="22" t="s">
        <v>2948</v>
      </c>
    </row>
    <row r="3020">
      <c r="A3020" s="5" t="str">
        <f t="array" ref="A3020">INDEX(event_table!$A$2:$A$69, RANDBETWEEN(1, COUNTA(event_table!$A$2:$A$69)))</f>
        <v>119</v>
      </c>
      <c r="B3020" s="6">
        <f t="array" ref="B3020">IFERROR(INDEX(event_table!$E$1:$E3686,MATCH(A3020,event_table!$A$1:$A3686,0)),"")
</f>
        <v>1</v>
      </c>
      <c r="C3020" s="7">
        <f t="shared" si="1"/>
        <v>200</v>
      </c>
      <c r="D3020" s="6" t="str">
        <f t="array" ref="D3020">IFERROR(INDEX(user_table!$C$2:$C3686,MATCH(C3020,user_table!$B$2:$B3686,0)),"")
</f>
        <v>Dina Susanto</v>
      </c>
      <c r="E3020" s="6" t="str">
        <f t="array" ref="E3020">IFERROR(INDEX(user_table!$E$2:$E3686,MATCH(C3020,user_table!$B$2:$B3686,0)),"")
</f>
        <v>5, 4</v>
      </c>
      <c r="F3020" s="6" t="str">
        <f t="shared" si="2"/>
        <v>11951200</v>
      </c>
      <c r="G3020" s="21">
        <v>5.0</v>
      </c>
      <c r="H3020" s="3">
        <v>44711.0</v>
      </c>
      <c r="I3020" s="22" t="s">
        <v>2949</v>
      </c>
    </row>
    <row r="3021">
      <c r="A3021" s="5" t="str">
        <f t="array" ref="A3021">INDEX(event_table!$A$2:$A$69, RANDBETWEEN(1, COUNTA(event_table!$A$2:$A$69)))</f>
        <v>3659</v>
      </c>
      <c r="B3021" s="6">
        <f t="array" ref="B3021">IFERROR(INDEX(event_table!$E$1:$E3686,MATCH(A3021,event_table!$A$1:$A3686,0)),"")
</f>
        <v>6</v>
      </c>
      <c r="C3021" s="7">
        <f t="shared" si="1"/>
        <v>11</v>
      </c>
      <c r="D3021" s="6" t="str">
        <f t="array" ref="D3021">IFERROR(INDEX(user_table!$C$2:$C3686,MATCH(C3021,user_table!$B$2:$B3686,0)),"")
</f>
        <v>Arif Sari</v>
      </c>
      <c r="E3021" s="6" t="str">
        <f t="array" ref="E3021">IFERROR(INDEX(user_table!$E$2:$E3686,MATCH(C3021,user_table!$B$2:$B3686,0)),"")
</f>
        <v>5, 2</v>
      </c>
      <c r="F3021" s="6" t="str">
        <f t="shared" si="2"/>
        <v>36595611</v>
      </c>
      <c r="G3021" s="21">
        <v>5.0</v>
      </c>
      <c r="H3021" s="3">
        <v>44693.0</v>
      </c>
      <c r="I3021" s="22" t="s">
        <v>2950</v>
      </c>
    </row>
    <row r="3022">
      <c r="A3022" s="5" t="str">
        <f t="array" ref="A3022">INDEX(event_table!$A$2:$A$69, RANDBETWEEN(1, COUNTA(event_table!$A$2:$A$69)))</f>
        <v>1111</v>
      </c>
      <c r="B3022" s="6">
        <f t="array" ref="B3022">IFERROR(INDEX(event_table!$E$1:$E3686,MATCH(A3022,event_table!$A$1:$A3686,0)),"")
</f>
        <v>1</v>
      </c>
      <c r="C3022" s="7">
        <f t="shared" si="1"/>
        <v>195</v>
      </c>
      <c r="D3022" s="6" t="str">
        <f t="array" ref="D3022">IFERROR(INDEX(user_table!$C$2:$C3686,MATCH(C3022,user_table!$B$2:$B3686,0)),"")
</f>
        <v>Rudi Purnama</v>
      </c>
      <c r="E3022" s="6" t="str">
        <f t="array" ref="E3022">IFERROR(INDEX(user_table!$E$2:$E3686,MATCH(C3022,user_table!$B$2:$B3686,0)),"")
</f>
        <v>2, 4</v>
      </c>
      <c r="F3022" s="6" t="str">
        <f t="shared" si="2"/>
        <v>111151195</v>
      </c>
      <c r="G3022" s="21">
        <v>5.0</v>
      </c>
      <c r="H3022" s="3">
        <v>44685.0</v>
      </c>
      <c r="I3022" s="22" t="s">
        <v>2951</v>
      </c>
    </row>
    <row r="3023">
      <c r="A3023" s="5" t="str">
        <f t="array" ref="A3023">INDEX(event_table!$A$2:$A$69, RANDBETWEEN(1, COUNTA(event_table!$A$2:$A$69)))</f>
        <v>3166</v>
      </c>
      <c r="B3023" s="6">
        <f t="array" ref="B3023">IFERROR(INDEX(event_table!$E$1:$E3686,MATCH(A3023,event_table!$A$1:$A3686,0)),"")
</f>
        <v>1</v>
      </c>
      <c r="C3023" s="7">
        <f t="shared" si="1"/>
        <v>176</v>
      </c>
      <c r="D3023" s="6" t="str">
        <f t="array" ref="D3023">IFERROR(INDEX(user_table!$C$2:$C3686,MATCH(C3023,user_table!$B$2:$B3686,0)),"")
</f>
        <v>Ani Hartono</v>
      </c>
      <c r="E3023" s="6" t="str">
        <f t="array" ref="E3023">IFERROR(INDEX(user_table!$E$2:$E3686,MATCH(C3023,user_table!$B$2:$B3686,0)),"")
</f>
        <v>2, 3</v>
      </c>
      <c r="F3023" s="6" t="str">
        <f t="shared" si="2"/>
        <v>316641176</v>
      </c>
      <c r="G3023" s="21">
        <v>4.0</v>
      </c>
      <c r="H3023" s="3">
        <v>45248.0</v>
      </c>
      <c r="I3023" s="22" t="s">
        <v>2952</v>
      </c>
    </row>
    <row r="3024">
      <c r="A3024" s="5" t="str">
        <f t="array" ref="A3024">INDEX(event_table!$A$2:$A$69, RANDBETWEEN(1, COUNTA(event_table!$A$2:$A$69)))</f>
        <v>3170</v>
      </c>
      <c r="B3024" s="6">
        <f t="array" ref="B3024">IFERROR(INDEX(event_table!$E$1:$E3686,MATCH(A3024,event_table!$A$1:$A3686,0)),"")
</f>
        <v>1</v>
      </c>
      <c r="C3024" s="7">
        <f t="shared" si="1"/>
        <v>95</v>
      </c>
      <c r="D3024" s="6" t="str">
        <f t="array" ref="D3024">IFERROR(INDEX(user_table!$C$2:$C3686,MATCH(C3024,user_table!$B$2:$B3686,0)),"")
</f>
        <v>Ani Pratama</v>
      </c>
      <c r="E3024" s="6" t="str">
        <f t="array" ref="E3024">IFERROR(INDEX(user_table!$E$2:$E3686,MATCH(C3024,user_table!$B$2:$B3686,0)),"")
</f>
        <v>3, 5</v>
      </c>
      <c r="F3024" s="6" t="str">
        <f t="shared" si="2"/>
        <v>31704195</v>
      </c>
      <c r="G3024" s="21">
        <v>4.0</v>
      </c>
      <c r="H3024" s="3">
        <v>45096.0</v>
      </c>
      <c r="I3024" s="22" t="s">
        <v>2953</v>
      </c>
    </row>
    <row r="3025">
      <c r="A3025" s="5" t="str">
        <f t="array" ref="A3025">INDEX(event_table!$A$2:$A$69, RANDBETWEEN(1, COUNTA(event_table!$A$2:$A$69)))</f>
        <v>1335</v>
      </c>
      <c r="B3025" s="6">
        <f t="array" ref="B3025">IFERROR(INDEX(event_table!$E$1:$E3686,MATCH(A3025,event_table!$A$1:$A3686,0)),"")
</f>
        <v>3</v>
      </c>
      <c r="C3025" s="7">
        <f t="shared" si="1"/>
        <v>6</v>
      </c>
      <c r="D3025" s="6" t="str">
        <f t="array" ref="D3025">IFERROR(INDEX(user_table!$C$2:$C3686,MATCH(C3025,user_table!$B$2:$B3686,0)),"")
</f>
        <v>Arif Putri</v>
      </c>
      <c r="E3025" s="6" t="str">
        <f t="array" ref="E3025">IFERROR(INDEX(user_table!$E$2:$E3686,MATCH(C3025,user_table!$B$2:$B3686,0)),"")
</f>
        <v>5, 2</v>
      </c>
      <c r="F3025" s="6" t="str">
        <f t="shared" si="2"/>
        <v>1335436</v>
      </c>
      <c r="G3025" s="21">
        <v>4.0</v>
      </c>
      <c r="H3025" s="3">
        <v>45091.0</v>
      </c>
      <c r="I3025" s="22" t="s">
        <v>2954</v>
      </c>
    </row>
    <row r="3026">
      <c r="A3026" s="5" t="str">
        <f t="array" ref="A3026">INDEX(event_table!$A$2:$A$69, RANDBETWEEN(1, COUNTA(event_table!$A$2:$A$69)))</f>
        <v>1313</v>
      </c>
      <c r="B3026" s="6">
        <f t="array" ref="B3026">IFERROR(INDEX(event_table!$E$1:$E3686,MATCH(A3026,event_table!$A$1:$A3686,0)),"")
</f>
        <v>3</v>
      </c>
      <c r="C3026" s="7">
        <f t="shared" si="1"/>
        <v>200</v>
      </c>
      <c r="D3026" s="6" t="str">
        <f t="array" ref="D3026">IFERROR(INDEX(user_table!$C$2:$C3686,MATCH(C3026,user_table!$B$2:$B3686,0)),"")
</f>
        <v>Dina Susanto</v>
      </c>
      <c r="E3026" s="6" t="str">
        <f t="array" ref="E3026">IFERROR(INDEX(user_table!$E$2:$E3686,MATCH(C3026,user_table!$B$2:$B3686,0)),"")
</f>
        <v>5, 4</v>
      </c>
      <c r="F3026" s="6" t="str">
        <f t="shared" si="2"/>
        <v>131343200</v>
      </c>
      <c r="G3026" s="21">
        <v>4.0</v>
      </c>
      <c r="H3026" s="3">
        <v>44779.0</v>
      </c>
      <c r="I3026" s="22" t="s">
        <v>2955</v>
      </c>
    </row>
    <row r="3027">
      <c r="A3027" s="5" t="str">
        <f t="array" ref="A3027">INDEX(event_table!$A$2:$A$69, RANDBETWEEN(1, COUNTA(event_table!$A$2:$A$69)))</f>
        <v>1427</v>
      </c>
      <c r="B3027" s="6">
        <f t="array" ref="B3027">IFERROR(INDEX(event_table!$E$1:$E3686,MATCH(A3027,event_table!$A$1:$A3686,0)),"")
</f>
        <v>4</v>
      </c>
      <c r="C3027" s="7">
        <f t="shared" si="1"/>
        <v>145</v>
      </c>
      <c r="D3027" s="6" t="str">
        <f t="array" ref="D3027">IFERROR(INDEX(user_table!$C$2:$C3686,MATCH(C3027,user_table!$B$2:$B3686,0)),"")
</f>
        <v>Arif Nugroho</v>
      </c>
      <c r="E3027" s="6" t="str">
        <f t="array" ref="E3027">IFERROR(INDEX(user_table!$E$2:$E3686,MATCH(C3027,user_table!$B$2:$B3686,0)),"")
</f>
        <v>1, 4</v>
      </c>
      <c r="F3027" s="6" t="str">
        <f t="shared" si="2"/>
        <v>142744145</v>
      </c>
      <c r="G3027" s="21">
        <v>4.0</v>
      </c>
      <c r="H3027" s="3">
        <v>44749.0</v>
      </c>
      <c r="I3027" s="22" t="s">
        <v>2956</v>
      </c>
    </row>
    <row r="3028">
      <c r="A3028" s="5" t="str">
        <f t="array" ref="A3028">INDEX(event_table!$A$2:$A$69, RANDBETWEEN(1, COUNTA(event_table!$A$2:$A$69)))</f>
        <v>1519</v>
      </c>
      <c r="B3028" s="6">
        <f t="array" ref="B3028">IFERROR(INDEX(event_table!$E$1:$E3686,MATCH(A3028,event_table!$A$1:$A3686,0)),"")
</f>
        <v>5</v>
      </c>
      <c r="C3028" s="7">
        <f t="shared" si="1"/>
        <v>18</v>
      </c>
      <c r="D3028" s="6" t="str">
        <f t="array" ref="D3028">IFERROR(INDEX(user_table!$C$2:$C3686,MATCH(C3028,user_table!$B$2:$B3686,0)),"")
</f>
        <v>Rudi Santoso</v>
      </c>
      <c r="E3028" s="6" t="str">
        <f t="array" ref="E3028">IFERROR(INDEX(user_table!$E$2:$E3686,MATCH(C3028,user_table!$B$2:$B3686,0)),"")
</f>
        <v>4, 2</v>
      </c>
      <c r="F3028" s="6" t="str">
        <f t="shared" si="2"/>
        <v>15194518</v>
      </c>
      <c r="G3028" s="21">
        <v>4.0</v>
      </c>
      <c r="H3028" s="3">
        <v>44744.0</v>
      </c>
      <c r="I3028" s="22" t="s">
        <v>2957</v>
      </c>
    </row>
    <row r="3029">
      <c r="A3029" s="5" t="str">
        <f t="array" ref="A3029">INDEX(event_table!$A$2:$A$69, RANDBETWEEN(1, COUNTA(event_table!$A$2:$A$69)))</f>
        <v>1422</v>
      </c>
      <c r="B3029" s="6">
        <f t="array" ref="B3029">IFERROR(INDEX(event_table!$E$1:$E3686,MATCH(A3029,event_table!$A$1:$A3686,0)),"")
</f>
        <v>4</v>
      </c>
      <c r="C3029" s="7">
        <f t="shared" si="1"/>
        <v>21</v>
      </c>
      <c r="D3029" s="6" t="str">
        <f t="array" ref="D3029">IFERROR(INDEX(user_table!$C$2:$C3686,MATCH(C3029,user_table!$B$2:$B3686,0)),"")
</f>
        <v>Budi Santoso</v>
      </c>
      <c r="E3029" s="6" t="str">
        <f t="array" ref="E3029">IFERROR(INDEX(user_table!$E$2:$E3686,MATCH(C3029,user_table!$B$2:$B3686,0)),"")
</f>
        <v>6, 1</v>
      </c>
      <c r="F3029" s="6" t="str">
        <f t="shared" si="2"/>
        <v>14224421</v>
      </c>
      <c r="G3029" s="21">
        <v>4.0</v>
      </c>
      <c r="H3029" s="3">
        <v>44687.0</v>
      </c>
      <c r="I3029" s="22" t="s">
        <v>2958</v>
      </c>
    </row>
    <row r="3030">
      <c r="A3030" s="5" t="str">
        <f t="array" ref="A3030">INDEX(event_table!$A$2:$A$69, RANDBETWEEN(1, COUNTA(event_table!$A$2:$A$69)))</f>
        <v>1111</v>
      </c>
      <c r="B3030" s="6">
        <f t="array" ref="B3030">IFERROR(INDEX(event_table!$E$1:$E3686,MATCH(A3030,event_table!$A$1:$A3686,0)),"")
</f>
        <v>1</v>
      </c>
      <c r="C3030" s="7">
        <f t="shared" si="1"/>
        <v>137</v>
      </c>
      <c r="D3030" s="6" t="str">
        <f t="array" ref="D3030">IFERROR(INDEX(user_table!$C$2:$C3686,MATCH(C3030,user_table!$B$2:$B3686,0)),"")
</f>
        <v>Dina Pratama</v>
      </c>
      <c r="E3030" s="6" t="str">
        <f t="array" ref="E3030">IFERROR(INDEX(user_table!$E$2:$E3686,MATCH(C3030,user_table!$B$2:$B3686,0)),"")
</f>
        <v>4, 4</v>
      </c>
      <c r="F3030" s="6" t="str">
        <f t="shared" si="2"/>
        <v>111131137</v>
      </c>
      <c r="G3030" s="21">
        <v>3.0</v>
      </c>
      <c r="H3030" s="3">
        <v>44928.0</v>
      </c>
      <c r="I3030" s="22" t="s">
        <v>2959</v>
      </c>
    </row>
    <row r="3031">
      <c r="A3031" s="5" t="str">
        <f t="array" ref="A3031">INDEX(event_table!$A$2:$A$69, RANDBETWEEN(1, COUNTA(event_table!$A$2:$A$69)))</f>
        <v>1644</v>
      </c>
      <c r="B3031" s="6">
        <f t="array" ref="B3031">IFERROR(INDEX(event_table!$E$1:$E3686,MATCH(A3031,event_table!$A$1:$A3686,0)),"")
</f>
        <v>6</v>
      </c>
      <c r="C3031" s="7">
        <f t="shared" si="1"/>
        <v>99</v>
      </c>
      <c r="D3031" s="6" t="str">
        <f t="array" ref="D3031">IFERROR(INDEX(user_table!$C$2:$C3686,MATCH(C3031,user_table!$B$2:$B3686,0)),"")
</f>
        <v>Maya Nugroho</v>
      </c>
      <c r="E3031" s="6" t="str">
        <f t="array" ref="E3031">IFERROR(INDEX(user_table!$E$2:$E3686,MATCH(C3031,user_table!$B$2:$B3686,0)),"")
</f>
        <v>6, 1</v>
      </c>
      <c r="F3031" s="6" t="str">
        <f t="shared" si="2"/>
        <v>16443699</v>
      </c>
      <c r="G3031" s="21">
        <v>3.0</v>
      </c>
      <c r="H3031" s="3">
        <v>44747.0</v>
      </c>
      <c r="I3031" s="22" t="s">
        <v>2960</v>
      </c>
    </row>
    <row r="3032">
      <c r="A3032" s="5" t="str">
        <f t="array" ref="A3032">INDEX(event_table!$A$2:$A$69, RANDBETWEEN(1, COUNTA(event_table!$A$2:$A$69)))</f>
        <v>1333</v>
      </c>
      <c r="B3032" s="6">
        <f t="array" ref="B3032">IFERROR(INDEX(event_table!$E$1:$E3686,MATCH(A3032,event_table!$A$1:$A3686,0)),"")
</f>
        <v>3</v>
      </c>
      <c r="C3032" s="7">
        <f t="shared" si="1"/>
        <v>183</v>
      </c>
      <c r="D3032" s="6" t="str">
        <f t="array" ref="D3032">IFERROR(INDEX(user_table!$C$2:$C3686,MATCH(C3032,user_table!$B$2:$B3686,0)),"")
</f>
        <v>Siti Nugroho</v>
      </c>
      <c r="E3032" s="6" t="str">
        <f t="array" ref="E3032">IFERROR(INDEX(user_table!$E$2:$E3686,MATCH(C3032,user_table!$B$2:$B3686,0)),"")
</f>
        <v>4, 6</v>
      </c>
      <c r="F3032" s="6" t="str">
        <f t="shared" si="2"/>
        <v>133333183</v>
      </c>
      <c r="G3032" s="21">
        <v>3.0</v>
      </c>
      <c r="H3032" s="3">
        <v>45081.0</v>
      </c>
      <c r="I3032" s="22" t="s">
        <v>2961</v>
      </c>
    </row>
    <row r="3033">
      <c r="A3033" s="5" t="str">
        <f t="array" ref="A3033">INDEX(event_table!$A$2:$A$69, RANDBETWEEN(1, COUNTA(event_table!$A$2:$A$69)))</f>
        <v>1528</v>
      </c>
      <c r="B3033" s="6">
        <f t="array" ref="B3033">IFERROR(INDEX(event_table!$E$1:$E3686,MATCH(A3033,event_table!$A$1:$A3686,0)),"")
</f>
        <v>5</v>
      </c>
      <c r="C3033" s="7">
        <f t="shared" si="1"/>
        <v>106</v>
      </c>
      <c r="D3033" s="6" t="str">
        <f t="array" ref="D3033">IFERROR(INDEX(user_table!$C$2:$C3686,MATCH(C3033,user_table!$B$2:$B3686,0)),"")
</f>
        <v>Budi Hidayat</v>
      </c>
      <c r="E3033" s="6" t="str">
        <f t="array" ref="E3033">IFERROR(INDEX(user_table!$E$2:$E3686,MATCH(C3033,user_table!$B$2:$B3686,0)),"")
</f>
        <v>2, 6</v>
      </c>
      <c r="F3033" s="6" t="str">
        <f t="shared" si="2"/>
        <v>152835106</v>
      </c>
      <c r="G3033" s="21">
        <v>3.0</v>
      </c>
      <c r="H3033" s="3">
        <v>45173.0</v>
      </c>
      <c r="I3033" s="22" t="s">
        <v>2962</v>
      </c>
    </row>
    <row r="3034">
      <c r="A3034" s="5" t="str">
        <f t="array" ref="A3034">INDEX(event_table!$A$2:$A$69, RANDBETWEEN(1, COUNTA(event_table!$A$2:$A$69)))</f>
        <v>1651</v>
      </c>
      <c r="B3034" s="6">
        <f t="array" ref="B3034">IFERROR(INDEX(event_table!$E$1:$E3686,MATCH(A3034,event_table!$A$1:$A3686,0)),"")
</f>
        <v>6</v>
      </c>
      <c r="C3034" s="7">
        <f t="shared" si="1"/>
        <v>79</v>
      </c>
      <c r="D3034" s="6" t="str">
        <f t="array" ref="D3034">IFERROR(INDEX(user_table!$C$2:$C3686,MATCH(C3034,user_table!$B$2:$B3686,0)),"")
</f>
        <v>Arif Nugroho</v>
      </c>
      <c r="E3034" s="6" t="str">
        <f t="array" ref="E3034">IFERROR(INDEX(user_table!$E$2:$E3686,MATCH(C3034,user_table!$B$2:$B3686,0)),"")
</f>
        <v>2, 3</v>
      </c>
      <c r="F3034" s="6" t="str">
        <f t="shared" si="2"/>
        <v>16513679</v>
      </c>
      <c r="G3034" s="21">
        <v>3.0</v>
      </c>
      <c r="H3034" s="3">
        <v>45149.0</v>
      </c>
      <c r="I3034" s="22" t="s">
        <v>2963</v>
      </c>
    </row>
    <row r="3035">
      <c r="A3035" s="5" t="str">
        <f t="array" ref="A3035">INDEX(event_table!$A$2:$A$69, RANDBETWEEN(1, COUNTA(event_table!$A$2:$A$69)))</f>
        <v>1424</v>
      </c>
      <c r="B3035" s="6">
        <f t="array" ref="B3035">IFERROR(INDEX(event_table!$E$1:$E3686,MATCH(A3035,event_table!$A$1:$A3686,0)),"")
</f>
        <v>4</v>
      </c>
      <c r="C3035" s="7">
        <f t="shared" si="1"/>
        <v>114</v>
      </c>
      <c r="D3035" s="6" t="str">
        <f t="array" ref="D3035">IFERROR(INDEX(user_table!$C$2:$C3686,MATCH(C3035,user_table!$B$2:$B3686,0)),"")
</f>
        <v>Ani Sari</v>
      </c>
      <c r="E3035" s="6" t="str">
        <f t="array" ref="E3035">IFERROR(INDEX(user_table!$E$2:$E3686,MATCH(C3035,user_table!$B$2:$B3686,0)),"")
</f>
        <v>4, 3</v>
      </c>
      <c r="F3035" s="6" t="str">
        <f t="shared" si="2"/>
        <v>142434114</v>
      </c>
      <c r="G3035" s="21">
        <v>3.0</v>
      </c>
      <c r="H3035" s="3">
        <v>45130.0</v>
      </c>
      <c r="I3035" s="22" t="s">
        <v>2964</v>
      </c>
    </row>
    <row r="3036">
      <c r="A3036" s="5" t="str">
        <f t="array" ref="A3036">INDEX(event_table!$A$2:$A$69, RANDBETWEEN(1, COUNTA(event_table!$A$2:$A$69)))</f>
        <v>1531</v>
      </c>
      <c r="B3036" s="6">
        <f t="array" ref="B3036">IFERROR(INDEX(event_table!$E$1:$E3686,MATCH(A3036,event_table!$A$1:$A3686,0)),"")
</f>
        <v>5</v>
      </c>
      <c r="C3036" s="7">
        <f t="shared" si="1"/>
        <v>128</v>
      </c>
      <c r="D3036" s="6" t="str">
        <f t="array" ref="D3036">IFERROR(INDEX(user_table!$C$2:$C3686,MATCH(C3036,user_table!$B$2:$B3686,0)),"")
</f>
        <v>Bambang Utami</v>
      </c>
      <c r="E3036" s="6" t="str">
        <f t="array" ref="E3036">IFERROR(INDEX(user_table!$E$2:$E3686,MATCH(C3036,user_table!$B$2:$B3686,0)),"")
</f>
        <v>3, 6</v>
      </c>
      <c r="F3036" s="6" t="str">
        <f t="shared" si="2"/>
        <v>153135128</v>
      </c>
      <c r="G3036" s="21">
        <v>3.0</v>
      </c>
      <c r="H3036" s="3">
        <v>45116.0</v>
      </c>
      <c r="I3036" s="22" t="s">
        <v>2965</v>
      </c>
    </row>
    <row r="3037">
      <c r="A3037" s="5" t="str">
        <f t="array" ref="A3037">INDEX(event_table!$A$2:$A$69, RANDBETWEEN(1, COUNTA(event_table!$A$2:$A$69)))</f>
        <v>1645</v>
      </c>
      <c r="B3037" s="6">
        <f t="array" ref="B3037">IFERROR(INDEX(event_table!$E$1:$E3686,MATCH(A3037,event_table!$A$1:$A3686,0)),"")
</f>
        <v>6</v>
      </c>
      <c r="C3037" s="7">
        <f t="shared" si="1"/>
        <v>175</v>
      </c>
      <c r="D3037" s="6" t="str">
        <f t="array" ref="D3037">IFERROR(INDEX(user_table!$C$2:$C3686,MATCH(C3037,user_table!$B$2:$B3686,0)),"")
</f>
        <v>Siti Septiani</v>
      </c>
      <c r="E3037" s="6" t="str">
        <f t="array" ref="E3037">IFERROR(INDEX(user_table!$E$2:$E3686,MATCH(C3037,user_table!$B$2:$B3686,0)),"")
</f>
        <v>2, 5</v>
      </c>
      <c r="F3037" s="6" t="str">
        <f t="shared" si="2"/>
        <v>164526175</v>
      </c>
      <c r="G3037" s="21">
        <v>2.0</v>
      </c>
      <c r="H3037" s="3">
        <v>45188.0</v>
      </c>
      <c r="I3037" s="22" t="s">
        <v>2966</v>
      </c>
    </row>
    <row r="3038">
      <c r="A3038" s="5" t="str">
        <f t="array" ref="A3038">INDEX(event_table!$A$2:$A$69, RANDBETWEEN(1, COUNTA(event_table!$A$2:$A$69)))</f>
        <v>1421</v>
      </c>
      <c r="B3038" s="6">
        <f t="array" ref="B3038">IFERROR(INDEX(event_table!$E$1:$E3686,MATCH(A3038,event_table!$A$1:$A3686,0)),"")
</f>
        <v>4</v>
      </c>
      <c r="C3038" s="7">
        <f t="shared" si="1"/>
        <v>8</v>
      </c>
      <c r="D3038" s="6" t="str">
        <f t="array" ref="D3038">IFERROR(INDEX(user_table!$C$2:$C3686,MATCH(C3038,user_table!$B$2:$B3686,0)),"")
</f>
        <v>Bambang Kurniawan</v>
      </c>
      <c r="E3038" s="6" t="str">
        <f t="array" ref="E3038">IFERROR(INDEX(user_table!$E$2:$E3686,MATCH(C3038,user_table!$B$2:$B3686,0)),"")
</f>
        <v>2, 1</v>
      </c>
      <c r="F3038" s="6" t="str">
        <f t="shared" si="2"/>
        <v>1421248</v>
      </c>
      <c r="G3038" s="21">
        <v>2.0</v>
      </c>
      <c r="H3038" s="3">
        <v>45089.0</v>
      </c>
      <c r="I3038" s="22" t="s">
        <v>2967</v>
      </c>
    </row>
    <row r="3039">
      <c r="A3039" s="5" t="str">
        <f t="array" ref="A3039">INDEX(event_table!$A$2:$A$69, RANDBETWEEN(1, COUNTA(event_table!$A$2:$A$69)))</f>
        <v>3455</v>
      </c>
      <c r="B3039" s="6">
        <f t="array" ref="B3039">IFERROR(INDEX(event_table!$E$1:$E3686,MATCH(A3039,event_table!$A$1:$A3686,0)),"")
</f>
        <v>4</v>
      </c>
      <c r="C3039" s="7">
        <f t="shared" si="1"/>
        <v>68</v>
      </c>
      <c r="D3039" s="6" t="str">
        <f t="array" ref="D3039">IFERROR(INDEX(user_table!$C$2:$C3686,MATCH(C3039,user_table!$B$2:$B3686,0)),"")
</f>
        <v>Wahyu Wijaya</v>
      </c>
      <c r="E3039" s="6" t="str">
        <f t="array" ref="E3039">IFERROR(INDEX(user_table!$E$2:$E3686,MATCH(C3039,user_table!$B$2:$B3686,0)),"")
</f>
        <v>4, 6</v>
      </c>
      <c r="F3039" s="6" t="str">
        <f t="shared" si="2"/>
        <v>34552468</v>
      </c>
      <c r="G3039" s="21">
        <v>2.0</v>
      </c>
      <c r="H3039" s="3">
        <v>44906.0</v>
      </c>
      <c r="I3039" s="22" t="s">
        <v>2968</v>
      </c>
    </row>
    <row r="3040">
      <c r="A3040" s="5" t="str">
        <f t="array" ref="A3040">INDEX(event_table!$A$2:$A$69, RANDBETWEEN(1, COUNTA(event_table!$A$2:$A$69)))</f>
        <v>1526</v>
      </c>
      <c r="B3040" s="6">
        <f t="array" ref="B3040">IFERROR(INDEX(event_table!$E$1:$E3686,MATCH(A3040,event_table!$A$1:$A3686,0)),"")
</f>
        <v>5</v>
      </c>
      <c r="C3040" s="7">
        <f t="shared" si="1"/>
        <v>182</v>
      </c>
      <c r="D3040" s="6" t="str">
        <f t="array" ref="D3040">IFERROR(INDEX(user_table!$C$2:$C3686,MATCH(C3040,user_table!$B$2:$B3686,0)),"")
</f>
        <v>Siti Utami</v>
      </c>
      <c r="E3040" s="6" t="str">
        <f t="array" ref="E3040">IFERROR(INDEX(user_table!$E$2:$E3686,MATCH(C3040,user_table!$B$2:$B3686,0)),"")
</f>
        <v>5, 4</v>
      </c>
      <c r="F3040" s="6" t="str">
        <f t="shared" si="2"/>
        <v>152625182</v>
      </c>
      <c r="G3040" s="21">
        <v>2.0</v>
      </c>
      <c r="H3040" s="3">
        <v>44874.0</v>
      </c>
      <c r="I3040" s="22" t="s">
        <v>2969</v>
      </c>
    </row>
    <row r="3041">
      <c r="A3041" s="5" t="str">
        <f t="array" ref="A3041">INDEX(event_table!$A$2:$A$69, RANDBETWEEN(1, COUNTA(event_table!$A$2:$A$69)))</f>
        <v>117</v>
      </c>
      <c r="B3041" s="6">
        <f t="array" ref="B3041">IFERROR(INDEX(event_table!$E$1:$E3686,MATCH(A3041,event_table!$A$1:$A3686,0)),"")
</f>
        <v>1</v>
      </c>
      <c r="C3041" s="7">
        <f t="shared" si="1"/>
        <v>200</v>
      </c>
      <c r="D3041" s="6" t="str">
        <f t="array" ref="D3041">IFERROR(INDEX(user_table!$C$2:$C3686,MATCH(C3041,user_table!$B$2:$B3686,0)),"")
</f>
        <v>Dina Susanto</v>
      </c>
      <c r="E3041" s="6" t="str">
        <f t="array" ref="E3041">IFERROR(INDEX(user_table!$E$2:$E3686,MATCH(C3041,user_table!$B$2:$B3686,0)),"")
</f>
        <v>5, 4</v>
      </c>
      <c r="F3041" s="6" t="str">
        <f t="shared" si="2"/>
        <v>11721200</v>
      </c>
      <c r="G3041" s="21">
        <v>2.0</v>
      </c>
      <c r="H3041" s="3">
        <v>44834.0</v>
      </c>
      <c r="I3041" s="22" t="s">
        <v>2970</v>
      </c>
    </row>
    <row r="3042">
      <c r="A3042" s="5" t="str">
        <f t="array" ref="A3042">INDEX(event_table!$A$2:$A$69, RANDBETWEEN(1, COUNTA(event_table!$A$2:$A$69)))</f>
        <v>1334</v>
      </c>
      <c r="B3042" s="6">
        <f t="array" ref="B3042">IFERROR(INDEX(event_table!$E$1:$E3686,MATCH(A3042,event_table!$A$1:$A3686,0)),"")
</f>
        <v>3</v>
      </c>
      <c r="C3042" s="7">
        <f t="shared" si="1"/>
        <v>190</v>
      </c>
      <c r="D3042" s="6" t="str">
        <f t="array" ref="D3042">IFERROR(INDEX(user_table!$C$2:$C3686,MATCH(C3042,user_table!$B$2:$B3686,0)),"")
</f>
        <v>Fajar Santoso</v>
      </c>
      <c r="E3042" s="6" t="str">
        <f t="array" ref="E3042">IFERROR(INDEX(user_table!$E$2:$E3686,MATCH(C3042,user_table!$B$2:$B3686,0)),"")
</f>
        <v>1, 3</v>
      </c>
      <c r="F3042" s="6" t="str">
        <f t="shared" si="2"/>
        <v>133423190</v>
      </c>
      <c r="G3042" s="21">
        <v>2.0</v>
      </c>
      <c r="H3042" s="3">
        <v>44827.0</v>
      </c>
      <c r="I3042" s="22" t="s">
        <v>2971</v>
      </c>
    </row>
    <row r="3043">
      <c r="A3043" s="5" t="str">
        <f t="array" ref="A3043">INDEX(event_table!$A$2:$A$69, RANDBETWEEN(1, COUNTA(event_table!$A$2:$A$69)))</f>
        <v>3170</v>
      </c>
      <c r="B3043" s="6">
        <f t="array" ref="B3043">IFERROR(INDEX(event_table!$E$1:$E3686,MATCH(A3043,event_table!$A$1:$A3686,0)),"")
</f>
        <v>1</v>
      </c>
      <c r="C3043" s="7">
        <f t="shared" si="1"/>
        <v>153</v>
      </c>
      <c r="D3043" s="6" t="str">
        <f t="array" ref="D3043">IFERROR(INDEX(user_table!$C$2:$C3686,MATCH(C3043,user_table!$B$2:$B3686,0)),"")
</f>
        <v>Budi Hartono</v>
      </c>
      <c r="E3043" s="6" t="str">
        <f t="array" ref="E3043">IFERROR(INDEX(user_table!$E$2:$E3686,MATCH(C3043,user_table!$B$2:$B3686,0)),"")
</f>
        <v>5, 2</v>
      </c>
      <c r="F3043" s="6" t="str">
        <f t="shared" si="2"/>
        <v>317021153</v>
      </c>
      <c r="G3043" s="21">
        <v>2.0</v>
      </c>
      <c r="H3043" s="3">
        <v>44636.0</v>
      </c>
      <c r="I3043" s="22" t="s">
        <v>2972</v>
      </c>
    </row>
    <row r="3044">
      <c r="A3044" s="5" t="str">
        <f t="array" ref="A3044">INDEX(event_table!$A$2:$A$69, RANDBETWEEN(1, COUNTA(event_table!$A$2:$A$69)))</f>
        <v>1638</v>
      </c>
      <c r="B3044" s="6">
        <f t="array" ref="B3044">IFERROR(INDEX(event_table!$E$1:$E3686,MATCH(A3044,event_table!$A$1:$A3686,0)),"")
</f>
        <v>6</v>
      </c>
      <c r="C3044" s="7">
        <f t="shared" si="1"/>
        <v>45</v>
      </c>
      <c r="D3044" s="6" t="str">
        <f t="array" ref="D3044">IFERROR(INDEX(user_table!$C$2:$C3686,MATCH(C3044,user_table!$B$2:$B3686,0)),"")
</f>
        <v>Siti Kurniawan</v>
      </c>
      <c r="E3044" s="6" t="str">
        <f t="array" ref="E3044">IFERROR(INDEX(user_table!$E$2:$E3686,MATCH(C3044,user_table!$B$2:$B3686,0)),"")
</f>
        <v>1, 1</v>
      </c>
      <c r="F3044" s="6" t="str">
        <f t="shared" si="2"/>
        <v>16382645</v>
      </c>
      <c r="G3044" s="21">
        <v>2.0</v>
      </c>
      <c r="H3044" s="3">
        <v>45188.0</v>
      </c>
      <c r="I3044" s="22" t="s">
        <v>2973</v>
      </c>
    </row>
    <row r="3045">
      <c r="A3045" s="5" t="str">
        <f t="array" ref="A3045">INDEX(event_table!$A$2:$A$69, RANDBETWEEN(1, COUNTA(event_table!$A$2:$A$69)))</f>
        <v>3164</v>
      </c>
      <c r="B3045" s="6">
        <f t="array" ref="B3045">IFERROR(INDEX(event_table!$E$1:$E3686,MATCH(A3045,event_table!$A$1:$A3686,0)),"")
</f>
        <v>1</v>
      </c>
      <c r="C3045" s="7">
        <f t="shared" si="1"/>
        <v>27</v>
      </c>
      <c r="D3045" s="6" t="str">
        <f t="array" ref="D3045">IFERROR(INDEX(user_table!$C$2:$C3686,MATCH(C3045,user_table!$B$2:$B3686,0)),"")
</f>
        <v>Fandi Purnama</v>
      </c>
      <c r="E3045" s="6" t="str">
        <f t="array" ref="E3045">IFERROR(INDEX(user_table!$E$2:$E3686,MATCH(C3045,user_table!$B$2:$B3686,0)),"")
</f>
        <v>4, 6</v>
      </c>
      <c r="F3045" s="6" t="str">
        <f t="shared" si="2"/>
        <v>31642127</v>
      </c>
      <c r="G3045" s="21">
        <v>2.0</v>
      </c>
      <c r="H3045" s="3">
        <v>45089.0</v>
      </c>
      <c r="I3045" s="22" t="s">
        <v>2974</v>
      </c>
    </row>
    <row r="3046">
      <c r="A3046" s="5" t="str">
        <f t="array" ref="A3046">INDEX(event_table!$A$2:$A$69, RANDBETWEEN(1, COUNTA(event_table!$A$2:$A$69)))</f>
        <v>1526</v>
      </c>
      <c r="B3046" s="6">
        <f t="array" ref="B3046">IFERROR(INDEX(event_table!$E$1:$E3686,MATCH(A3046,event_table!$A$1:$A3686,0)),"")
</f>
        <v>5</v>
      </c>
      <c r="C3046" s="7">
        <f t="shared" si="1"/>
        <v>19</v>
      </c>
      <c r="D3046" s="6" t="str">
        <f t="array" ref="D3046">IFERROR(INDEX(user_table!$C$2:$C3686,MATCH(C3046,user_table!$B$2:$B3686,0)),"")
</f>
        <v>Siti Purnama</v>
      </c>
      <c r="E3046" s="6" t="str">
        <f t="array" ref="E3046">IFERROR(INDEX(user_table!$E$2:$E3686,MATCH(C3046,user_table!$B$2:$B3686,0)),"")
</f>
        <v>2, 1</v>
      </c>
      <c r="F3046" s="6" t="str">
        <f t="shared" si="2"/>
        <v>15262519</v>
      </c>
      <c r="G3046" s="21">
        <v>2.0</v>
      </c>
      <c r="H3046" s="3">
        <v>45051.0</v>
      </c>
      <c r="I3046" s="22" t="s">
        <v>2975</v>
      </c>
    </row>
    <row r="3047">
      <c r="A3047" s="5" t="str">
        <f t="array" ref="A3047">INDEX(event_table!$A$2:$A$69, RANDBETWEEN(1, COUNTA(event_table!$A$2:$A$69)))</f>
        <v>1646</v>
      </c>
      <c r="B3047" s="6">
        <f t="array" ref="B3047">IFERROR(INDEX(event_table!$E$1:$E3686,MATCH(A3047,event_table!$A$1:$A3686,0)),"")
</f>
        <v>6</v>
      </c>
      <c r="C3047" s="7">
        <f t="shared" si="1"/>
        <v>24</v>
      </c>
      <c r="D3047" s="6" t="str">
        <f t="array" ref="D3047">IFERROR(INDEX(user_table!$C$2:$C3686,MATCH(C3047,user_table!$B$2:$B3686,0)),"")
</f>
        <v>Andi Septiani</v>
      </c>
      <c r="E3047" s="6" t="str">
        <f t="array" ref="E3047">IFERROR(INDEX(user_table!$E$2:$E3686,MATCH(C3047,user_table!$B$2:$B3686,0)),"")
</f>
        <v>2, 2</v>
      </c>
      <c r="F3047" s="6" t="str">
        <f t="shared" si="2"/>
        <v>16462624</v>
      </c>
      <c r="G3047" s="21">
        <v>2.0</v>
      </c>
      <c r="H3047" s="3">
        <v>45041.0</v>
      </c>
      <c r="I3047" s="22" t="s">
        <v>2976</v>
      </c>
    </row>
    <row r="3048">
      <c r="A3048" s="5" t="str">
        <f t="array" ref="A3048">INDEX(event_table!$A$2:$A$69, RANDBETWEEN(1, COUNTA(event_table!$A$2:$A$69)))</f>
        <v>1530</v>
      </c>
      <c r="B3048" s="6">
        <f t="array" ref="B3048">IFERROR(INDEX(event_table!$E$1:$E3686,MATCH(A3048,event_table!$A$1:$A3686,0)),"")
</f>
        <v>5</v>
      </c>
      <c r="C3048" s="7">
        <f t="shared" si="1"/>
        <v>89</v>
      </c>
      <c r="D3048" s="6" t="str">
        <f t="array" ref="D3048">IFERROR(INDEX(user_table!$C$2:$C3686,MATCH(C3048,user_table!$B$2:$B3686,0)),"")
</f>
        <v>Hadi Wijaya</v>
      </c>
      <c r="E3048" s="6" t="str">
        <f t="array" ref="E3048">IFERROR(INDEX(user_table!$E$2:$E3686,MATCH(C3048,user_table!$B$2:$B3686,0)),"")
</f>
        <v>6, 4</v>
      </c>
      <c r="F3048" s="6" t="str">
        <f t="shared" si="2"/>
        <v>15301589</v>
      </c>
      <c r="G3048" s="21">
        <v>1.0</v>
      </c>
      <c r="H3048" s="3">
        <v>45198.0</v>
      </c>
      <c r="I3048" s="22" t="s">
        <v>2977</v>
      </c>
    </row>
    <row r="3049">
      <c r="A3049" s="5" t="str">
        <f t="array" ref="A3049">INDEX(event_table!$A$2:$A$69, RANDBETWEEN(1, COUNTA(event_table!$A$2:$A$69)))</f>
        <v>1418</v>
      </c>
      <c r="B3049" s="6">
        <f t="array" ref="B3049">IFERROR(INDEX(event_table!$E$1:$E3686,MATCH(A3049,event_table!$A$1:$A3686,0)),"")
</f>
        <v>4</v>
      </c>
      <c r="C3049" s="7">
        <f t="shared" si="1"/>
        <v>183</v>
      </c>
      <c r="D3049" s="6" t="str">
        <f t="array" ref="D3049">IFERROR(INDEX(user_table!$C$2:$C3686,MATCH(C3049,user_table!$B$2:$B3686,0)),"")
</f>
        <v>Siti Nugroho</v>
      </c>
      <c r="E3049" s="6" t="str">
        <f t="array" ref="E3049">IFERROR(INDEX(user_table!$E$2:$E3686,MATCH(C3049,user_table!$B$2:$B3686,0)),"")
</f>
        <v>4, 6</v>
      </c>
      <c r="F3049" s="6" t="str">
        <f t="shared" si="2"/>
        <v>141814183</v>
      </c>
      <c r="G3049" s="21">
        <v>1.0</v>
      </c>
      <c r="H3049" s="3">
        <v>45234.0</v>
      </c>
      <c r="I3049" s="22" t="s">
        <v>2978</v>
      </c>
    </row>
    <row r="3050">
      <c r="A3050" s="5" t="str">
        <f t="array" ref="A3050">INDEX(event_table!$A$2:$A$69, RANDBETWEEN(1, COUNTA(event_table!$A$2:$A$69)))</f>
        <v>111</v>
      </c>
      <c r="B3050" s="6">
        <f t="array" ref="B3050">IFERROR(INDEX(event_table!$E$1:$E3686,MATCH(A3050,event_table!$A$1:$A3686,0)),"")
</f>
        <v>1</v>
      </c>
      <c r="C3050" s="7">
        <f t="shared" si="1"/>
        <v>195</v>
      </c>
      <c r="D3050" s="6" t="str">
        <f t="array" ref="D3050">IFERROR(INDEX(user_table!$C$2:$C3686,MATCH(C3050,user_table!$B$2:$B3686,0)),"")
</f>
        <v>Rudi Purnama</v>
      </c>
      <c r="E3050" s="6" t="str">
        <f t="array" ref="E3050">IFERROR(INDEX(user_table!$E$2:$E3686,MATCH(C3050,user_table!$B$2:$B3686,0)),"")
</f>
        <v>2, 4</v>
      </c>
      <c r="F3050" s="6" t="str">
        <f t="shared" si="2"/>
        <v>11111195</v>
      </c>
      <c r="G3050" s="21">
        <v>1.0</v>
      </c>
      <c r="H3050" s="3">
        <v>45162.0</v>
      </c>
      <c r="I3050" s="22" t="s">
        <v>2979</v>
      </c>
    </row>
    <row r="3051">
      <c r="A3051" s="5" t="str">
        <f t="array" ref="A3051">INDEX(event_table!$A$2:$A$69, RANDBETWEEN(1, COUNTA(event_table!$A$2:$A$69)))</f>
        <v>3169</v>
      </c>
      <c r="B3051" s="6">
        <f t="array" ref="B3051">IFERROR(INDEX(event_table!$E$1:$E3686,MATCH(A3051,event_table!$A$1:$A3686,0)),"")
</f>
        <v>1</v>
      </c>
      <c r="C3051" s="7">
        <f t="shared" si="1"/>
        <v>48</v>
      </c>
      <c r="D3051" s="6" t="str">
        <f t="array" ref="D3051">IFERROR(INDEX(user_table!$C$2:$C3686,MATCH(C3051,user_table!$B$2:$B3686,0)),"")
</f>
        <v>Maya Kusuma</v>
      </c>
      <c r="E3051" s="6" t="str">
        <f t="array" ref="E3051">IFERROR(INDEX(user_table!$E$2:$E3686,MATCH(C3051,user_table!$B$2:$B3686,0)),"")
</f>
        <v>2, 3</v>
      </c>
      <c r="F3051" s="6" t="str">
        <f t="shared" si="2"/>
        <v>31691148</v>
      </c>
      <c r="G3051" s="21">
        <v>1.0</v>
      </c>
      <c r="H3051" s="3">
        <v>45266.0</v>
      </c>
      <c r="I3051" s="22" t="s">
        <v>2980</v>
      </c>
    </row>
    <row r="3052">
      <c r="A3052" s="5" t="str">
        <f t="array" ref="A3052">INDEX(event_table!$A$2:$A$69, RANDBETWEEN(1, COUNTA(event_table!$A$2:$A$69)))</f>
        <v>1519</v>
      </c>
      <c r="B3052" s="6">
        <f t="array" ref="B3052">IFERROR(INDEX(event_table!$E$1:$E3686,MATCH(A3052,event_table!$A$1:$A3686,0)),"")
</f>
        <v>5</v>
      </c>
      <c r="C3052" s="7">
        <f t="shared" si="1"/>
        <v>157</v>
      </c>
      <c r="D3052" s="6" t="str">
        <f t="array" ref="D3052">IFERROR(INDEX(user_table!$C$2:$C3686,MATCH(C3052,user_table!$B$2:$B3686,0)),"")
</f>
        <v>Ani Susanto</v>
      </c>
      <c r="E3052" s="6" t="str">
        <f t="array" ref="E3052">IFERROR(INDEX(user_table!$E$2:$E3686,MATCH(C3052,user_table!$B$2:$B3686,0)),"")
</f>
        <v>4, 1</v>
      </c>
      <c r="F3052" s="6" t="str">
        <f t="shared" si="2"/>
        <v>151915157</v>
      </c>
      <c r="G3052" s="21">
        <v>1.0</v>
      </c>
      <c r="H3052" s="3">
        <v>45191.0</v>
      </c>
      <c r="I3052" s="22" t="s">
        <v>2981</v>
      </c>
    </row>
    <row r="3053">
      <c r="A3053" s="5" t="str">
        <f t="array" ref="A3053">INDEX(event_table!$A$2:$A$69, RANDBETWEEN(1, COUNTA(event_table!$A$2:$A$69)))</f>
        <v>114</v>
      </c>
      <c r="B3053" s="6">
        <f t="array" ref="B3053">IFERROR(INDEX(event_table!$E$1:$E3686,MATCH(A3053,event_table!$A$1:$A3686,0)),"")
</f>
        <v>1</v>
      </c>
      <c r="C3053" s="7">
        <f t="shared" si="1"/>
        <v>15</v>
      </c>
      <c r="D3053" s="6" t="str">
        <f t="array" ref="D3053">IFERROR(INDEX(user_table!$C$2:$C3686,MATCH(C3053,user_table!$B$2:$B3686,0)),"")
</f>
        <v>Arif Kurniawan</v>
      </c>
      <c r="E3053" s="6" t="str">
        <f t="array" ref="E3053">IFERROR(INDEX(user_table!$E$2:$E3686,MATCH(C3053,user_table!$B$2:$B3686,0)),"")
</f>
        <v>3, 1</v>
      </c>
      <c r="F3053" s="6" t="str">
        <f t="shared" si="2"/>
        <v>1141115</v>
      </c>
      <c r="G3053" s="21">
        <v>1.0</v>
      </c>
      <c r="H3053" s="3">
        <v>45098.0</v>
      </c>
      <c r="I3053" s="22" t="s">
        <v>2982</v>
      </c>
    </row>
    <row r="3054">
      <c r="A3054" s="5" t="str">
        <f t="array" ref="A3054">INDEX(event_table!$A$2:$A$69, RANDBETWEEN(1, COUNTA(event_table!$A$2:$A$69)))</f>
        <v>111</v>
      </c>
      <c r="B3054" s="6">
        <f t="array" ref="B3054">IFERROR(INDEX(event_table!$E$1:$E3686,MATCH(A3054,event_table!$A$1:$A3686,0)),"")
</f>
        <v>1</v>
      </c>
      <c r="C3054" s="7">
        <f t="shared" si="1"/>
        <v>190</v>
      </c>
      <c r="D3054" s="6" t="str">
        <f t="array" ref="D3054">IFERROR(INDEX(user_table!$C$2:$C3686,MATCH(C3054,user_table!$B$2:$B3686,0)),"")
</f>
        <v>Fajar Santoso</v>
      </c>
      <c r="E3054" s="6" t="str">
        <f t="array" ref="E3054">IFERROR(INDEX(user_table!$E$2:$E3686,MATCH(C3054,user_table!$B$2:$B3686,0)),"")
</f>
        <v>1, 3</v>
      </c>
      <c r="F3054" s="6" t="str">
        <f t="shared" si="2"/>
        <v>11111190</v>
      </c>
      <c r="G3054" s="21">
        <v>1.0</v>
      </c>
      <c r="H3054" s="3">
        <v>45053.0</v>
      </c>
      <c r="I3054" s="22" t="s">
        <v>2983</v>
      </c>
    </row>
    <row r="3055">
      <c r="A3055" s="5" t="str">
        <f t="array" ref="A3055">INDEX(event_table!$A$2:$A$69, RANDBETWEEN(1, COUNTA(event_table!$A$2:$A$69)))</f>
        <v>1425</v>
      </c>
      <c r="B3055" s="6">
        <f t="array" ref="B3055">IFERROR(INDEX(event_table!$E$1:$E3686,MATCH(A3055,event_table!$A$1:$A3686,0)),"")
</f>
        <v>4</v>
      </c>
      <c r="C3055" s="7">
        <f t="shared" si="1"/>
        <v>38</v>
      </c>
      <c r="D3055" s="6" t="str">
        <f t="array" ref="D3055">IFERROR(INDEX(user_table!$C$2:$C3686,MATCH(C3055,user_table!$B$2:$B3686,0)),"")
</f>
        <v>Maya Utami</v>
      </c>
      <c r="E3055" s="6" t="str">
        <f t="array" ref="E3055">IFERROR(INDEX(user_table!$E$2:$E3686,MATCH(C3055,user_table!$B$2:$B3686,0)),"")
</f>
        <v>2, 1</v>
      </c>
      <c r="F3055" s="6" t="str">
        <f t="shared" si="2"/>
        <v>14251438</v>
      </c>
      <c r="G3055" s="21">
        <v>1.0</v>
      </c>
      <c r="H3055" s="3">
        <v>45041.0</v>
      </c>
      <c r="I3055" s="22" t="s">
        <v>2984</v>
      </c>
    </row>
    <row r="3056">
      <c r="A3056" s="5" t="str">
        <f t="array" ref="A3056">INDEX(event_table!$A$2:$A$69, RANDBETWEEN(1, COUNTA(event_table!$A$2:$A$69)))</f>
        <v>1638</v>
      </c>
      <c r="B3056" s="6">
        <f t="array" ref="B3056">IFERROR(INDEX(event_table!$E$1:$E3686,MATCH(A3056,event_table!$A$1:$A3686,0)),"")
</f>
        <v>6</v>
      </c>
      <c r="C3056" s="7">
        <f t="shared" si="1"/>
        <v>38</v>
      </c>
      <c r="D3056" s="6" t="str">
        <f t="array" ref="D3056">IFERROR(INDEX(user_table!$C$2:$C3686,MATCH(C3056,user_table!$B$2:$B3686,0)),"")
</f>
        <v>Maya Utami</v>
      </c>
      <c r="E3056" s="6" t="str">
        <f t="array" ref="E3056">IFERROR(INDEX(user_table!$E$2:$E3686,MATCH(C3056,user_table!$B$2:$B3686,0)),"")
</f>
        <v>2, 1</v>
      </c>
      <c r="F3056" s="6" t="str">
        <f t="shared" si="2"/>
        <v>16385638</v>
      </c>
      <c r="G3056" s="21">
        <v>5.0</v>
      </c>
      <c r="H3056" s="3">
        <v>44749.0</v>
      </c>
      <c r="I3056" s="22" t="s">
        <v>2985</v>
      </c>
    </row>
    <row r="3057">
      <c r="A3057" s="5" t="str">
        <f t="array" ref="A3057">INDEX(event_table!$A$2:$A$69, RANDBETWEEN(1, COUNTA(event_table!$A$2:$A$69)))</f>
        <v>1526</v>
      </c>
      <c r="B3057" s="6">
        <f t="array" ref="B3057">IFERROR(INDEX(event_table!$E$1:$E3686,MATCH(A3057,event_table!$A$1:$A3686,0)),"")
</f>
        <v>5</v>
      </c>
      <c r="C3057" s="7">
        <f t="shared" si="1"/>
        <v>22</v>
      </c>
      <c r="D3057" s="6" t="str">
        <f t="array" ref="D3057">IFERROR(INDEX(user_table!$C$2:$C3686,MATCH(C3057,user_table!$B$2:$B3686,0)),"")
</f>
        <v>Fajar Wijaya</v>
      </c>
      <c r="E3057" s="6" t="str">
        <f t="array" ref="E3057">IFERROR(INDEX(user_table!$E$2:$E3686,MATCH(C3057,user_table!$B$2:$B3686,0)),"")
</f>
        <v>2, 6</v>
      </c>
      <c r="F3057" s="6" t="str">
        <f t="shared" si="2"/>
        <v>15265522</v>
      </c>
      <c r="G3057" s="21">
        <v>5.0</v>
      </c>
      <c r="H3057" s="3">
        <v>44732.0</v>
      </c>
      <c r="I3057" s="22" t="s">
        <v>2986</v>
      </c>
    </row>
    <row r="3058">
      <c r="A3058" s="5" t="str">
        <f t="array" ref="A3058">INDEX(event_table!$A$2:$A$69, RANDBETWEEN(1, COUNTA(event_table!$A$2:$A$69)))</f>
        <v>111</v>
      </c>
      <c r="B3058" s="6">
        <f t="array" ref="B3058">IFERROR(INDEX(event_table!$E$1:$E3686,MATCH(A3058,event_table!$A$1:$A3686,0)),"")
</f>
        <v>1</v>
      </c>
      <c r="C3058" s="7">
        <f t="shared" si="1"/>
        <v>89</v>
      </c>
      <c r="D3058" s="6" t="str">
        <f t="array" ref="D3058">IFERROR(INDEX(user_table!$C$2:$C3686,MATCH(C3058,user_table!$B$2:$B3686,0)),"")
</f>
        <v>Hadi Wijaya</v>
      </c>
      <c r="E3058" s="6" t="str">
        <f t="array" ref="E3058">IFERROR(INDEX(user_table!$E$2:$E3686,MATCH(C3058,user_table!$B$2:$B3686,0)),"")
</f>
        <v>6, 4</v>
      </c>
      <c r="F3058" s="6" t="str">
        <f t="shared" si="2"/>
        <v>1115189</v>
      </c>
      <c r="G3058" s="21">
        <v>5.0</v>
      </c>
      <c r="H3058" s="3">
        <v>44731.0</v>
      </c>
      <c r="I3058" s="22" t="s">
        <v>2987</v>
      </c>
    </row>
    <row r="3059">
      <c r="A3059" s="5" t="str">
        <f t="array" ref="A3059">INDEX(event_table!$A$2:$A$69, RANDBETWEEN(1, COUNTA(event_table!$A$2:$A$69)))</f>
        <v>3170</v>
      </c>
      <c r="B3059" s="6">
        <f t="array" ref="B3059">IFERROR(INDEX(event_table!$E$1:$E3686,MATCH(A3059,event_table!$A$1:$A3686,0)),"")
</f>
        <v>1</v>
      </c>
      <c r="C3059" s="7">
        <f t="shared" si="1"/>
        <v>106</v>
      </c>
      <c r="D3059" s="6" t="str">
        <f t="array" ref="D3059">IFERROR(INDEX(user_table!$C$2:$C3686,MATCH(C3059,user_table!$B$2:$B3686,0)),"")
</f>
        <v>Budi Hidayat</v>
      </c>
      <c r="E3059" s="6" t="str">
        <f t="array" ref="E3059">IFERROR(INDEX(user_table!$E$2:$E3686,MATCH(C3059,user_table!$B$2:$B3686,0)),"")
</f>
        <v>2, 6</v>
      </c>
      <c r="F3059" s="6" t="str">
        <f t="shared" si="2"/>
        <v>317051106</v>
      </c>
      <c r="G3059" s="21">
        <v>5.0</v>
      </c>
      <c r="H3059" s="3">
        <v>44717.0</v>
      </c>
      <c r="I3059" s="22" t="s">
        <v>2988</v>
      </c>
    </row>
    <row r="3060">
      <c r="A3060" s="5" t="str">
        <f t="array" ref="A3060">INDEX(event_table!$A$2:$A$69, RANDBETWEEN(1, COUNTA(event_table!$A$2:$A$69)))</f>
        <v>3356</v>
      </c>
      <c r="B3060" s="6">
        <f t="array" ref="B3060">IFERROR(INDEX(event_table!$E$1:$E3686,MATCH(A3060,event_table!$A$1:$A3686,0)),"")
</f>
        <v>3</v>
      </c>
      <c r="C3060" s="7">
        <f t="shared" si="1"/>
        <v>176</v>
      </c>
      <c r="D3060" s="6" t="str">
        <f t="array" ref="D3060">IFERROR(INDEX(user_table!$C$2:$C3686,MATCH(C3060,user_table!$B$2:$B3686,0)),"")
</f>
        <v>Ani Hartono</v>
      </c>
      <c r="E3060" s="6" t="str">
        <f t="array" ref="E3060">IFERROR(INDEX(user_table!$E$2:$E3686,MATCH(C3060,user_table!$B$2:$B3686,0)),"")
</f>
        <v>2, 3</v>
      </c>
      <c r="F3060" s="6" t="str">
        <f t="shared" si="2"/>
        <v>335653176</v>
      </c>
      <c r="G3060" s="21">
        <v>5.0</v>
      </c>
      <c r="H3060" s="3">
        <v>44714.0</v>
      </c>
      <c r="I3060" s="22" t="s">
        <v>2989</v>
      </c>
    </row>
    <row r="3061">
      <c r="A3061" s="5" t="str">
        <f t="array" ref="A3061">INDEX(event_table!$A$2:$A$69, RANDBETWEEN(1, COUNTA(event_table!$A$2:$A$69)))</f>
        <v>3162</v>
      </c>
      <c r="B3061" s="6">
        <f t="array" ref="B3061">IFERROR(INDEX(event_table!$E$1:$E3686,MATCH(A3061,event_table!$A$1:$A3686,0)),"")
</f>
        <v>1</v>
      </c>
      <c r="C3061" s="7">
        <f t="shared" si="1"/>
        <v>119</v>
      </c>
      <c r="D3061" s="6" t="str">
        <f t="array" ref="D3061">IFERROR(INDEX(user_table!$C$2:$C3686,MATCH(C3061,user_table!$B$2:$B3686,0)),"")
</f>
        <v>Budi Rahayu</v>
      </c>
      <c r="E3061" s="6" t="str">
        <f t="array" ref="E3061">IFERROR(INDEX(user_table!$E$2:$E3686,MATCH(C3061,user_table!$B$2:$B3686,0)),"")
</f>
        <v>1, 2</v>
      </c>
      <c r="F3061" s="6" t="str">
        <f t="shared" si="2"/>
        <v>316251119</v>
      </c>
      <c r="G3061" s="21">
        <v>5.0</v>
      </c>
      <c r="H3061" s="3">
        <v>44704.0</v>
      </c>
      <c r="I3061" s="22" t="s">
        <v>2990</v>
      </c>
    </row>
    <row r="3062">
      <c r="A3062" s="5" t="str">
        <f t="array" ref="A3062">INDEX(event_table!$A$2:$A$69, RANDBETWEEN(1, COUNTA(event_table!$A$2:$A$69)))</f>
        <v>1531</v>
      </c>
      <c r="B3062" s="6">
        <f t="array" ref="B3062">IFERROR(INDEX(event_table!$E$1:$E3686,MATCH(A3062,event_table!$A$1:$A3686,0)),"")
</f>
        <v>5</v>
      </c>
      <c r="C3062" s="7">
        <f t="shared" si="1"/>
        <v>11</v>
      </c>
      <c r="D3062" s="6" t="str">
        <f t="array" ref="D3062">IFERROR(INDEX(user_table!$C$2:$C3686,MATCH(C3062,user_table!$B$2:$B3686,0)),"")
</f>
        <v>Arif Sari</v>
      </c>
      <c r="E3062" s="6" t="str">
        <f t="array" ref="E3062">IFERROR(INDEX(user_table!$E$2:$E3686,MATCH(C3062,user_table!$B$2:$B3686,0)),"")
</f>
        <v>5, 2</v>
      </c>
      <c r="F3062" s="6" t="str">
        <f t="shared" si="2"/>
        <v>15315511</v>
      </c>
      <c r="G3062" s="21">
        <v>5.0</v>
      </c>
      <c r="H3062" s="3">
        <v>44691.0</v>
      </c>
      <c r="I3062" s="22" t="s">
        <v>2991</v>
      </c>
    </row>
    <row r="3063">
      <c r="A3063" s="5" t="str">
        <f t="array" ref="A3063">INDEX(event_table!$A$2:$A$69, RANDBETWEEN(1, COUNTA(event_table!$A$2:$A$69)))</f>
        <v>1332</v>
      </c>
      <c r="B3063" s="6">
        <f t="array" ref="B3063">IFERROR(INDEX(event_table!$E$1:$E3686,MATCH(A3063,event_table!$A$1:$A3686,0)),"")
</f>
        <v>3</v>
      </c>
      <c r="C3063" s="7">
        <f t="shared" si="1"/>
        <v>153</v>
      </c>
      <c r="D3063" s="6" t="str">
        <f t="array" ref="D3063">IFERROR(INDEX(user_table!$C$2:$C3686,MATCH(C3063,user_table!$B$2:$B3686,0)),"")
</f>
        <v>Budi Hartono</v>
      </c>
      <c r="E3063" s="6" t="str">
        <f t="array" ref="E3063">IFERROR(INDEX(user_table!$E$2:$E3686,MATCH(C3063,user_table!$B$2:$B3686,0)),"")
</f>
        <v>5, 2</v>
      </c>
      <c r="F3063" s="6" t="str">
        <f t="shared" si="2"/>
        <v>133253153</v>
      </c>
      <c r="G3063" s="21">
        <v>5.0</v>
      </c>
      <c r="H3063" s="3">
        <v>44689.0</v>
      </c>
      <c r="I3063" s="22" t="s">
        <v>2992</v>
      </c>
    </row>
    <row r="3064">
      <c r="A3064" s="5" t="str">
        <f t="array" ref="A3064">INDEX(event_table!$A$2:$A$69, RANDBETWEEN(1, COUNTA(event_table!$A$2:$A$69)))</f>
        <v>1641</v>
      </c>
      <c r="B3064" s="6">
        <f t="array" ref="B3064">IFERROR(INDEX(event_table!$E$1:$E3686,MATCH(A3064,event_table!$A$1:$A3686,0)),"")
</f>
        <v>6</v>
      </c>
      <c r="C3064" s="7">
        <f t="shared" si="1"/>
        <v>194</v>
      </c>
      <c r="D3064" s="6" t="str">
        <f t="array" ref="D3064">IFERROR(INDEX(user_table!$C$2:$C3686,MATCH(C3064,user_table!$B$2:$B3686,0)),"")
</f>
        <v>Andi Putri</v>
      </c>
      <c r="E3064" s="6" t="str">
        <f t="array" ref="E3064">IFERROR(INDEX(user_table!$E$2:$E3686,MATCH(C3064,user_table!$B$2:$B3686,0)),"")
</f>
        <v>4, 4</v>
      </c>
      <c r="F3064" s="6" t="str">
        <f t="shared" si="2"/>
        <v>164156194</v>
      </c>
      <c r="G3064" s="21">
        <v>5.0</v>
      </c>
      <c r="H3064" s="3">
        <v>44687.0</v>
      </c>
      <c r="I3064" s="22" t="s">
        <v>2993</v>
      </c>
    </row>
    <row r="3065">
      <c r="A3065" s="5" t="str">
        <f t="array" ref="A3065">INDEX(event_table!$A$2:$A$69, RANDBETWEEN(1, COUNTA(event_table!$A$2:$A$69)))</f>
        <v>1637</v>
      </c>
      <c r="B3065" s="6">
        <f t="array" ref="B3065">IFERROR(INDEX(event_table!$E$1:$E3686,MATCH(A3065,event_table!$A$1:$A3686,0)),"")
</f>
        <v>6</v>
      </c>
      <c r="C3065" s="7">
        <f t="shared" si="1"/>
        <v>199</v>
      </c>
      <c r="D3065" s="6" t="str">
        <f t="array" ref="D3065">IFERROR(INDEX(user_table!$C$2:$C3686,MATCH(C3065,user_table!$B$2:$B3686,0)),"")
</f>
        <v>Rudi Putri</v>
      </c>
      <c r="E3065" s="6" t="str">
        <f t="array" ref="E3065">IFERROR(INDEX(user_table!$E$2:$E3686,MATCH(C3065,user_table!$B$2:$B3686,0)),"")
</f>
        <v>2, 1</v>
      </c>
      <c r="F3065" s="6" t="str">
        <f t="shared" si="2"/>
        <v>163756199</v>
      </c>
      <c r="G3065" s="21">
        <v>5.0</v>
      </c>
      <c r="H3065" s="3">
        <v>44685.0</v>
      </c>
      <c r="I3065" s="22" t="s">
        <v>2994</v>
      </c>
    </row>
    <row r="3066">
      <c r="A3066" s="5" t="str">
        <f t="array" ref="A3066">INDEX(event_table!$A$2:$A$69, RANDBETWEEN(1, COUNTA(event_table!$A$2:$A$69)))</f>
        <v>1651</v>
      </c>
      <c r="B3066" s="6">
        <f t="array" ref="B3066">IFERROR(INDEX(event_table!$E$1:$E3686,MATCH(A3066,event_table!$A$1:$A3686,0)),"")
</f>
        <v>6</v>
      </c>
      <c r="C3066" s="7">
        <f t="shared" si="1"/>
        <v>47</v>
      </c>
      <c r="D3066" s="6" t="str">
        <f t="array" ref="D3066">IFERROR(INDEX(user_table!$C$2:$C3686,MATCH(C3066,user_table!$B$2:$B3686,0)),"")
</f>
        <v>Fandi Kurniawan</v>
      </c>
      <c r="E3066" s="6" t="str">
        <f t="array" ref="E3066">IFERROR(INDEX(user_table!$E$2:$E3686,MATCH(C3066,user_table!$B$2:$B3686,0)),"")
</f>
        <v>5, 6</v>
      </c>
      <c r="F3066" s="6" t="str">
        <f t="shared" si="2"/>
        <v>16515647</v>
      </c>
      <c r="G3066" s="21">
        <v>5.0</v>
      </c>
      <c r="H3066" s="3">
        <v>45129.0</v>
      </c>
      <c r="I3066" s="22" t="s">
        <v>2995</v>
      </c>
    </row>
    <row r="3067">
      <c r="A3067" s="5" t="str">
        <f t="array" ref="A3067">INDEX(event_table!$A$2:$A$69, RANDBETWEEN(1, COUNTA(event_table!$A$2:$A$69)))</f>
        <v>1421</v>
      </c>
      <c r="B3067" s="6">
        <f t="array" ref="B3067">IFERROR(INDEX(event_table!$E$1:$E3686,MATCH(A3067,event_table!$A$1:$A3686,0)),"")
</f>
        <v>4</v>
      </c>
      <c r="C3067" s="7">
        <f t="shared" si="1"/>
        <v>40</v>
      </c>
      <c r="D3067" s="6" t="str">
        <f t="array" ref="D3067">IFERROR(INDEX(user_table!$C$2:$C3686,MATCH(C3067,user_table!$B$2:$B3686,0)),"")
</f>
        <v>Joko Sari</v>
      </c>
      <c r="E3067" s="6" t="str">
        <f t="array" ref="E3067">IFERROR(INDEX(user_table!$E$2:$E3686,MATCH(C3067,user_table!$B$2:$B3686,0)),"")
</f>
        <v>5, 6</v>
      </c>
      <c r="F3067" s="6" t="str">
        <f t="shared" si="2"/>
        <v>14215440</v>
      </c>
      <c r="G3067" s="21">
        <v>5.0</v>
      </c>
      <c r="H3067" s="3">
        <v>45092.0</v>
      </c>
      <c r="I3067" s="22" t="s">
        <v>666</v>
      </c>
    </row>
    <row r="3068">
      <c r="A3068" s="5" t="str">
        <f t="array" ref="A3068">INDEX(event_table!$A$2:$A$69, RANDBETWEEN(1, COUNTA(event_table!$A$2:$A$69)))</f>
        <v>1638</v>
      </c>
      <c r="B3068" s="6">
        <f t="array" ref="B3068">IFERROR(INDEX(event_table!$E$1:$E3686,MATCH(A3068,event_table!$A$1:$A3686,0)),"")
</f>
        <v>6</v>
      </c>
      <c r="C3068" s="7">
        <f t="shared" si="1"/>
        <v>9</v>
      </c>
      <c r="D3068" s="6" t="str">
        <f t="array" ref="D3068">IFERROR(INDEX(user_table!$C$2:$C3686,MATCH(C3068,user_table!$B$2:$B3686,0)),"")
</f>
        <v>Dina Pratama</v>
      </c>
      <c r="E3068" s="6" t="str">
        <f t="array" ref="E3068">IFERROR(INDEX(user_table!$E$2:$E3686,MATCH(C3068,user_table!$B$2:$B3686,0)),"")
</f>
        <v>2, 3</v>
      </c>
      <c r="F3068" s="6" t="str">
        <f t="shared" si="2"/>
        <v>1638569</v>
      </c>
      <c r="G3068" s="21">
        <v>5.0</v>
      </c>
      <c r="H3068" s="3">
        <v>44937.0</v>
      </c>
      <c r="I3068" s="22" t="s">
        <v>2996</v>
      </c>
    </row>
    <row r="3069">
      <c r="A3069" s="5" t="str">
        <f t="array" ref="A3069">INDEX(event_table!$A$2:$A$69, RANDBETWEEN(1, COUNTA(event_table!$A$2:$A$69)))</f>
        <v>1420</v>
      </c>
      <c r="B3069" s="6">
        <f t="array" ref="B3069">IFERROR(INDEX(event_table!$E$1:$E3686,MATCH(A3069,event_table!$A$1:$A3686,0)),"")
</f>
        <v>4</v>
      </c>
      <c r="C3069" s="7">
        <f t="shared" si="1"/>
        <v>164</v>
      </c>
      <c r="D3069" s="6" t="str">
        <f t="array" ref="D3069">IFERROR(INDEX(user_table!$C$2:$C3686,MATCH(C3069,user_table!$B$2:$B3686,0)),"")
</f>
        <v>Bambang Purnama</v>
      </c>
      <c r="E3069" s="6" t="str">
        <f t="array" ref="E3069">IFERROR(INDEX(user_table!$E$2:$E3686,MATCH(C3069,user_table!$B$2:$B3686,0)),"")
</f>
        <v>2, 3</v>
      </c>
      <c r="F3069" s="6" t="str">
        <f t="shared" si="2"/>
        <v>142054164</v>
      </c>
      <c r="G3069" s="21">
        <v>5.0</v>
      </c>
      <c r="H3069" s="3">
        <v>44917.0</v>
      </c>
      <c r="I3069" s="22" t="s">
        <v>2997</v>
      </c>
    </row>
    <row r="3070">
      <c r="A3070" s="5" t="str">
        <f t="array" ref="A3070">INDEX(event_table!$A$2:$A$69, RANDBETWEEN(1, COUNTA(event_table!$A$2:$A$69)))</f>
        <v>1215</v>
      </c>
      <c r="B3070" s="6">
        <f t="array" ref="B3070">IFERROR(INDEX(event_table!$E$1:$E3686,MATCH(A3070,event_table!$A$1:$A3686,0)),"")
</f>
        <v>2</v>
      </c>
      <c r="C3070" s="7">
        <f t="shared" si="1"/>
        <v>180</v>
      </c>
      <c r="D3070" s="6" t="str">
        <f t="array" ref="D3070">IFERROR(INDEX(user_table!$C$2:$C3686,MATCH(C3070,user_table!$B$2:$B3686,0)),"")
</f>
        <v>Andi Susanto</v>
      </c>
      <c r="E3070" s="6" t="str">
        <f t="array" ref="E3070">IFERROR(INDEX(user_table!$E$2:$E3686,MATCH(C3070,user_table!$B$2:$B3686,0)),"")
</f>
        <v>6, 5</v>
      </c>
      <c r="F3070" s="6" t="str">
        <f t="shared" si="2"/>
        <v>121552180</v>
      </c>
      <c r="G3070" s="21">
        <v>5.0</v>
      </c>
      <c r="H3070" s="3">
        <v>44731.0</v>
      </c>
      <c r="I3070" s="22" t="s">
        <v>2998</v>
      </c>
    </row>
    <row r="3071">
      <c r="A3071" s="5" t="str">
        <f t="array" ref="A3071">INDEX(event_table!$A$2:$A$69, RANDBETWEEN(1, COUNTA(event_table!$A$2:$A$69)))</f>
        <v>3166</v>
      </c>
      <c r="B3071" s="6">
        <f t="array" ref="B3071">IFERROR(INDEX(event_table!$E$1:$E3686,MATCH(A3071,event_table!$A$1:$A3686,0)),"")
</f>
        <v>1</v>
      </c>
      <c r="C3071" s="7">
        <f t="shared" si="1"/>
        <v>74</v>
      </c>
      <c r="D3071" s="6" t="str">
        <f t="array" ref="D3071">IFERROR(INDEX(user_table!$C$2:$C3686,MATCH(C3071,user_table!$B$2:$B3686,0)),"")
</f>
        <v>Arif Purnama</v>
      </c>
      <c r="E3071" s="6" t="str">
        <f t="array" ref="E3071">IFERROR(INDEX(user_table!$E$2:$E3686,MATCH(C3071,user_table!$B$2:$B3686,0)),"")
</f>
        <v>3, 2</v>
      </c>
      <c r="F3071" s="6" t="str">
        <f t="shared" si="2"/>
        <v>31665174</v>
      </c>
      <c r="G3071" s="21">
        <v>5.0</v>
      </c>
      <c r="H3071" s="3">
        <v>44718.0</v>
      </c>
      <c r="I3071" s="22" t="s">
        <v>2999</v>
      </c>
    </row>
    <row r="3072">
      <c r="A3072" s="5" t="str">
        <f t="array" ref="A3072">INDEX(event_table!$A$2:$A$69, RANDBETWEEN(1, COUNTA(event_table!$A$2:$A$69)))</f>
        <v>1529</v>
      </c>
      <c r="B3072" s="6">
        <f t="array" ref="B3072">IFERROR(INDEX(event_table!$E$1:$E3686,MATCH(A3072,event_table!$A$1:$A3686,0)),"")
</f>
        <v>5</v>
      </c>
      <c r="C3072" s="7">
        <f t="shared" si="1"/>
        <v>123</v>
      </c>
      <c r="D3072" s="6" t="str">
        <f t="array" ref="D3072">IFERROR(INDEX(user_table!$C$2:$C3686,MATCH(C3072,user_table!$B$2:$B3686,0)),"")
</f>
        <v>Lina Hartono</v>
      </c>
      <c r="E3072" s="6" t="str">
        <f t="array" ref="E3072">IFERROR(INDEX(user_table!$E$2:$E3686,MATCH(C3072,user_table!$B$2:$B3686,0)),"")
</f>
        <v>6, 5</v>
      </c>
      <c r="F3072" s="6" t="str">
        <f t="shared" si="2"/>
        <v>152955123</v>
      </c>
      <c r="G3072" s="21">
        <v>5.0</v>
      </c>
      <c r="H3072" s="3">
        <v>44694.0</v>
      </c>
      <c r="I3072" s="22" t="s">
        <v>3000</v>
      </c>
    </row>
    <row r="3073">
      <c r="A3073" s="5" t="str">
        <f t="array" ref="A3073">INDEX(event_table!$A$2:$A$69, RANDBETWEEN(1, COUNTA(event_table!$A$2:$A$69)))</f>
        <v>113</v>
      </c>
      <c r="B3073" s="6">
        <f t="array" ref="B3073">IFERROR(INDEX(event_table!$E$1:$E3686,MATCH(A3073,event_table!$A$1:$A3686,0)),"")
</f>
        <v>1</v>
      </c>
      <c r="C3073" s="7">
        <f t="shared" si="1"/>
        <v>137</v>
      </c>
      <c r="D3073" s="6" t="str">
        <f t="array" ref="D3073">IFERROR(INDEX(user_table!$C$2:$C3686,MATCH(C3073,user_table!$B$2:$B3686,0)),"")
</f>
        <v>Dina Pratama</v>
      </c>
      <c r="E3073" s="6" t="str">
        <f t="array" ref="E3073">IFERROR(INDEX(user_table!$E$2:$E3686,MATCH(C3073,user_table!$B$2:$B3686,0)),"")
</f>
        <v>4, 4</v>
      </c>
      <c r="F3073" s="6" t="str">
        <f t="shared" si="2"/>
        <v>11351137</v>
      </c>
      <c r="G3073" s="21">
        <v>5.0</v>
      </c>
      <c r="H3073" s="3">
        <v>44694.0</v>
      </c>
      <c r="I3073" s="22" t="s">
        <v>3001</v>
      </c>
    </row>
    <row r="3074">
      <c r="A3074" s="5" t="str">
        <f t="array" ref="A3074">INDEX(event_table!$A$2:$A$69, RANDBETWEEN(1, COUNTA(event_table!$A$2:$A$69)))</f>
        <v>1111</v>
      </c>
      <c r="B3074" s="6">
        <f t="array" ref="B3074">IFERROR(INDEX(event_table!$E$1:$E3686,MATCH(A3074,event_table!$A$1:$A3686,0)),"")
</f>
        <v>1</v>
      </c>
      <c r="C3074" s="7">
        <f t="shared" si="1"/>
        <v>12</v>
      </c>
      <c r="D3074" s="6" t="str">
        <f t="array" ref="D3074">IFERROR(INDEX(user_table!$C$2:$C3686,MATCH(C3074,user_table!$B$2:$B3686,0)),"")
</f>
        <v>Joko Susanto</v>
      </c>
      <c r="E3074" s="6" t="str">
        <f t="array" ref="E3074">IFERROR(INDEX(user_table!$E$2:$E3686,MATCH(C3074,user_table!$B$2:$B3686,0)),"")
</f>
        <v>4, 2</v>
      </c>
      <c r="F3074" s="6" t="str">
        <f t="shared" si="2"/>
        <v>11115112</v>
      </c>
      <c r="G3074" s="21">
        <v>5.0</v>
      </c>
      <c r="H3074" s="3">
        <v>44691.0</v>
      </c>
      <c r="I3074" s="22" t="s">
        <v>3002</v>
      </c>
    </row>
    <row r="3075">
      <c r="A3075" s="5" t="str">
        <f t="array" ref="A3075">INDEX(event_table!$A$2:$A$69, RANDBETWEEN(1, COUNTA(event_table!$A$2:$A$69)))</f>
        <v>1553</v>
      </c>
      <c r="B3075" s="6">
        <f t="array" ref="B3075">IFERROR(INDEX(event_table!$E$1:$E3686,MATCH(A3075,event_table!$A$1:$A3686,0)),"")
</f>
        <v>5</v>
      </c>
      <c r="C3075" s="7">
        <f t="shared" si="1"/>
        <v>125</v>
      </c>
      <c r="D3075" s="6" t="str">
        <f t="array" ref="D3075">IFERROR(INDEX(user_table!$C$2:$C3686,MATCH(C3075,user_table!$B$2:$B3686,0)),"")
</f>
        <v>Fandi Hidayat</v>
      </c>
      <c r="E3075" s="6" t="str">
        <f t="array" ref="E3075">IFERROR(INDEX(user_table!$E$2:$E3686,MATCH(C3075,user_table!$B$2:$B3686,0)),"")
</f>
        <v>5, 2</v>
      </c>
      <c r="F3075" s="6" t="str">
        <f t="shared" si="2"/>
        <v>155345125</v>
      </c>
      <c r="G3075" s="21">
        <v>4.0</v>
      </c>
      <c r="H3075" s="3">
        <v>44841.0</v>
      </c>
      <c r="I3075" s="22" t="s">
        <v>3003</v>
      </c>
    </row>
    <row r="3076">
      <c r="A3076" s="5" t="str">
        <f t="array" ref="A3076">INDEX(event_table!$A$2:$A$69, RANDBETWEEN(1, COUNTA(event_table!$A$2:$A$69)))</f>
        <v>1111</v>
      </c>
      <c r="B3076" s="6">
        <f t="array" ref="B3076">IFERROR(INDEX(event_table!$E$1:$E3686,MATCH(A3076,event_table!$A$1:$A3686,0)),"")
</f>
        <v>1</v>
      </c>
      <c r="C3076" s="7">
        <f t="shared" si="1"/>
        <v>109</v>
      </c>
      <c r="D3076" s="6" t="str">
        <f t="array" ref="D3076">IFERROR(INDEX(user_table!$C$2:$C3686,MATCH(C3076,user_table!$B$2:$B3686,0)),"")
</f>
        <v>Ani Sari</v>
      </c>
      <c r="E3076" s="6" t="str">
        <f t="array" ref="E3076">IFERROR(INDEX(user_table!$E$2:$E3686,MATCH(C3076,user_table!$B$2:$B3686,0)),"")
</f>
        <v>4, 5</v>
      </c>
      <c r="F3076" s="6" t="str">
        <f t="shared" si="2"/>
        <v>111141109</v>
      </c>
      <c r="G3076" s="21">
        <v>4.0</v>
      </c>
      <c r="H3076" s="3">
        <v>44724.0</v>
      </c>
      <c r="I3076" s="22" t="s">
        <v>3004</v>
      </c>
    </row>
    <row r="3077">
      <c r="A3077" s="5" t="str">
        <f t="array" ref="A3077">INDEX(event_table!$A$2:$A$69, RANDBETWEEN(1, COUNTA(event_table!$A$2:$A$69)))</f>
        <v>1332</v>
      </c>
      <c r="B3077" s="6">
        <f t="array" ref="B3077">IFERROR(INDEX(event_table!$E$1:$E3686,MATCH(A3077,event_table!$A$1:$A3686,0)),"")
</f>
        <v>3</v>
      </c>
      <c r="C3077" s="7">
        <f t="shared" si="1"/>
        <v>53</v>
      </c>
      <c r="D3077" s="6" t="str">
        <f t="array" ref="D3077">IFERROR(INDEX(user_table!$C$2:$C3686,MATCH(C3077,user_table!$B$2:$B3686,0)),"")
</f>
        <v>Wahyu Santoso</v>
      </c>
      <c r="E3077" s="6" t="str">
        <f t="array" ref="E3077">IFERROR(INDEX(user_table!$E$2:$E3686,MATCH(C3077,user_table!$B$2:$B3686,0)),"")
</f>
        <v>4, 5</v>
      </c>
      <c r="F3077" s="6" t="str">
        <f t="shared" si="2"/>
        <v>13324353</v>
      </c>
      <c r="G3077" s="21">
        <v>4.0</v>
      </c>
      <c r="H3077" s="3">
        <v>45165.0</v>
      </c>
      <c r="I3077" s="22" t="s">
        <v>3005</v>
      </c>
    </row>
    <row r="3078">
      <c r="A3078" s="5" t="str">
        <f t="array" ref="A3078">INDEX(event_table!$A$2:$A$69, RANDBETWEEN(1, COUNTA(event_table!$A$2:$A$69)))</f>
        <v>1423</v>
      </c>
      <c r="B3078" s="6">
        <f t="array" ref="B3078">IFERROR(INDEX(event_table!$E$1:$E3686,MATCH(A3078,event_table!$A$1:$A3686,0)),"")
</f>
        <v>4</v>
      </c>
      <c r="C3078" s="7">
        <f t="shared" si="1"/>
        <v>51</v>
      </c>
      <c r="D3078" s="6" t="str">
        <f t="array" ref="D3078">IFERROR(INDEX(user_table!$C$2:$C3686,MATCH(C3078,user_table!$B$2:$B3686,0)),"")
</f>
        <v>Fandi Pratama</v>
      </c>
      <c r="E3078" s="6" t="str">
        <f t="array" ref="E3078">IFERROR(INDEX(user_table!$E$2:$E3686,MATCH(C3078,user_table!$B$2:$B3686,0)),"")
</f>
        <v>2, 1</v>
      </c>
      <c r="F3078" s="6" t="str">
        <f t="shared" si="2"/>
        <v>14234451</v>
      </c>
      <c r="G3078" s="21">
        <v>4.0</v>
      </c>
      <c r="H3078" s="3">
        <v>44945.0</v>
      </c>
      <c r="I3078" s="22" t="s">
        <v>3006</v>
      </c>
    </row>
    <row r="3079">
      <c r="A3079" s="5" t="str">
        <f t="array" ref="A3079">INDEX(event_table!$A$2:$A$69, RANDBETWEEN(1, COUNTA(event_table!$A$2:$A$69)))</f>
        <v>1650</v>
      </c>
      <c r="B3079" s="6">
        <f t="array" ref="B3079">IFERROR(INDEX(event_table!$E$1:$E3686,MATCH(A3079,event_table!$A$1:$A3686,0)),"")
</f>
        <v>6</v>
      </c>
      <c r="C3079" s="7">
        <f t="shared" si="1"/>
        <v>138</v>
      </c>
      <c r="D3079" s="6" t="str">
        <f t="array" ref="D3079">IFERROR(INDEX(user_table!$C$2:$C3686,MATCH(C3079,user_table!$B$2:$B3686,0)),"")
</f>
        <v>Joko Hermawan</v>
      </c>
      <c r="E3079" s="6" t="str">
        <f t="array" ref="E3079">IFERROR(INDEX(user_table!$E$2:$E3686,MATCH(C3079,user_table!$B$2:$B3686,0)),"")
</f>
        <v>4, 1</v>
      </c>
      <c r="F3079" s="6" t="str">
        <f t="shared" si="2"/>
        <v>165046138</v>
      </c>
      <c r="G3079" s="21">
        <v>4.0</v>
      </c>
      <c r="H3079" s="3">
        <v>44938.0</v>
      </c>
      <c r="I3079" s="22" t="s">
        <v>3007</v>
      </c>
    </row>
    <row r="3080">
      <c r="A3080" s="5" t="str">
        <f t="array" ref="A3080">INDEX(event_table!$A$2:$A$69, RANDBETWEEN(1, COUNTA(event_table!$A$2:$A$69)))</f>
        <v>115</v>
      </c>
      <c r="B3080" s="6">
        <f t="array" ref="B3080">IFERROR(INDEX(event_table!$E$1:$E3686,MATCH(A3080,event_table!$A$1:$A3686,0)),"")
</f>
        <v>1</v>
      </c>
      <c r="C3080" s="7">
        <f t="shared" si="1"/>
        <v>129</v>
      </c>
      <c r="D3080" s="6" t="str">
        <f t="array" ref="D3080">IFERROR(INDEX(user_table!$C$2:$C3686,MATCH(C3080,user_table!$B$2:$B3686,0)),"")
</f>
        <v>Maya Kusuma</v>
      </c>
      <c r="E3080" s="6" t="str">
        <f t="array" ref="E3080">IFERROR(INDEX(user_table!$E$2:$E3686,MATCH(C3080,user_table!$B$2:$B3686,0)),"")
</f>
        <v>4, 6</v>
      </c>
      <c r="F3080" s="6" t="str">
        <f t="shared" si="2"/>
        <v>11541129</v>
      </c>
      <c r="G3080" s="21">
        <v>4.0</v>
      </c>
      <c r="H3080" s="3">
        <v>44753.0</v>
      </c>
      <c r="I3080" s="22" t="s">
        <v>3008</v>
      </c>
    </row>
    <row r="3081">
      <c r="A3081" s="5" t="str">
        <f t="array" ref="A3081">INDEX(event_table!$A$2:$A$69, RANDBETWEEN(1, COUNTA(event_table!$A$2:$A$69)))</f>
        <v>1642</v>
      </c>
      <c r="B3081" s="6">
        <f t="array" ref="B3081">IFERROR(INDEX(event_table!$E$1:$E3686,MATCH(A3081,event_table!$A$1:$A3686,0)),"")
</f>
        <v>6</v>
      </c>
      <c r="C3081" s="7">
        <f t="shared" si="1"/>
        <v>134</v>
      </c>
      <c r="D3081" s="6" t="str">
        <f t="array" ref="D3081">IFERROR(INDEX(user_table!$C$2:$C3686,MATCH(C3081,user_table!$B$2:$B3686,0)),"")
</f>
        <v>Maya Septiani</v>
      </c>
      <c r="E3081" s="6" t="str">
        <f t="array" ref="E3081">IFERROR(INDEX(user_table!$E$2:$E3686,MATCH(C3081,user_table!$B$2:$B3686,0)),"")
</f>
        <v>2, 4</v>
      </c>
      <c r="F3081" s="6" t="str">
        <f t="shared" si="2"/>
        <v>164246134</v>
      </c>
      <c r="G3081" s="21">
        <v>4.0</v>
      </c>
      <c r="H3081" s="3">
        <v>44752.0</v>
      </c>
      <c r="I3081" s="22" t="s">
        <v>3009</v>
      </c>
    </row>
    <row r="3082">
      <c r="A3082" s="5" t="str">
        <f t="array" ref="A3082">INDEX(event_table!$A$2:$A$69, RANDBETWEEN(1, COUNTA(event_table!$A$2:$A$69)))</f>
        <v>1212</v>
      </c>
      <c r="B3082" s="6">
        <f t="array" ref="B3082">IFERROR(INDEX(event_table!$E$1:$E3686,MATCH(A3082,event_table!$A$1:$A3686,0)),"")
</f>
        <v>2</v>
      </c>
      <c r="C3082" s="7">
        <f t="shared" si="1"/>
        <v>82</v>
      </c>
      <c r="D3082" s="6" t="str">
        <f t="array" ref="D3082">IFERROR(INDEX(user_table!$C$2:$C3686,MATCH(C3082,user_table!$B$2:$B3686,0)),"")
</f>
        <v>Fandi Nurhayati</v>
      </c>
      <c r="E3082" s="6" t="str">
        <f t="array" ref="E3082">IFERROR(INDEX(user_table!$E$2:$E3686,MATCH(C3082,user_table!$B$2:$B3686,0)),"")
</f>
        <v>3, 2</v>
      </c>
      <c r="F3082" s="6" t="str">
        <f t="shared" si="2"/>
        <v>12124282</v>
      </c>
      <c r="G3082" s="21">
        <v>4.0</v>
      </c>
      <c r="H3082" s="3">
        <v>44722.0</v>
      </c>
      <c r="I3082" s="22" t="s">
        <v>3010</v>
      </c>
    </row>
    <row r="3083">
      <c r="A3083" s="5" t="str">
        <f t="array" ref="A3083">INDEX(event_table!$A$2:$A$69, RANDBETWEEN(1, COUNTA(event_table!$A$2:$A$69)))</f>
        <v>3658</v>
      </c>
      <c r="B3083" s="6">
        <f t="array" ref="B3083">IFERROR(INDEX(event_table!$E$1:$E3686,MATCH(A3083,event_table!$A$1:$A3686,0)),"")
</f>
        <v>6</v>
      </c>
      <c r="C3083" s="7">
        <f t="shared" si="1"/>
        <v>48</v>
      </c>
      <c r="D3083" s="6" t="str">
        <f t="array" ref="D3083">IFERROR(INDEX(user_table!$C$2:$C3686,MATCH(C3083,user_table!$B$2:$B3686,0)),"")
</f>
        <v>Maya Kusuma</v>
      </c>
      <c r="E3083" s="6" t="str">
        <f t="array" ref="E3083">IFERROR(INDEX(user_table!$E$2:$E3686,MATCH(C3083,user_table!$B$2:$B3686,0)),"")
</f>
        <v>2, 3</v>
      </c>
      <c r="F3083" s="6" t="str">
        <f t="shared" si="2"/>
        <v>36584648</v>
      </c>
      <c r="G3083" s="21">
        <v>4.0</v>
      </c>
      <c r="H3083" s="3">
        <v>44717.0</v>
      </c>
      <c r="I3083" s="22" t="s">
        <v>3011</v>
      </c>
    </row>
    <row r="3084">
      <c r="A3084" s="5" t="str">
        <f t="array" ref="A3084">INDEX(event_table!$A$2:$A$69, RANDBETWEEN(1, COUNTA(event_table!$A$2:$A$69)))</f>
        <v>1648</v>
      </c>
      <c r="B3084" s="6">
        <f t="array" ref="B3084">IFERROR(INDEX(event_table!$E$1:$E3686,MATCH(A3084,event_table!$A$1:$A3686,0)),"")
</f>
        <v>6</v>
      </c>
      <c r="C3084" s="7">
        <f t="shared" si="1"/>
        <v>157</v>
      </c>
      <c r="D3084" s="6" t="str">
        <f t="array" ref="D3084">IFERROR(INDEX(user_table!$C$2:$C3686,MATCH(C3084,user_table!$B$2:$B3686,0)),"")
</f>
        <v>Ani Susanto</v>
      </c>
      <c r="E3084" s="6" t="str">
        <f t="array" ref="E3084">IFERROR(INDEX(user_table!$E$2:$E3686,MATCH(C3084,user_table!$B$2:$B3686,0)),"")
</f>
        <v>4, 1</v>
      </c>
      <c r="F3084" s="6" t="str">
        <f t="shared" si="2"/>
        <v>164846157</v>
      </c>
      <c r="G3084" s="21">
        <v>4.0</v>
      </c>
      <c r="H3084" s="3">
        <v>44695.0</v>
      </c>
      <c r="I3084" s="22" t="s">
        <v>3012</v>
      </c>
    </row>
    <row r="3085">
      <c r="A3085" s="5" t="str">
        <f t="array" ref="A3085">INDEX(event_table!$A$2:$A$69, RANDBETWEEN(1, COUNTA(event_table!$A$2:$A$69)))</f>
        <v>1553</v>
      </c>
      <c r="B3085" s="6">
        <f t="array" ref="B3085">IFERROR(INDEX(event_table!$E$1:$E3686,MATCH(A3085,event_table!$A$1:$A3686,0)),"")
</f>
        <v>5</v>
      </c>
      <c r="C3085" s="7">
        <f t="shared" si="1"/>
        <v>99</v>
      </c>
      <c r="D3085" s="6" t="str">
        <f t="array" ref="D3085">IFERROR(INDEX(user_table!$C$2:$C3686,MATCH(C3085,user_table!$B$2:$B3686,0)),"")
</f>
        <v>Maya Nugroho</v>
      </c>
      <c r="E3085" s="6" t="str">
        <f t="array" ref="E3085">IFERROR(INDEX(user_table!$E$2:$E3686,MATCH(C3085,user_table!$B$2:$B3686,0)),"")
</f>
        <v>6, 1</v>
      </c>
      <c r="F3085" s="6" t="str">
        <f t="shared" si="2"/>
        <v>15533599</v>
      </c>
      <c r="G3085" s="21">
        <v>3.0</v>
      </c>
      <c r="H3085" s="3">
        <v>45264.0</v>
      </c>
      <c r="I3085" s="22" t="s">
        <v>3013</v>
      </c>
    </row>
    <row r="3086">
      <c r="A3086" s="5" t="str">
        <f t="array" ref="A3086">INDEX(event_table!$A$2:$A$69, RANDBETWEEN(1, COUNTA(event_table!$A$2:$A$69)))</f>
        <v>1638</v>
      </c>
      <c r="B3086" s="6">
        <f t="array" ref="B3086">IFERROR(INDEX(event_table!$E$1:$E3686,MATCH(A3086,event_table!$A$1:$A3686,0)),"")
</f>
        <v>6</v>
      </c>
      <c r="C3086" s="7">
        <f t="shared" si="1"/>
        <v>96</v>
      </c>
      <c r="D3086" s="6" t="str">
        <f t="array" ref="D3086">IFERROR(INDEX(user_table!$C$2:$C3686,MATCH(C3086,user_table!$B$2:$B3686,0)),"")
</f>
        <v>Budi Sari</v>
      </c>
      <c r="E3086" s="6" t="str">
        <f t="array" ref="E3086">IFERROR(INDEX(user_table!$E$2:$E3686,MATCH(C3086,user_table!$B$2:$B3686,0)),"")
</f>
        <v>3, 2</v>
      </c>
      <c r="F3086" s="6" t="str">
        <f t="shared" si="2"/>
        <v>16383696</v>
      </c>
      <c r="G3086" s="21">
        <v>3.0</v>
      </c>
      <c r="H3086" s="3">
        <v>45247.0</v>
      </c>
      <c r="I3086" s="22" t="s">
        <v>3014</v>
      </c>
    </row>
    <row r="3087">
      <c r="A3087" s="5" t="str">
        <f t="array" ref="A3087">INDEX(event_table!$A$2:$A$69, RANDBETWEEN(1, COUNTA(event_table!$A$2:$A$69)))</f>
        <v>1531</v>
      </c>
      <c r="B3087" s="6">
        <f t="array" ref="B3087">IFERROR(INDEX(event_table!$E$1:$E3686,MATCH(A3087,event_table!$A$1:$A3686,0)),"")
</f>
        <v>5</v>
      </c>
      <c r="C3087" s="7">
        <f t="shared" si="1"/>
        <v>23</v>
      </c>
      <c r="D3087" s="6" t="str">
        <f t="array" ref="D3087">IFERROR(INDEX(user_table!$C$2:$C3686,MATCH(C3087,user_table!$B$2:$B3686,0)),"")
</f>
        <v>Fajar Kusuma</v>
      </c>
      <c r="E3087" s="6" t="str">
        <f t="array" ref="E3087">IFERROR(INDEX(user_table!$E$2:$E3686,MATCH(C3087,user_table!$B$2:$B3686,0)),"")
</f>
        <v>4, 1</v>
      </c>
      <c r="F3087" s="6" t="str">
        <f t="shared" si="2"/>
        <v>15313523</v>
      </c>
      <c r="G3087" s="21">
        <v>3.0</v>
      </c>
      <c r="H3087" s="3">
        <v>45241.0</v>
      </c>
      <c r="I3087" s="22" t="s">
        <v>3015</v>
      </c>
    </row>
    <row r="3088">
      <c r="A3088" s="5" t="str">
        <f t="array" ref="A3088">INDEX(event_table!$A$2:$A$69, RANDBETWEEN(1, COUNTA(event_table!$A$2:$A$69)))</f>
        <v>1638</v>
      </c>
      <c r="B3088" s="6">
        <f t="array" ref="B3088">IFERROR(INDEX(event_table!$E$1:$E3686,MATCH(A3088,event_table!$A$1:$A3686,0)),"")
</f>
        <v>6</v>
      </c>
      <c r="C3088" s="7">
        <f t="shared" si="1"/>
        <v>20</v>
      </c>
      <c r="D3088" s="6" t="str">
        <f t="array" ref="D3088">IFERROR(INDEX(user_table!$C$2:$C3686,MATCH(C3088,user_table!$B$2:$B3686,0)),"")
</f>
        <v>Arif Septiani</v>
      </c>
      <c r="E3088" s="6" t="str">
        <f t="array" ref="E3088">IFERROR(INDEX(user_table!$E$2:$E3686,MATCH(C3088,user_table!$B$2:$B3686,0)),"")
</f>
        <v>6, 3</v>
      </c>
      <c r="F3088" s="6" t="str">
        <f t="shared" si="2"/>
        <v>16383620</v>
      </c>
      <c r="G3088" s="21">
        <v>3.0</v>
      </c>
      <c r="H3088" s="3">
        <v>45137.0</v>
      </c>
      <c r="I3088" s="22" t="s">
        <v>3016</v>
      </c>
    </row>
    <row r="3089">
      <c r="A3089" s="5" t="str">
        <f t="array" ref="A3089">INDEX(event_table!$A$2:$A$69, RANDBETWEEN(1, COUNTA(event_table!$A$2:$A$69)))</f>
        <v>113</v>
      </c>
      <c r="B3089" s="6">
        <f t="array" ref="B3089">IFERROR(INDEX(event_table!$E$1:$E3686,MATCH(A3089,event_table!$A$1:$A3686,0)),"")
</f>
        <v>1</v>
      </c>
      <c r="C3089" s="7">
        <f t="shared" si="1"/>
        <v>1</v>
      </c>
      <c r="D3089" s="6" t="str">
        <f t="array" ref="D3089">IFERROR(INDEX(user_table!$C$2:$C3686,MATCH(C3089,user_table!$B$2:$B3686,0)),"")
</f>
        <v>Maya Putri</v>
      </c>
      <c r="E3089" s="6" t="str">
        <f t="array" ref="E3089">IFERROR(INDEX(user_table!$E$2:$E3686,MATCH(C3089,user_table!$B$2:$B3686,0)),"")
</f>
        <v>5, 6</v>
      </c>
      <c r="F3089" s="6" t="str">
        <f t="shared" si="2"/>
        <v>113211</v>
      </c>
      <c r="G3089" s="21">
        <v>2.0</v>
      </c>
      <c r="H3089" s="3">
        <v>45073.0</v>
      </c>
      <c r="I3089" s="22" t="s">
        <v>3017</v>
      </c>
    </row>
    <row r="3090">
      <c r="A3090" s="5" t="str">
        <f t="array" ref="A3090">INDEX(event_table!$A$2:$A$69, RANDBETWEEN(1, COUNTA(event_table!$A$2:$A$69)))</f>
        <v>1423</v>
      </c>
      <c r="B3090" s="6">
        <f t="array" ref="B3090">IFERROR(INDEX(event_table!$E$1:$E3686,MATCH(A3090,event_table!$A$1:$A3686,0)),"")
</f>
        <v>4</v>
      </c>
      <c r="C3090" s="7">
        <f t="shared" si="1"/>
        <v>26</v>
      </c>
      <c r="D3090" s="6" t="str">
        <f t="array" ref="D3090">IFERROR(INDEX(user_table!$C$2:$C3686,MATCH(C3090,user_table!$B$2:$B3686,0)),"")
</f>
        <v>Citra Sari</v>
      </c>
      <c r="E3090" s="6" t="str">
        <f t="array" ref="E3090">IFERROR(INDEX(user_table!$E$2:$E3686,MATCH(C3090,user_table!$B$2:$B3686,0)),"")
</f>
        <v>5, 1</v>
      </c>
      <c r="F3090" s="6" t="str">
        <f t="shared" si="2"/>
        <v>14232426</v>
      </c>
      <c r="G3090" s="21">
        <v>2.0</v>
      </c>
      <c r="H3090" s="3">
        <v>45077.0</v>
      </c>
      <c r="I3090" s="22" t="s">
        <v>3018</v>
      </c>
    </row>
    <row r="3091">
      <c r="A3091" s="5" t="str">
        <f t="array" ref="A3091">INDEX(event_table!$A$2:$A$69, RANDBETWEEN(1, COUNTA(event_table!$A$2:$A$69)))</f>
        <v>1646</v>
      </c>
      <c r="B3091" s="6">
        <f t="array" ref="B3091">IFERROR(INDEX(event_table!$E$1:$E3686,MATCH(A3091,event_table!$A$1:$A3686,0)),"")
</f>
        <v>6</v>
      </c>
      <c r="C3091" s="7">
        <f t="shared" si="1"/>
        <v>155</v>
      </c>
      <c r="D3091" s="6" t="str">
        <f t="array" ref="D3091">IFERROR(INDEX(user_table!$C$2:$C3686,MATCH(C3091,user_table!$B$2:$B3686,0)),"")
</f>
        <v>Sinta Saputra</v>
      </c>
      <c r="E3091" s="6" t="str">
        <f t="array" ref="E3091">IFERROR(INDEX(user_table!$E$2:$E3686,MATCH(C3091,user_table!$B$2:$B3686,0)),"")
</f>
        <v>5, 2</v>
      </c>
      <c r="F3091" s="6" t="str">
        <f t="shared" si="2"/>
        <v>164626155</v>
      </c>
      <c r="G3091" s="21">
        <v>2.0</v>
      </c>
      <c r="H3091" s="3">
        <v>44933.0</v>
      </c>
      <c r="I3091" s="22" t="s">
        <v>3019</v>
      </c>
    </row>
    <row r="3092">
      <c r="A3092" s="5" t="str">
        <f t="array" ref="A3092">INDEX(event_table!$A$2:$A$69, RANDBETWEEN(1, COUNTA(event_table!$A$2:$A$69)))</f>
        <v>3169</v>
      </c>
      <c r="B3092" s="6">
        <f t="array" ref="B3092">IFERROR(INDEX(event_table!$E$1:$E3686,MATCH(A3092,event_table!$A$1:$A3686,0)),"")
</f>
        <v>1</v>
      </c>
      <c r="C3092" s="7">
        <f t="shared" si="1"/>
        <v>11</v>
      </c>
      <c r="D3092" s="6" t="str">
        <f t="array" ref="D3092">IFERROR(INDEX(user_table!$C$2:$C3686,MATCH(C3092,user_table!$B$2:$B3686,0)),"")
</f>
        <v>Arif Sari</v>
      </c>
      <c r="E3092" s="6" t="str">
        <f t="array" ref="E3092">IFERROR(INDEX(user_table!$E$2:$E3686,MATCH(C3092,user_table!$B$2:$B3686,0)),"")
</f>
        <v>5, 2</v>
      </c>
      <c r="F3092" s="6" t="str">
        <f t="shared" si="2"/>
        <v>31692111</v>
      </c>
      <c r="G3092" s="21">
        <v>2.0</v>
      </c>
      <c r="H3092" s="3">
        <v>44931.0</v>
      </c>
      <c r="I3092" s="22" t="s">
        <v>3020</v>
      </c>
    </row>
    <row r="3093">
      <c r="A3093" s="5" t="str">
        <f t="array" ref="A3093">INDEX(event_table!$A$2:$A$69, RANDBETWEEN(1, COUNTA(event_table!$A$2:$A$69)))</f>
        <v>1530</v>
      </c>
      <c r="B3093" s="6">
        <f t="array" ref="B3093">IFERROR(INDEX(event_table!$E$1:$E3686,MATCH(A3093,event_table!$A$1:$A3686,0)),"")
</f>
        <v>5</v>
      </c>
      <c r="C3093" s="7">
        <f t="shared" si="1"/>
        <v>64</v>
      </c>
      <c r="D3093" s="6" t="str">
        <f t="array" ref="D3093">IFERROR(INDEX(user_table!$C$2:$C3686,MATCH(C3093,user_table!$B$2:$B3686,0)),"")
</f>
        <v>Fajar Utami</v>
      </c>
      <c r="E3093" s="6" t="str">
        <f t="array" ref="E3093">IFERROR(INDEX(user_table!$E$2:$E3686,MATCH(C3093,user_table!$B$2:$B3686,0)),"")
</f>
        <v>5, 2</v>
      </c>
      <c r="F3093" s="6" t="str">
        <f t="shared" si="2"/>
        <v>15302564</v>
      </c>
      <c r="G3093" s="21">
        <v>2.0</v>
      </c>
      <c r="H3093" s="3">
        <v>44900.0</v>
      </c>
      <c r="I3093" s="22" t="s">
        <v>3021</v>
      </c>
    </row>
    <row r="3094">
      <c r="A3094" s="5" t="str">
        <f t="array" ref="A3094">INDEX(event_table!$A$2:$A$69, RANDBETWEEN(1, COUNTA(event_table!$A$2:$A$69)))</f>
        <v>3162</v>
      </c>
      <c r="B3094" s="6">
        <f t="array" ref="B3094">IFERROR(INDEX(event_table!$E$1:$E3686,MATCH(A3094,event_table!$A$1:$A3686,0)),"")
</f>
        <v>1</v>
      </c>
      <c r="C3094" s="7">
        <f t="shared" si="1"/>
        <v>106</v>
      </c>
      <c r="D3094" s="6" t="str">
        <f t="array" ref="D3094">IFERROR(INDEX(user_table!$C$2:$C3686,MATCH(C3094,user_table!$B$2:$B3686,0)),"")
</f>
        <v>Budi Hidayat</v>
      </c>
      <c r="E3094" s="6" t="str">
        <f t="array" ref="E3094">IFERROR(INDEX(user_table!$E$2:$E3686,MATCH(C3094,user_table!$B$2:$B3686,0)),"")
</f>
        <v>2, 6</v>
      </c>
      <c r="F3094" s="6" t="str">
        <f t="shared" si="2"/>
        <v>316221106</v>
      </c>
      <c r="G3094" s="21">
        <v>2.0</v>
      </c>
      <c r="H3094" s="3">
        <v>44456.0</v>
      </c>
      <c r="I3094" s="22" t="s">
        <v>3022</v>
      </c>
    </row>
    <row r="3095">
      <c r="A3095" s="5" t="str">
        <f t="array" ref="A3095">INDEX(event_table!$A$2:$A$69, RANDBETWEEN(1, COUNTA(event_table!$A$2:$A$69)))</f>
        <v>1652</v>
      </c>
      <c r="B3095" s="6">
        <f t="array" ref="B3095">IFERROR(INDEX(event_table!$E$1:$E3686,MATCH(A3095,event_table!$A$1:$A3686,0)),"")
</f>
        <v>6</v>
      </c>
      <c r="C3095" s="7">
        <f t="shared" si="1"/>
        <v>122</v>
      </c>
      <c r="D3095" s="6" t="str">
        <f t="array" ref="D3095">IFERROR(INDEX(user_table!$C$2:$C3686,MATCH(C3095,user_table!$B$2:$B3686,0)),"")
</f>
        <v>Maya Setiawan</v>
      </c>
      <c r="E3095" s="6" t="str">
        <f t="array" ref="E3095">IFERROR(INDEX(user_table!$E$2:$E3686,MATCH(C3095,user_table!$B$2:$B3686,0)),"")
</f>
        <v>2, 3</v>
      </c>
      <c r="F3095" s="6" t="str">
        <f t="shared" si="2"/>
        <v>165226122</v>
      </c>
      <c r="G3095" s="21">
        <v>2.0</v>
      </c>
      <c r="H3095" s="3">
        <v>45207.0</v>
      </c>
      <c r="I3095" s="22" t="s">
        <v>3023</v>
      </c>
    </row>
    <row r="3096">
      <c r="A3096" s="5" t="str">
        <f t="array" ref="A3096">INDEX(event_table!$A$2:$A$69, RANDBETWEEN(1, COUNTA(event_table!$A$2:$A$69)))</f>
        <v>1644</v>
      </c>
      <c r="B3096" s="6">
        <f t="array" ref="B3096">IFERROR(INDEX(event_table!$E$1:$E3686,MATCH(A3096,event_table!$A$1:$A3686,0)),"")
</f>
        <v>6</v>
      </c>
      <c r="C3096" s="7">
        <f t="shared" si="1"/>
        <v>83</v>
      </c>
      <c r="D3096" s="6" t="str">
        <f t="array" ref="D3096">IFERROR(INDEX(user_table!$C$2:$C3686,MATCH(C3096,user_table!$B$2:$B3686,0)),"")
</f>
        <v>Sinta Nurhayati</v>
      </c>
      <c r="E3096" s="6" t="str">
        <f t="array" ref="E3096">IFERROR(INDEX(user_table!$E$2:$E3686,MATCH(C3096,user_table!$B$2:$B3686,0)),"")
</f>
        <v>5, 5</v>
      </c>
      <c r="F3096" s="6" t="str">
        <f t="shared" si="2"/>
        <v>16442683</v>
      </c>
      <c r="G3096" s="21">
        <v>2.0</v>
      </c>
      <c r="H3096" s="3">
        <v>45204.0</v>
      </c>
      <c r="I3096" s="22" t="s">
        <v>3024</v>
      </c>
    </row>
    <row r="3097">
      <c r="A3097" s="5" t="str">
        <f t="array" ref="A3097">INDEX(event_table!$A$2:$A$69, RANDBETWEEN(1, COUNTA(event_table!$A$2:$A$69)))</f>
        <v>1333</v>
      </c>
      <c r="B3097" s="6">
        <f t="array" ref="B3097">IFERROR(INDEX(event_table!$E$1:$E3686,MATCH(A3097,event_table!$A$1:$A3686,0)),"")
</f>
        <v>3</v>
      </c>
      <c r="C3097" s="7">
        <f t="shared" si="1"/>
        <v>8</v>
      </c>
      <c r="D3097" s="6" t="str">
        <f t="array" ref="D3097">IFERROR(INDEX(user_table!$C$2:$C3686,MATCH(C3097,user_table!$B$2:$B3686,0)),"")
</f>
        <v>Bambang Kurniawan</v>
      </c>
      <c r="E3097" s="6" t="str">
        <f t="array" ref="E3097">IFERROR(INDEX(user_table!$E$2:$E3686,MATCH(C3097,user_table!$B$2:$B3686,0)),"")
</f>
        <v>2, 1</v>
      </c>
      <c r="F3097" s="6" t="str">
        <f t="shared" si="2"/>
        <v>1333238</v>
      </c>
      <c r="G3097" s="21">
        <v>2.0</v>
      </c>
      <c r="H3097" s="3">
        <v>45193.0</v>
      </c>
      <c r="I3097" s="22" t="s">
        <v>3025</v>
      </c>
    </row>
    <row r="3098">
      <c r="A3098" s="5" t="str">
        <f t="array" ref="A3098">INDEX(event_table!$A$2:$A$69, RANDBETWEEN(1, COUNTA(event_table!$A$2:$A$69)))</f>
        <v>1425</v>
      </c>
      <c r="B3098" s="6">
        <f t="array" ref="B3098">IFERROR(INDEX(event_table!$E$1:$E3686,MATCH(A3098,event_table!$A$1:$A3686,0)),"")
</f>
        <v>4</v>
      </c>
      <c r="C3098" s="7">
        <f t="shared" si="1"/>
        <v>65</v>
      </c>
      <c r="D3098" s="6" t="str">
        <f t="array" ref="D3098">IFERROR(INDEX(user_table!$C$2:$C3686,MATCH(C3098,user_table!$B$2:$B3686,0)),"")
</f>
        <v>Siti Pratama</v>
      </c>
      <c r="E3098" s="6" t="str">
        <f t="array" ref="E3098">IFERROR(INDEX(user_table!$E$2:$E3686,MATCH(C3098,user_table!$B$2:$B3686,0)),"")
</f>
        <v>5, 6</v>
      </c>
      <c r="F3098" s="6" t="str">
        <f t="shared" si="2"/>
        <v>14252465</v>
      </c>
      <c r="G3098" s="21">
        <v>2.0</v>
      </c>
      <c r="H3098" s="3">
        <v>45166.0</v>
      </c>
      <c r="I3098" s="22" t="s">
        <v>3026</v>
      </c>
    </row>
    <row r="3099">
      <c r="A3099" s="5" t="str">
        <f t="array" ref="A3099">INDEX(event_table!$A$2:$A$69, RANDBETWEEN(1, COUNTA(event_table!$A$2:$A$69)))</f>
        <v>1332</v>
      </c>
      <c r="B3099" s="6">
        <f t="array" ref="B3099">IFERROR(INDEX(event_table!$E$1:$E3686,MATCH(A3099,event_table!$A$1:$A3686,0)),"")
</f>
        <v>3</v>
      </c>
      <c r="C3099" s="7">
        <f t="shared" si="1"/>
        <v>49</v>
      </c>
      <c r="D3099" s="6" t="str">
        <f t="array" ref="D3099">IFERROR(INDEX(user_table!$C$2:$C3686,MATCH(C3099,user_table!$B$2:$B3686,0)),"")
</f>
        <v>Fajar Hidayat</v>
      </c>
      <c r="E3099" s="6" t="str">
        <f t="array" ref="E3099">IFERROR(INDEX(user_table!$E$2:$E3686,MATCH(C3099,user_table!$B$2:$B3686,0)),"")
</f>
        <v>3, 1</v>
      </c>
      <c r="F3099" s="6" t="str">
        <f t="shared" si="2"/>
        <v>13322349</v>
      </c>
      <c r="G3099" s="21">
        <v>2.0</v>
      </c>
      <c r="H3099" s="3">
        <v>45079.0</v>
      </c>
      <c r="I3099" s="22" t="s">
        <v>3027</v>
      </c>
    </row>
    <row r="3100">
      <c r="A3100" s="5" t="str">
        <f t="array" ref="A3100">INDEX(event_table!$A$2:$A$69, RANDBETWEEN(1, COUNTA(event_table!$A$2:$A$69)))</f>
        <v>1648</v>
      </c>
      <c r="B3100" s="6">
        <f t="array" ref="B3100">IFERROR(INDEX(event_table!$E$1:$E3686,MATCH(A3100,event_table!$A$1:$A3686,0)),"")
</f>
        <v>6</v>
      </c>
      <c r="C3100" s="7">
        <f t="shared" si="1"/>
        <v>99</v>
      </c>
      <c r="D3100" s="6" t="str">
        <f t="array" ref="D3100">IFERROR(INDEX(user_table!$C$2:$C3686,MATCH(C3100,user_table!$B$2:$B3686,0)),"")
</f>
        <v>Maya Nugroho</v>
      </c>
      <c r="E3100" s="6" t="str">
        <f t="array" ref="E3100">IFERROR(INDEX(user_table!$E$2:$E3686,MATCH(C3100,user_table!$B$2:$B3686,0)),"")
</f>
        <v>6, 1</v>
      </c>
      <c r="F3100" s="6" t="str">
        <f t="shared" si="2"/>
        <v>16481699</v>
      </c>
      <c r="G3100" s="21">
        <v>1.0</v>
      </c>
      <c r="H3100" s="3">
        <v>45248.0</v>
      </c>
      <c r="I3100" s="22" t="s">
        <v>3028</v>
      </c>
    </row>
    <row r="3101">
      <c r="A3101" s="5" t="str">
        <f t="array" ref="A3101">INDEX(event_table!$A$2:$A$69, RANDBETWEEN(1, COUNTA(event_table!$A$2:$A$69)))</f>
        <v>1530</v>
      </c>
      <c r="B3101" s="6">
        <f t="array" ref="B3101">IFERROR(INDEX(event_table!$E$1:$E3686,MATCH(A3101,event_table!$A$1:$A3686,0)),"")
</f>
        <v>5</v>
      </c>
      <c r="C3101" s="7">
        <f t="shared" si="1"/>
        <v>157</v>
      </c>
      <c r="D3101" s="6" t="str">
        <f t="array" ref="D3101">IFERROR(INDEX(user_table!$C$2:$C3686,MATCH(C3101,user_table!$B$2:$B3686,0)),"")
</f>
        <v>Ani Susanto</v>
      </c>
      <c r="E3101" s="6" t="str">
        <f t="array" ref="E3101">IFERROR(INDEX(user_table!$E$2:$E3686,MATCH(C3101,user_table!$B$2:$B3686,0)),"")
</f>
        <v>4, 1</v>
      </c>
      <c r="F3101" s="6" t="str">
        <f t="shared" si="2"/>
        <v>153015157</v>
      </c>
      <c r="G3101" s="21">
        <v>1.0</v>
      </c>
      <c r="H3101" s="3">
        <v>45228.0</v>
      </c>
      <c r="I3101" s="22" t="s">
        <v>3029</v>
      </c>
    </row>
    <row r="3102">
      <c r="A3102" s="5" t="str">
        <f t="array" ref="A3102">INDEX(event_table!$A$2:$A$69, RANDBETWEEN(1, COUNTA(event_table!$A$2:$A$69)))</f>
        <v>1424</v>
      </c>
      <c r="B3102" s="6">
        <f t="array" ref="B3102">IFERROR(INDEX(event_table!$E$1:$E3686,MATCH(A3102,event_table!$A$1:$A3686,0)),"")
</f>
        <v>4</v>
      </c>
      <c r="C3102" s="7">
        <f t="shared" si="1"/>
        <v>117</v>
      </c>
      <c r="D3102" s="6" t="str">
        <f t="array" ref="D3102">IFERROR(INDEX(user_table!$C$2:$C3686,MATCH(C3102,user_table!$B$2:$B3686,0)),"")
</f>
        <v>Wahyu Sari</v>
      </c>
      <c r="E3102" s="6" t="str">
        <f t="array" ref="E3102">IFERROR(INDEX(user_table!$E$2:$E3686,MATCH(C3102,user_table!$B$2:$B3686,0)),"")
</f>
        <v>4, 2</v>
      </c>
      <c r="F3102" s="6" t="str">
        <f t="shared" si="2"/>
        <v>142414117</v>
      </c>
      <c r="G3102" s="21">
        <v>1.0</v>
      </c>
      <c r="H3102" s="3">
        <v>45144.0</v>
      </c>
      <c r="I3102" s="22" t="s">
        <v>3030</v>
      </c>
    </row>
    <row r="3103">
      <c r="A3103" s="5" t="str">
        <f t="array" ref="A3103">INDEX(event_table!$A$2:$A$69, RANDBETWEEN(1, COUNTA(event_table!$A$2:$A$69)))</f>
        <v>116</v>
      </c>
      <c r="B3103" s="6">
        <f t="array" ref="B3103">IFERROR(INDEX(event_table!$E$1:$E3686,MATCH(A3103,event_table!$A$1:$A3686,0)),"")
</f>
        <v>1</v>
      </c>
      <c r="C3103" s="7">
        <f t="shared" si="1"/>
        <v>152</v>
      </c>
      <c r="D3103" s="6" t="str">
        <f t="array" ref="D3103">IFERROR(INDEX(user_table!$C$2:$C3686,MATCH(C3103,user_table!$B$2:$B3686,0)),"")
</f>
        <v>Budi Kurniawan</v>
      </c>
      <c r="E3103" s="6" t="str">
        <f t="array" ref="E3103">IFERROR(INDEX(user_table!$E$2:$E3686,MATCH(C3103,user_table!$B$2:$B3686,0)),"")
</f>
        <v>5, 5</v>
      </c>
      <c r="F3103" s="6" t="str">
        <f t="shared" si="2"/>
        <v>11611152</v>
      </c>
      <c r="G3103" s="21">
        <v>1.0</v>
      </c>
      <c r="H3103" s="3">
        <v>45144.0</v>
      </c>
      <c r="I3103" s="22" t="s">
        <v>3031</v>
      </c>
    </row>
    <row r="3104">
      <c r="A3104" s="5" t="str">
        <f t="array" ref="A3104">INDEX(event_table!$A$2:$A$69, RANDBETWEEN(1, COUNTA(event_table!$A$2:$A$69)))</f>
        <v>1530</v>
      </c>
      <c r="B3104" s="6">
        <f t="array" ref="B3104">IFERROR(INDEX(event_table!$E$1:$E3686,MATCH(A3104,event_table!$A$1:$A3686,0)),"")
</f>
        <v>5</v>
      </c>
      <c r="C3104" s="7">
        <f t="shared" si="1"/>
        <v>53</v>
      </c>
      <c r="D3104" s="6" t="str">
        <f t="array" ref="D3104">IFERROR(INDEX(user_table!$C$2:$C3686,MATCH(C3104,user_table!$B$2:$B3686,0)),"")
</f>
        <v>Wahyu Santoso</v>
      </c>
      <c r="E3104" s="6" t="str">
        <f t="array" ref="E3104">IFERROR(INDEX(user_table!$E$2:$E3686,MATCH(C3104,user_table!$B$2:$B3686,0)),"")
</f>
        <v>4, 5</v>
      </c>
      <c r="F3104" s="6" t="str">
        <f t="shared" si="2"/>
        <v>15301553</v>
      </c>
      <c r="G3104" s="21">
        <v>1.0</v>
      </c>
      <c r="H3104" s="3">
        <v>45142.0</v>
      </c>
      <c r="I3104" s="22" t="s">
        <v>3032</v>
      </c>
    </row>
    <row r="3105">
      <c r="A3105" s="5" t="str">
        <f t="array" ref="A3105">INDEX(event_table!$A$2:$A$69, RANDBETWEEN(1, COUNTA(event_table!$A$2:$A$69)))</f>
        <v>3169</v>
      </c>
      <c r="B3105" s="6">
        <f t="array" ref="B3105">IFERROR(INDEX(event_table!$E$1:$E3686,MATCH(A3105,event_table!$A$1:$A3686,0)),"")
</f>
        <v>1</v>
      </c>
      <c r="C3105" s="7">
        <f t="shared" si="1"/>
        <v>62</v>
      </c>
      <c r="D3105" s="6" t="str">
        <f t="array" ref="D3105">IFERROR(INDEX(user_table!$C$2:$C3686,MATCH(C3105,user_table!$B$2:$B3686,0)),"")
</f>
        <v>Joko Sari</v>
      </c>
      <c r="E3105" s="6" t="str">
        <f t="array" ref="E3105">IFERROR(INDEX(user_table!$E$2:$E3686,MATCH(C3105,user_table!$B$2:$B3686,0)),"")
</f>
        <v>6, 1</v>
      </c>
      <c r="F3105" s="6" t="str">
        <f t="shared" si="2"/>
        <v>31691162</v>
      </c>
      <c r="G3105" s="21">
        <v>1.0</v>
      </c>
      <c r="H3105" s="3">
        <v>45091.0</v>
      </c>
      <c r="I3105" s="22" t="s">
        <v>3033</v>
      </c>
    </row>
    <row r="3106">
      <c r="A3106" s="5" t="str">
        <f t="array" ref="A3106">INDEX(event_table!$A$2:$A$69, RANDBETWEEN(1, COUNTA(event_table!$A$2:$A$69)))</f>
        <v>1638</v>
      </c>
      <c r="B3106" s="6">
        <f t="array" ref="B3106">IFERROR(INDEX(event_table!$E$1:$E3686,MATCH(A3106,event_table!$A$1:$A3686,0)),"")
</f>
        <v>6</v>
      </c>
      <c r="C3106" s="7">
        <f t="shared" si="1"/>
        <v>159</v>
      </c>
      <c r="D3106" s="6" t="str">
        <f t="array" ref="D3106">IFERROR(INDEX(user_table!$C$2:$C3686,MATCH(C3106,user_table!$B$2:$B3686,0)),"")
</f>
        <v>Rudi Santoso</v>
      </c>
      <c r="E3106" s="6" t="str">
        <f t="array" ref="E3106">IFERROR(INDEX(user_table!$E$2:$E3686,MATCH(C3106,user_table!$B$2:$B3686,0)),"")
</f>
        <v>5, 1</v>
      </c>
      <c r="F3106" s="6" t="str">
        <f t="shared" si="2"/>
        <v>163816159</v>
      </c>
      <c r="G3106" s="21">
        <v>1.0</v>
      </c>
      <c r="H3106" s="3">
        <v>45088.0</v>
      </c>
      <c r="I3106" s="22" t="s">
        <v>3034</v>
      </c>
    </row>
    <row r="3107">
      <c r="A3107" s="5" t="str">
        <f t="array" ref="A3107">INDEX(event_table!$A$2:$A$69, RANDBETWEEN(1, COUNTA(event_table!$A$2:$A$69)))</f>
        <v>3455</v>
      </c>
      <c r="B3107" s="6">
        <f t="array" ref="B3107">IFERROR(INDEX(event_table!$E$1:$E3686,MATCH(A3107,event_table!$A$1:$A3686,0)),"")
</f>
        <v>4</v>
      </c>
      <c r="C3107" s="7">
        <f t="shared" si="1"/>
        <v>111</v>
      </c>
      <c r="D3107" s="6" t="str">
        <f t="array" ref="D3107">IFERROR(INDEX(user_table!$C$2:$C3686,MATCH(C3107,user_table!$B$2:$B3686,0)),"")
</f>
        <v>Hadi Kurniawan</v>
      </c>
      <c r="E3107" s="6" t="str">
        <f t="array" ref="E3107">IFERROR(INDEX(user_table!$E$2:$E3686,MATCH(C3107,user_table!$B$2:$B3686,0)),"")
</f>
        <v>3, 4</v>
      </c>
      <c r="F3107" s="6" t="str">
        <f t="shared" si="2"/>
        <v>345514111</v>
      </c>
      <c r="G3107" s="21">
        <v>1.0</v>
      </c>
      <c r="H3107" s="3">
        <v>45044.0</v>
      </c>
      <c r="I3107" s="22" t="s">
        <v>3035</v>
      </c>
    </row>
    <row r="3108">
      <c r="A3108" s="5" t="str">
        <f t="array" ref="A3108">INDEX(event_table!$A$2:$A$69, RANDBETWEEN(1, COUNTA(event_table!$A$2:$A$69)))</f>
        <v>1333</v>
      </c>
      <c r="B3108" s="6">
        <f t="array" ref="B3108">IFERROR(INDEX(event_table!$E$1:$E3686,MATCH(A3108,event_table!$A$1:$A3686,0)),"")
</f>
        <v>3</v>
      </c>
      <c r="C3108" s="7">
        <f t="shared" si="1"/>
        <v>81</v>
      </c>
      <c r="D3108" s="6" t="str">
        <f t="array" ref="D3108">IFERROR(INDEX(user_table!$C$2:$C3686,MATCH(C3108,user_table!$B$2:$B3686,0)),"")
</f>
        <v>Lina Rahayu</v>
      </c>
      <c r="E3108" s="6" t="str">
        <f t="array" ref="E3108">IFERROR(INDEX(user_table!$E$2:$E3686,MATCH(C3108,user_table!$B$2:$B3686,0)),"")
</f>
        <v>2, 1</v>
      </c>
      <c r="F3108" s="6" t="str">
        <f t="shared" si="2"/>
        <v>13331381</v>
      </c>
      <c r="G3108" s="21">
        <v>1.0</v>
      </c>
      <c r="H3108" s="3">
        <v>45018.0</v>
      </c>
      <c r="I3108" s="22" t="s">
        <v>3036</v>
      </c>
    </row>
    <row r="3109">
      <c r="A3109" s="5" t="str">
        <f t="array" ref="A3109">INDEX(event_table!$A$2:$A$69, RANDBETWEEN(1, COUNTA(event_table!$A$2:$A$69)))</f>
        <v>3166</v>
      </c>
      <c r="B3109" s="6">
        <f t="array" ref="B3109">IFERROR(INDEX(event_table!$E$1:$E3686,MATCH(A3109,event_table!$A$1:$A3686,0)),"")
</f>
        <v>1</v>
      </c>
      <c r="C3109" s="7">
        <f t="shared" si="1"/>
        <v>97</v>
      </c>
      <c r="D3109" s="6" t="str">
        <f t="array" ref="D3109">IFERROR(INDEX(user_table!$C$2:$C3686,MATCH(C3109,user_table!$B$2:$B3686,0)),"")
</f>
        <v>Dewi Hidayat</v>
      </c>
      <c r="E3109" s="6" t="str">
        <f t="array" ref="E3109">IFERROR(INDEX(user_table!$E$2:$E3686,MATCH(C3109,user_table!$B$2:$B3686,0)),"")
</f>
        <v>2, 2</v>
      </c>
      <c r="F3109" s="6" t="str">
        <f t="shared" si="2"/>
        <v>31665197</v>
      </c>
      <c r="G3109" s="21">
        <v>5.0</v>
      </c>
      <c r="H3109" s="3">
        <v>44748.0</v>
      </c>
      <c r="I3109" s="22" t="s">
        <v>3037</v>
      </c>
    </row>
    <row r="3110">
      <c r="A3110" s="5" t="str">
        <f t="array" ref="A3110">INDEX(event_table!$A$2:$A$69, RANDBETWEEN(1, COUNTA(event_table!$A$2:$A$69)))</f>
        <v>1646</v>
      </c>
      <c r="B3110" s="6">
        <f t="array" ref="B3110">IFERROR(INDEX(event_table!$E$1:$E3686,MATCH(A3110,event_table!$A$1:$A3686,0)),"")
</f>
        <v>6</v>
      </c>
      <c r="C3110" s="7">
        <f t="shared" si="1"/>
        <v>114</v>
      </c>
      <c r="D3110" s="6" t="str">
        <f t="array" ref="D3110">IFERROR(INDEX(user_table!$C$2:$C3686,MATCH(C3110,user_table!$B$2:$B3686,0)),"")
</f>
        <v>Ani Sari</v>
      </c>
      <c r="E3110" s="6" t="str">
        <f t="array" ref="E3110">IFERROR(INDEX(user_table!$E$2:$E3686,MATCH(C3110,user_table!$B$2:$B3686,0)),"")
</f>
        <v>4, 3</v>
      </c>
      <c r="F3110" s="6" t="str">
        <f t="shared" si="2"/>
        <v>164656114</v>
      </c>
      <c r="G3110" s="21">
        <v>5.0</v>
      </c>
      <c r="H3110" s="3">
        <v>44746.0</v>
      </c>
      <c r="I3110" s="22" t="s">
        <v>3038</v>
      </c>
    </row>
    <row r="3111">
      <c r="A3111" s="5" t="str">
        <f t="array" ref="A3111">INDEX(event_table!$A$2:$A$69, RANDBETWEEN(1, COUNTA(event_table!$A$2:$A$69)))</f>
        <v>1427</v>
      </c>
      <c r="B3111" s="6">
        <f t="array" ref="B3111">IFERROR(INDEX(event_table!$E$1:$E3686,MATCH(A3111,event_table!$A$1:$A3686,0)),"")
</f>
        <v>4</v>
      </c>
      <c r="C3111" s="7">
        <f t="shared" si="1"/>
        <v>16</v>
      </c>
      <c r="D3111" s="6" t="str">
        <f t="array" ref="D3111">IFERROR(INDEX(user_table!$C$2:$C3686,MATCH(C3111,user_table!$B$2:$B3686,0)),"")
</f>
        <v>Siti Utami</v>
      </c>
      <c r="E3111" s="6" t="str">
        <f t="array" ref="E3111">IFERROR(INDEX(user_table!$E$2:$E3686,MATCH(C3111,user_table!$B$2:$B3686,0)),"")
</f>
        <v>1, 2</v>
      </c>
      <c r="F3111" s="6" t="str">
        <f t="shared" si="2"/>
        <v>14275416</v>
      </c>
      <c r="G3111" s="21">
        <v>5.0</v>
      </c>
      <c r="H3111" s="3">
        <v>44726.0</v>
      </c>
      <c r="I3111" s="22" t="s">
        <v>3039</v>
      </c>
    </row>
    <row r="3112">
      <c r="A3112" s="5" t="str">
        <f t="array" ref="A3112">INDEX(event_table!$A$2:$A$69, RANDBETWEEN(1, COUNTA(event_table!$A$2:$A$69)))</f>
        <v>3658</v>
      </c>
      <c r="B3112" s="6">
        <f t="array" ref="B3112">IFERROR(INDEX(event_table!$E$1:$E3686,MATCH(A3112,event_table!$A$1:$A3686,0)),"")
</f>
        <v>6</v>
      </c>
      <c r="C3112" s="7">
        <f t="shared" si="1"/>
        <v>129</v>
      </c>
      <c r="D3112" s="6" t="str">
        <f t="array" ref="D3112">IFERROR(INDEX(user_table!$C$2:$C3686,MATCH(C3112,user_table!$B$2:$B3686,0)),"")
</f>
        <v>Maya Kusuma</v>
      </c>
      <c r="E3112" s="6" t="str">
        <f t="array" ref="E3112">IFERROR(INDEX(user_table!$E$2:$E3686,MATCH(C3112,user_table!$B$2:$B3686,0)),"")
</f>
        <v>4, 6</v>
      </c>
      <c r="F3112" s="6" t="str">
        <f t="shared" si="2"/>
        <v>365856129</v>
      </c>
      <c r="G3112" s="21">
        <v>5.0</v>
      </c>
      <c r="H3112" s="3">
        <v>44718.0</v>
      </c>
      <c r="I3112" s="22" t="s">
        <v>3040</v>
      </c>
    </row>
    <row r="3113">
      <c r="A3113" s="5" t="str">
        <f t="array" ref="A3113">INDEX(event_table!$A$2:$A$69, RANDBETWEEN(1, COUNTA(event_table!$A$2:$A$69)))</f>
        <v>1645</v>
      </c>
      <c r="B3113" s="6">
        <f t="array" ref="B3113">IFERROR(INDEX(event_table!$E$1:$E3686,MATCH(A3113,event_table!$A$1:$A3686,0)),"")
</f>
        <v>6</v>
      </c>
      <c r="C3113" s="7">
        <f t="shared" si="1"/>
        <v>2</v>
      </c>
      <c r="D3113" s="6" t="str">
        <f t="array" ref="D3113">IFERROR(INDEX(user_table!$C$2:$C3686,MATCH(C3113,user_table!$B$2:$B3686,0)),"")
</f>
        <v>Dian Putri</v>
      </c>
      <c r="E3113" s="6" t="str">
        <f t="array" ref="E3113">IFERROR(INDEX(user_table!$E$2:$E3686,MATCH(C3113,user_table!$B$2:$B3686,0)),"")
</f>
        <v>1, 6</v>
      </c>
      <c r="F3113" s="6" t="str">
        <f t="shared" si="2"/>
        <v>1645562</v>
      </c>
      <c r="G3113" s="21">
        <v>5.0</v>
      </c>
      <c r="H3113" s="3">
        <v>44714.0</v>
      </c>
      <c r="I3113" s="22" t="s">
        <v>3041</v>
      </c>
    </row>
    <row r="3114">
      <c r="A3114" s="5" t="str">
        <f t="array" ref="A3114">INDEX(event_table!$A$2:$A$69, RANDBETWEEN(1, COUNTA(event_table!$A$2:$A$69)))</f>
        <v>1110</v>
      </c>
      <c r="B3114" s="6">
        <f t="array" ref="B3114">IFERROR(INDEX(event_table!$E$1:$E3686,MATCH(A3114,event_table!$A$1:$A3686,0)),"")
</f>
        <v>1</v>
      </c>
      <c r="C3114" s="7">
        <f t="shared" si="1"/>
        <v>47</v>
      </c>
      <c r="D3114" s="6" t="str">
        <f t="array" ref="D3114">IFERROR(INDEX(user_table!$C$2:$C3686,MATCH(C3114,user_table!$B$2:$B3686,0)),"")
</f>
        <v>Fandi Kurniawan</v>
      </c>
      <c r="E3114" s="6" t="str">
        <f t="array" ref="E3114">IFERROR(INDEX(user_table!$E$2:$E3686,MATCH(C3114,user_table!$B$2:$B3686,0)),"")
</f>
        <v>5, 6</v>
      </c>
      <c r="F3114" s="6" t="str">
        <f t="shared" si="2"/>
        <v>11105147</v>
      </c>
      <c r="G3114" s="21">
        <v>5.0</v>
      </c>
      <c r="H3114" s="3">
        <v>44713.0</v>
      </c>
      <c r="I3114" s="22" t="s">
        <v>3042</v>
      </c>
    </row>
    <row r="3115">
      <c r="A3115" s="5" t="str">
        <f t="array" ref="A3115">INDEX(event_table!$A$2:$A$69, RANDBETWEEN(1, COUNTA(event_table!$A$2:$A$69)))</f>
        <v>1528</v>
      </c>
      <c r="B3115" s="6">
        <f t="array" ref="B3115">IFERROR(INDEX(event_table!$E$1:$E3686,MATCH(A3115,event_table!$A$1:$A3686,0)),"")
</f>
        <v>5</v>
      </c>
      <c r="C3115" s="7">
        <f t="shared" si="1"/>
        <v>15</v>
      </c>
      <c r="D3115" s="6" t="str">
        <f t="array" ref="D3115">IFERROR(INDEX(user_table!$C$2:$C3686,MATCH(C3115,user_table!$B$2:$B3686,0)),"")
</f>
        <v>Arif Kurniawan</v>
      </c>
      <c r="E3115" s="6" t="str">
        <f t="array" ref="E3115">IFERROR(INDEX(user_table!$E$2:$E3686,MATCH(C3115,user_table!$B$2:$B3686,0)),"")
</f>
        <v>3, 1</v>
      </c>
      <c r="F3115" s="6" t="str">
        <f t="shared" si="2"/>
        <v>15285515</v>
      </c>
      <c r="G3115" s="21">
        <v>5.0</v>
      </c>
      <c r="H3115" s="3">
        <v>44708.0</v>
      </c>
      <c r="I3115" s="22" t="s">
        <v>3043</v>
      </c>
    </row>
    <row r="3116">
      <c r="A3116" s="5" t="str">
        <f t="array" ref="A3116">INDEX(event_table!$A$2:$A$69, RANDBETWEEN(1, COUNTA(event_table!$A$2:$A$69)))</f>
        <v>3164</v>
      </c>
      <c r="B3116" s="6">
        <f t="array" ref="B3116">IFERROR(INDEX(event_table!$E$1:$E3686,MATCH(A3116,event_table!$A$1:$A3686,0)),"")
</f>
        <v>1</v>
      </c>
      <c r="C3116" s="7">
        <f t="shared" si="1"/>
        <v>46</v>
      </c>
      <c r="D3116" s="6" t="str">
        <f t="array" ref="D3116">IFERROR(INDEX(user_table!$C$2:$C3686,MATCH(C3116,user_table!$B$2:$B3686,0)),"")
</f>
        <v>Dian Wijaya</v>
      </c>
      <c r="E3116" s="6" t="str">
        <f t="array" ref="E3116">IFERROR(INDEX(user_table!$E$2:$E3686,MATCH(C3116,user_table!$B$2:$B3686,0)),"")
</f>
        <v>2, 2</v>
      </c>
      <c r="F3116" s="6" t="str">
        <f t="shared" si="2"/>
        <v>31645146</v>
      </c>
      <c r="G3116" s="21">
        <v>5.0</v>
      </c>
      <c r="H3116" s="3">
        <v>44702.0</v>
      </c>
      <c r="I3116" s="22" t="s">
        <v>3044</v>
      </c>
    </row>
    <row r="3117">
      <c r="A3117" s="5" t="str">
        <f t="array" ref="A3117">INDEX(event_table!$A$2:$A$69, RANDBETWEEN(1, COUNTA(event_table!$A$2:$A$69)))</f>
        <v>1423</v>
      </c>
      <c r="B3117" s="6">
        <f t="array" ref="B3117">IFERROR(INDEX(event_table!$E$1:$E3686,MATCH(A3117,event_table!$A$1:$A3686,0)),"")
</f>
        <v>4</v>
      </c>
      <c r="C3117" s="7">
        <f t="shared" si="1"/>
        <v>9</v>
      </c>
      <c r="D3117" s="6" t="str">
        <f t="array" ref="D3117">IFERROR(INDEX(user_table!$C$2:$C3686,MATCH(C3117,user_table!$B$2:$B3686,0)),"")
</f>
        <v>Dina Pratama</v>
      </c>
      <c r="E3117" s="6" t="str">
        <f t="array" ref="E3117">IFERROR(INDEX(user_table!$E$2:$E3686,MATCH(C3117,user_table!$B$2:$B3686,0)),"")
</f>
        <v>2, 3</v>
      </c>
      <c r="F3117" s="6" t="str">
        <f t="shared" si="2"/>
        <v>1423549</v>
      </c>
      <c r="G3117" s="21">
        <v>5.0</v>
      </c>
      <c r="H3117" s="3">
        <v>44689.0</v>
      </c>
      <c r="I3117" s="22" t="s">
        <v>3045</v>
      </c>
    </row>
    <row r="3118">
      <c r="A3118" s="5" t="str">
        <f t="array" ref="A3118">INDEX(event_table!$A$2:$A$69, RANDBETWEEN(1, COUNTA(event_table!$A$2:$A$69)))</f>
        <v>1530</v>
      </c>
      <c r="B3118" s="6">
        <f t="array" ref="B3118">IFERROR(INDEX(event_table!$E$1:$E3686,MATCH(A3118,event_table!$A$1:$A3686,0)),"")
</f>
        <v>5</v>
      </c>
      <c r="C3118" s="7">
        <f t="shared" si="1"/>
        <v>191</v>
      </c>
      <c r="D3118" s="6" t="str">
        <f t="array" ref="D3118">IFERROR(INDEX(user_table!$C$2:$C3686,MATCH(C3118,user_table!$B$2:$B3686,0)),"")
</f>
        <v>Rudi Hermawan</v>
      </c>
      <c r="E3118" s="6" t="str">
        <f t="array" ref="E3118">IFERROR(INDEX(user_table!$E$2:$E3686,MATCH(C3118,user_table!$B$2:$B3686,0)),"")
</f>
        <v>5, 6</v>
      </c>
      <c r="F3118" s="6" t="str">
        <f t="shared" si="2"/>
        <v>153055191</v>
      </c>
      <c r="G3118" s="21">
        <v>5.0</v>
      </c>
      <c r="H3118" s="3">
        <v>44688.0</v>
      </c>
      <c r="I3118" s="22" t="s">
        <v>3046</v>
      </c>
    </row>
    <row r="3119">
      <c r="A3119" s="5" t="str">
        <f t="array" ref="A3119">INDEX(event_table!$A$2:$A$69, RANDBETWEEN(1, COUNTA(event_table!$A$2:$A$69)))</f>
        <v>1637</v>
      </c>
      <c r="B3119" s="6">
        <f t="array" ref="B3119">IFERROR(INDEX(event_table!$E$1:$E3686,MATCH(A3119,event_table!$A$1:$A3686,0)),"")
</f>
        <v>6</v>
      </c>
      <c r="C3119" s="7">
        <f t="shared" si="1"/>
        <v>180</v>
      </c>
      <c r="D3119" s="6" t="str">
        <f t="array" ref="D3119">IFERROR(INDEX(user_table!$C$2:$C3686,MATCH(C3119,user_table!$B$2:$B3686,0)),"")
</f>
        <v>Andi Susanto</v>
      </c>
      <c r="E3119" s="6" t="str">
        <f t="array" ref="E3119">IFERROR(INDEX(user_table!$E$2:$E3686,MATCH(C3119,user_table!$B$2:$B3686,0)),"")
</f>
        <v>6, 5</v>
      </c>
      <c r="F3119" s="6" t="str">
        <f t="shared" si="2"/>
        <v>163756180</v>
      </c>
      <c r="G3119" s="21">
        <v>5.0</v>
      </c>
      <c r="H3119" s="3">
        <v>45186.0</v>
      </c>
      <c r="I3119" s="22" t="s">
        <v>40</v>
      </c>
    </row>
    <row r="3120">
      <c r="A3120" s="5" t="str">
        <f t="array" ref="A3120">INDEX(event_table!$A$2:$A$69, RANDBETWEEN(1, COUNTA(event_table!$A$2:$A$69)))</f>
        <v>1519</v>
      </c>
      <c r="B3120" s="6">
        <f t="array" ref="B3120">IFERROR(INDEX(event_table!$E$1:$E3686,MATCH(A3120,event_table!$A$1:$A3686,0)),"")
</f>
        <v>5</v>
      </c>
      <c r="C3120" s="7">
        <f t="shared" si="1"/>
        <v>146</v>
      </c>
      <c r="D3120" s="6" t="str">
        <f t="array" ref="D3120">IFERROR(INDEX(user_table!$C$2:$C3686,MATCH(C3120,user_table!$B$2:$B3686,0)),"")
</f>
        <v>Rudi Susanto</v>
      </c>
      <c r="E3120" s="6" t="str">
        <f t="array" ref="E3120">IFERROR(INDEX(user_table!$E$2:$E3686,MATCH(C3120,user_table!$B$2:$B3686,0)),"")
</f>
        <v>6, 1</v>
      </c>
      <c r="F3120" s="6" t="str">
        <f t="shared" si="2"/>
        <v>151955146</v>
      </c>
      <c r="G3120" s="21">
        <v>5.0</v>
      </c>
      <c r="H3120" s="3">
        <v>45129.0</v>
      </c>
      <c r="I3120" s="22" t="s">
        <v>3047</v>
      </c>
    </row>
    <row r="3121">
      <c r="A3121" s="5" t="str">
        <f t="array" ref="A3121">INDEX(event_table!$A$2:$A$69, RANDBETWEEN(1, COUNTA(event_table!$A$2:$A$69)))</f>
        <v>1651</v>
      </c>
      <c r="B3121" s="6">
        <f t="array" ref="B3121">IFERROR(INDEX(event_table!$E$1:$E3686,MATCH(A3121,event_table!$A$1:$A3686,0)),"")
</f>
        <v>6</v>
      </c>
      <c r="C3121" s="7">
        <f t="shared" si="1"/>
        <v>34</v>
      </c>
      <c r="D3121" s="6" t="str">
        <f t="array" ref="D3121">IFERROR(INDEX(user_table!$C$2:$C3686,MATCH(C3121,user_table!$B$2:$B3686,0)),"")
</f>
        <v>Bambang Putri</v>
      </c>
      <c r="E3121" s="6" t="str">
        <f t="array" ref="E3121">IFERROR(INDEX(user_table!$E$2:$E3686,MATCH(C3121,user_table!$B$2:$B3686,0)),"")
</f>
        <v>3, 5</v>
      </c>
      <c r="F3121" s="6" t="str">
        <f t="shared" si="2"/>
        <v>16515634</v>
      </c>
      <c r="G3121" s="21">
        <v>5.0</v>
      </c>
      <c r="H3121" s="3">
        <v>45076.0</v>
      </c>
      <c r="I3121" s="22" t="s">
        <v>3048</v>
      </c>
    </row>
    <row r="3122">
      <c r="A3122" s="5" t="str">
        <f t="array" ref="A3122">INDEX(event_table!$A$2:$A$69, RANDBETWEEN(1, COUNTA(event_table!$A$2:$A$69)))</f>
        <v>3454</v>
      </c>
      <c r="B3122" s="6">
        <f t="array" ref="B3122">IFERROR(INDEX(event_table!$E$1:$E3686,MATCH(A3122,event_table!$A$1:$A3686,0)),"")
</f>
        <v>4</v>
      </c>
      <c r="C3122" s="7">
        <f t="shared" si="1"/>
        <v>156</v>
      </c>
      <c r="D3122" s="6" t="str">
        <f t="array" ref="D3122">IFERROR(INDEX(user_table!$C$2:$C3686,MATCH(C3122,user_table!$B$2:$B3686,0)),"")
</f>
        <v>Lina Kusuma</v>
      </c>
      <c r="E3122" s="6" t="str">
        <f t="array" ref="E3122">IFERROR(INDEX(user_table!$E$2:$E3686,MATCH(C3122,user_table!$B$2:$B3686,0)),"")
</f>
        <v>4, 3</v>
      </c>
      <c r="F3122" s="6" t="str">
        <f t="shared" si="2"/>
        <v>345454156</v>
      </c>
      <c r="G3122" s="21">
        <v>5.0</v>
      </c>
      <c r="H3122" s="3">
        <v>45010.0</v>
      </c>
      <c r="I3122" s="22" t="s">
        <v>3049</v>
      </c>
    </row>
    <row r="3123">
      <c r="A3123" s="5" t="str">
        <f t="array" ref="A3123">INDEX(event_table!$A$2:$A$69, RANDBETWEEN(1, COUNTA(event_table!$A$2:$A$69)))</f>
        <v>1641</v>
      </c>
      <c r="B3123" s="6">
        <f t="array" ref="B3123">IFERROR(INDEX(event_table!$E$1:$E3686,MATCH(A3123,event_table!$A$1:$A3686,0)),"")
</f>
        <v>6</v>
      </c>
      <c r="C3123" s="7">
        <f t="shared" si="1"/>
        <v>110</v>
      </c>
      <c r="D3123" s="6" t="str">
        <f t="array" ref="D3123">IFERROR(INDEX(user_table!$C$2:$C3686,MATCH(C3123,user_table!$B$2:$B3686,0)),"")
</f>
        <v>Fajar Wijaya</v>
      </c>
      <c r="E3123" s="6" t="str">
        <f t="array" ref="E3123">IFERROR(INDEX(user_table!$E$2:$E3686,MATCH(C3123,user_table!$B$2:$B3686,0)),"")
</f>
        <v>3, 6</v>
      </c>
      <c r="F3123" s="6" t="str">
        <f t="shared" si="2"/>
        <v>164156110</v>
      </c>
      <c r="G3123" s="21">
        <v>5.0</v>
      </c>
      <c r="H3123" s="3">
        <v>44881.0</v>
      </c>
      <c r="I3123" s="22" t="s">
        <v>3050</v>
      </c>
    </row>
    <row r="3124">
      <c r="A3124" s="5" t="str">
        <f t="array" ref="A3124">INDEX(event_table!$A$2:$A$69, RANDBETWEEN(1, COUNTA(event_table!$A$2:$A$69)))</f>
        <v>3162</v>
      </c>
      <c r="B3124" s="6">
        <f t="array" ref="B3124">IFERROR(INDEX(event_table!$E$1:$E3686,MATCH(A3124,event_table!$A$1:$A3686,0)),"")
</f>
        <v>1</v>
      </c>
      <c r="C3124" s="7">
        <f t="shared" si="1"/>
        <v>192</v>
      </c>
      <c r="D3124" s="6" t="str">
        <f t="array" ref="D3124">IFERROR(INDEX(user_table!$C$2:$C3686,MATCH(C3124,user_table!$B$2:$B3686,0)),"")
</f>
        <v>Joko Hadiwijaya</v>
      </c>
      <c r="E3124" s="6" t="str">
        <f t="array" ref="E3124">IFERROR(INDEX(user_table!$E$2:$E3686,MATCH(C3124,user_table!$B$2:$B3686,0)),"")
</f>
        <v>1, 3</v>
      </c>
      <c r="F3124" s="6" t="str">
        <f t="shared" si="2"/>
        <v>316251192</v>
      </c>
      <c r="G3124" s="21">
        <v>5.0</v>
      </c>
      <c r="H3124" s="3">
        <v>44816.0</v>
      </c>
      <c r="I3124" s="22" t="s">
        <v>3051</v>
      </c>
    </row>
    <row r="3125">
      <c r="A3125" s="5" t="str">
        <f t="array" ref="A3125">INDEX(event_table!$A$2:$A$69, RANDBETWEEN(1, COUNTA(event_table!$A$2:$A$69)))</f>
        <v>1650</v>
      </c>
      <c r="B3125" s="6">
        <f t="array" ref="B3125">IFERROR(INDEX(event_table!$E$1:$E3686,MATCH(A3125,event_table!$A$1:$A3686,0)),"")
</f>
        <v>6</v>
      </c>
      <c r="C3125" s="7">
        <f t="shared" si="1"/>
        <v>143</v>
      </c>
      <c r="D3125" s="6" t="str">
        <f t="array" ref="D3125">IFERROR(INDEX(user_table!$C$2:$C3686,MATCH(C3125,user_table!$B$2:$B3686,0)),"")
</f>
        <v>Agus Putri</v>
      </c>
      <c r="E3125" s="6" t="str">
        <f t="array" ref="E3125">IFERROR(INDEX(user_table!$E$2:$E3686,MATCH(C3125,user_table!$B$2:$B3686,0)),"")
</f>
        <v>3, 3</v>
      </c>
      <c r="F3125" s="6" t="str">
        <f t="shared" si="2"/>
        <v>165056143</v>
      </c>
      <c r="G3125" s="21">
        <v>5.0</v>
      </c>
      <c r="H3125" s="3">
        <v>44728.0</v>
      </c>
      <c r="I3125" s="22" t="s">
        <v>3052</v>
      </c>
    </row>
    <row r="3126">
      <c r="A3126" s="5" t="str">
        <f t="array" ref="A3126">INDEX(event_table!$A$2:$A$69, RANDBETWEEN(1, COUNTA(event_table!$A$2:$A$69)))</f>
        <v>3356</v>
      </c>
      <c r="B3126" s="6">
        <f t="array" ref="B3126">IFERROR(INDEX(event_table!$E$1:$E3686,MATCH(A3126,event_table!$A$1:$A3686,0)),"")
</f>
        <v>3</v>
      </c>
      <c r="C3126" s="7">
        <f t="shared" si="1"/>
        <v>97</v>
      </c>
      <c r="D3126" s="6" t="str">
        <f t="array" ref="D3126">IFERROR(INDEX(user_table!$C$2:$C3686,MATCH(C3126,user_table!$B$2:$B3686,0)),"")
</f>
        <v>Dewi Hidayat</v>
      </c>
      <c r="E3126" s="6" t="str">
        <f t="array" ref="E3126">IFERROR(INDEX(user_table!$E$2:$E3686,MATCH(C3126,user_table!$B$2:$B3686,0)),"")
</f>
        <v>2, 2</v>
      </c>
      <c r="F3126" s="6" t="str">
        <f t="shared" si="2"/>
        <v>33565397</v>
      </c>
      <c r="G3126" s="21">
        <v>5.0</v>
      </c>
      <c r="H3126" s="3">
        <v>44689.0</v>
      </c>
      <c r="I3126" s="22" t="s">
        <v>3053</v>
      </c>
    </row>
    <row r="3127">
      <c r="A3127" s="5" t="str">
        <f t="array" ref="A3127">INDEX(event_table!$A$2:$A$69, RANDBETWEEN(1, COUNTA(event_table!$A$2:$A$69)))</f>
        <v>1553</v>
      </c>
      <c r="B3127" s="6">
        <f t="array" ref="B3127">IFERROR(INDEX(event_table!$E$1:$E3686,MATCH(A3127,event_table!$A$1:$A3686,0)),"")
</f>
        <v>5</v>
      </c>
      <c r="C3127" s="7">
        <f t="shared" si="1"/>
        <v>102</v>
      </c>
      <c r="D3127" s="6" t="str">
        <f t="array" ref="D3127">IFERROR(INDEX(user_table!$C$2:$C3686,MATCH(C3127,user_table!$B$2:$B3686,0)),"")
</f>
        <v>Lina Nurhayati</v>
      </c>
      <c r="E3127" s="6" t="str">
        <f t="array" ref="E3127">IFERROR(INDEX(user_table!$E$2:$E3686,MATCH(C3127,user_table!$B$2:$B3686,0)),"")
</f>
        <v>1, 2</v>
      </c>
      <c r="F3127" s="6" t="str">
        <f t="shared" si="2"/>
        <v>155345102</v>
      </c>
      <c r="G3127" s="21">
        <v>4.0</v>
      </c>
      <c r="H3127" s="3">
        <v>44929.0</v>
      </c>
      <c r="I3127" s="22" t="s">
        <v>3054</v>
      </c>
    </row>
    <row r="3128">
      <c r="A3128" s="5" t="str">
        <f t="array" ref="A3128">INDEX(event_table!$A$2:$A$69, RANDBETWEEN(1, COUNTA(event_table!$A$2:$A$69)))</f>
        <v>3658</v>
      </c>
      <c r="B3128" s="6">
        <f t="array" ref="B3128">IFERROR(INDEX(event_table!$E$1:$E3686,MATCH(A3128,event_table!$A$1:$A3686,0)),"")
</f>
        <v>6</v>
      </c>
      <c r="C3128" s="7">
        <f t="shared" si="1"/>
        <v>43</v>
      </c>
      <c r="D3128" s="6" t="str">
        <f t="array" ref="D3128">IFERROR(INDEX(user_table!$C$2:$C3686,MATCH(C3128,user_table!$B$2:$B3686,0)),"")
</f>
        <v>Lina Putri</v>
      </c>
      <c r="E3128" s="6" t="str">
        <f t="array" ref="E3128">IFERROR(INDEX(user_table!$E$2:$E3686,MATCH(C3128,user_table!$B$2:$B3686,0)),"")
</f>
        <v>1, 6</v>
      </c>
      <c r="F3128" s="6" t="str">
        <f t="shared" si="2"/>
        <v>36584643</v>
      </c>
      <c r="G3128" s="21">
        <v>4.0</v>
      </c>
      <c r="H3128" s="3">
        <v>45155.0</v>
      </c>
      <c r="I3128" s="22" t="s">
        <v>3055</v>
      </c>
    </row>
    <row r="3129">
      <c r="A3129" s="5" t="str">
        <f t="array" ref="A3129">INDEX(event_table!$A$2:$A$69, RANDBETWEEN(1, COUNTA(event_table!$A$2:$A$69)))</f>
        <v>1636</v>
      </c>
      <c r="B3129" s="6">
        <f t="array" ref="B3129">IFERROR(INDEX(event_table!$E$1:$E3686,MATCH(A3129,event_table!$A$1:$A3686,0)),"")
</f>
        <v>6</v>
      </c>
      <c r="C3129" s="7">
        <f t="shared" si="1"/>
        <v>109</v>
      </c>
      <c r="D3129" s="6" t="str">
        <f t="array" ref="D3129">IFERROR(INDEX(user_table!$C$2:$C3686,MATCH(C3129,user_table!$B$2:$B3686,0)),"")
</f>
        <v>Ani Sari</v>
      </c>
      <c r="E3129" s="6" t="str">
        <f t="array" ref="E3129">IFERROR(INDEX(user_table!$E$2:$E3686,MATCH(C3129,user_table!$B$2:$B3686,0)),"")
</f>
        <v>4, 5</v>
      </c>
      <c r="F3129" s="6" t="str">
        <f t="shared" si="2"/>
        <v>163646109</v>
      </c>
      <c r="G3129" s="21">
        <v>4.0</v>
      </c>
      <c r="H3129" s="3">
        <v>44739.0</v>
      </c>
      <c r="I3129" s="22" t="s">
        <v>3056</v>
      </c>
    </row>
    <row r="3130">
      <c r="A3130" s="5" t="str">
        <f t="array" ref="A3130">INDEX(event_table!$A$2:$A$69, RANDBETWEEN(1, COUNTA(event_table!$A$2:$A$69)))</f>
        <v>118</v>
      </c>
      <c r="B3130" s="6">
        <f t="array" ref="B3130">IFERROR(INDEX(event_table!$E$1:$E3686,MATCH(A3130,event_table!$A$1:$A3686,0)),"")
</f>
        <v>1</v>
      </c>
      <c r="C3130" s="7">
        <f t="shared" si="1"/>
        <v>146</v>
      </c>
      <c r="D3130" s="6" t="str">
        <f t="array" ref="D3130">IFERROR(INDEX(user_table!$C$2:$C3686,MATCH(C3130,user_table!$B$2:$B3686,0)),"")
</f>
        <v>Rudi Susanto</v>
      </c>
      <c r="E3130" s="6" t="str">
        <f t="array" ref="E3130">IFERROR(INDEX(user_table!$E$2:$E3686,MATCH(C3130,user_table!$B$2:$B3686,0)),"")
</f>
        <v>6, 1</v>
      </c>
      <c r="F3130" s="6" t="str">
        <f t="shared" si="2"/>
        <v>11841146</v>
      </c>
      <c r="G3130" s="21">
        <v>4.0</v>
      </c>
      <c r="H3130" s="3">
        <v>44852.0</v>
      </c>
      <c r="I3130" s="22" t="s">
        <v>378</v>
      </c>
    </row>
    <row r="3131">
      <c r="A3131" s="5" t="str">
        <f t="array" ref="A3131">INDEX(event_table!$A$2:$A$69, RANDBETWEEN(1, COUNTA(event_table!$A$2:$A$69)))</f>
        <v>1530</v>
      </c>
      <c r="B3131" s="6">
        <f t="array" ref="B3131">IFERROR(INDEX(event_table!$E$1:$E3686,MATCH(A3131,event_table!$A$1:$A3686,0)),"")
</f>
        <v>5</v>
      </c>
      <c r="C3131" s="7">
        <f t="shared" si="1"/>
        <v>27</v>
      </c>
      <c r="D3131" s="6" t="str">
        <f t="array" ref="D3131">IFERROR(INDEX(user_table!$C$2:$C3686,MATCH(C3131,user_table!$B$2:$B3686,0)),"")
</f>
        <v>Fandi Purnama</v>
      </c>
      <c r="E3131" s="6" t="str">
        <f t="array" ref="E3131">IFERROR(INDEX(user_table!$E$2:$E3686,MATCH(C3131,user_table!$B$2:$B3686,0)),"")
</f>
        <v>4, 6</v>
      </c>
      <c r="F3131" s="6" t="str">
        <f t="shared" si="2"/>
        <v>15304527</v>
      </c>
      <c r="G3131" s="21">
        <v>4.0</v>
      </c>
      <c r="H3131" s="3">
        <v>44831.0</v>
      </c>
      <c r="I3131" s="22" t="s">
        <v>3057</v>
      </c>
    </row>
    <row r="3132">
      <c r="A3132" s="5" t="str">
        <f t="array" ref="A3132">INDEX(event_table!$A$2:$A$69, RANDBETWEEN(1, COUNTA(event_table!$A$2:$A$69)))</f>
        <v>111</v>
      </c>
      <c r="B3132" s="6">
        <f t="array" ref="B3132">IFERROR(INDEX(event_table!$E$1:$E3686,MATCH(A3132,event_table!$A$1:$A3686,0)),"")
</f>
        <v>1</v>
      </c>
      <c r="C3132" s="7">
        <f t="shared" si="1"/>
        <v>133</v>
      </c>
      <c r="D3132" s="6" t="str">
        <f t="array" ref="D3132">IFERROR(INDEX(user_table!$C$2:$C3686,MATCH(C3132,user_table!$B$2:$B3686,0)),"")
</f>
        <v>Dewi Sari</v>
      </c>
      <c r="E3132" s="6" t="str">
        <f t="array" ref="E3132">IFERROR(INDEX(user_table!$E$2:$E3686,MATCH(C3132,user_table!$B$2:$B3686,0)),"")
</f>
        <v>6, 5</v>
      </c>
      <c r="F3132" s="6" t="str">
        <f t="shared" si="2"/>
        <v>11141133</v>
      </c>
      <c r="G3132" s="21">
        <v>4.0</v>
      </c>
      <c r="H3132" s="3">
        <v>44690.0</v>
      </c>
      <c r="I3132" s="22" t="s">
        <v>3058</v>
      </c>
    </row>
    <row r="3133">
      <c r="A3133" s="5" t="str">
        <f t="array" ref="A3133">INDEX(event_table!$A$2:$A$69, RANDBETWEEN(1, COUNTA(event_table!$A$2:$A$69)))</f>
        <v>1636</v>
      </c>
      <c r="B3133" s="6">
        <f t="array" ref="B3133">IFERROR(INDEX(event_table!$E$1:$E3686,MATCH(A3133,event_table!$A$1:$A3686,0)),"")
</f>
        <v>6</v>
      </c>
      <c r="C3133" s="7">
        <f t="shared" si="1"/>
        <v>86</v>
      </c>
      <c r="D3133" s="6" t="str">
        <f t="array" ref="D3133">IFERROR(INDEX(user_table!$C$2:$C3686,MATCH(C3133,user_table!$B$2:$B3686,0)),"")
</f>
        <v>Lina Santoso</v>
      </c>
      <c r="E3133" s="6" t="str">
        <f t="array" ref="E3133">IFERROR(INDEX(user_table!$E$2:$E3686,MATCH(C3133,user_table!$B$2:$B3686,0)),"")
</f>
        <v>4, 3</v>
      </c>
      <c r="F3133" s="6" t="str">
        <f t="shared" si="2"/>
        <v>16364686</v>
      </c>
      <c r="G3133" s="21">
        <v>4.0</v>
      </c>
      <c r="H3133" s="3">
        <v>44687.0</v>
      </c>
      <c r="I3133" s="22" t="s">
        <v>3059</v>
      </c>
    </row>
    <row r="3134">
      <c r="A3134" s="5" t="str">
        <f t="array" ref="A3134">INDEX(event_table!$A$2:$A$69, RANDBETWEEN(1, COUNTA(event_table!$A$2:$A$69)))</f>
        <v>115</v>
      </c>
      <c r="B3134" s="6">
        <f t="array" ref="B3134">IFERROR(INDEX(event_table!$E$1:$E3686,MATCH(A3134,event_table!$A$1:$A3686,0)),"")
</f>
        <v>1</v>
      </c>
      <c r="C3134" s="7">
        <f t="shared" si="1"/>
        <v>183</v>
      </c>
      <c r="D3134" s="6" t="str">
        <f t="array" ref="D3134">IFERROR(INDEX(user_table!$C$2:$C3686,MATCH(C3134,user_table!$B$2:$B3686,0)),"")
</f>
        <v>Siti Nugroho</v>
      </c>
      <c r="E3134" s="6" t="str">
        <f t="array" ref="E3134">IFERROR(INDEX(user_table!$E$2:$E3686,MATCH(C3134,user_table!$B$2:$B3686,0)),"")
</f>
        <v>4, 6</v>
      </c>
      <c r="F3134" s="6" t="str">
        <f t="shared" si="2"/>
        <v>11531183</v>
      </c>
      <c r="G3134" s="21">
        <v>3.0</v>
      </c>
      <c r="H3134" s="3">
        <v>44747.0</v>
      </c>
      <c r="I3134" s="22" t="s">
        <v>3060</v>
      </c>
    </row>
    <row r="3135">
      <c r="A3135" s="5" t="str">
        <f t="array" ref="A3135">INDEX(event_table!$A$2:$A$69, RANDBETWEEN(1, COUNTA(event_table!$A$2:$A$69)))</f>
        <v>1529</v>
      </c>
      <c r="B3135" s="6">
        <f t="array" ref="B3135">IFERROR(INDEX(event_table!$E$1:$E3686,MATCH(A3135,event_table!$A$1:$A3686,0)),"")
</f>
        <v>5</v>
      </c>
      <c r="C3135" s="7">
        <f t="shared" si="1"/>
        <v>66</v>
      </c>
      <c r="D3135" s="6" t="str">
        <f t="array" ref="D3135">IFERROR(INDEX(user_table!$C$2:$C3686,MATCH(C3135,user_table!$B$2:$B3686,0)),"")
</f>
        <v>Agus Wijaya</v>
      </c>
      <c r="E3135" s="6" t="str">
        <f t="array" ref="E3135">IFERROR(INDEX(user_table!$E$2:$E3686,MATCH(C3135,user_table!$B$2:$B3686,0)),"")
</f>
        <v>5, 3</v>
      </c>
      <c r="F3135" s="6" t="str">
        <f t="shared" si="2"/>
        <v>15293566</v>
      </c>
      <c r="G3135" s="21">
        <v>3.0</v>
      </c>
      <c r="H3135" s="3">
        <v>45232.0</v>
      </c>
      <c r="I3135" s="22" t="s">
        <v>3061</v>
      </c>
    </row>
    <row r="3136">
      <c r="A3136" s="5" t="str">
        <f t="array" ref="A3136">INDEX(event_table!$A$2:$A$69, RANDBETWEEN(1, COUNTA(event_table!$A$2:$A$69)))</f>
        <v>1416</v>
      </c>
      <c r="B3136" s="6">
        <f t="array" ref="B3136">IFERROR(INDEX(event_table!$E$1:$E3686,MATCH(A3136,event_table!$A$1:$A3686,0)),"")
</f>
        <v>4</v>
      </c>
      <c r="C3136" s="7">
        <f t="shared" si="1"/>
        <v>32</v>
      </c>
      <c r="D3136" s="6" t="str">
        <f t="array" ref="D3136">IFERROR(INDEX(user_table!$C$2:$C3686,MATCH(C3136,user_table!$B$2:$B3686,0)),"")
</f>
        <v>Ani Setiawan</v>
      </c>
      <c r="E3136" s="6" t="str">
        <f t="array" ref="E3136">IFERROR(INDEX(user_table!$E$2:$E3686,MATCH(C3136,user_table!$B$2:$B3686,0)),"")
</f>
        <v>6, 3</v>
      </c>
      <c r="F3136" s="6" t="str">
        <f t="shared" si="2"/>
        <v>14163432</v>
      </c>
      <c r="G3136" s="21">
        <v>3.0</v>
      </c>
      <c r="H3136" s="3">
        <v>45211.0</v>
      </c>
      <c r="I3136" s="22" t="s">
        <v>3062</v>
      </c>
    </row>
    <row r="3137">
      <c r="A3137" s="5" t="str">
        <f t="array" ref="A3137">INDEX(event_table!$A$2:$A$69, RANDBETWEEN(1, COUNTA(event_table!$A$2:$A$69)))</f>
        <v>1647</v>
      </c>
      <c r="B3137" s="6">
        <f t="array" ref="B3137">IFERROR(INDEX(event_table!$E$1:$E3686,MATCH(A3137,event_table!$A$1:$A3686,0)),"")
</f>
        <v>6</v>
      </c>
      <c r="C3137" s="7">
        <f t="shared" si="1"/>
        <v>146</v>
      </c>
      <c r="D3137" s="6" t="str">
        <f t="array" ref="D3137">IFERROR(INDEX(user_table!$C$2:$C3686,MATCH(C3137,user_table!$B$2:$B3686,0)),"")
</f>
        <v>Rudi Susanto</v>
      </c>
      <c r="E3137" s="6" t="str">
        <f t="array" ref="E3137">IFERROR(INDEX(user_table!$E$2:$E3686,MATCH(C3137,user_table!$B$2:$B3686,0)),"")
</f>
        <v>6, 1</v>
      </c>
      <c r="F3137" s="6" t="str">
        <f t="shared" si="2"/>
        <v>164736146</v>
      </c>
      <c r="G3137" s="21">
        <v>3.0</v>
      </c>
      <c r="H3137" s="3">
        <v>45177.0</v>
      </c>
      <c r="I3137" s="22" t="s">
        <v>3063</v>
      </c>
    </row>
    <row r="3138">
      <c r="A3138" s="5" t="str">
        <f t="array" ref="A3138">INDEX(event_table!$A$2:$A$69, RANDBETWEEN(1, COUNTA(event_table!$A$2:$A$69)))</f>
        <v>1646</v>
      </c>
      <c r="B3138" s="6">
        <f t="array" ref="B3138">IFERROR(INDEX(event_table!$E$1:$E3686,MATCH(A3138,event_table!$A$1:$A3686,0)),"")
</f>
        <v>6</v>
      </c>
      <c r="C3138" s="7">
        <f t="shared" si="1"/>
        <v>102</v>
      </c>
      <c r="D3138" s="6" t="str">
        <f t="array" ref="D3138">IFERROR(INDEX(user_table!$C$2:$C3686,MATCH(C3138,user_table!$B$2:$B3686,0)),"")
</f>
        <v>Lina Nurhayati</v>
      </c>
      <c r="E3138" s="6" t="str">
        <f t="array" ref="E3138">IFERROR(INDEX(user_table!$E$2:$E3686,MATCH(C3138,user_table!$B$2:$B3686,0)),"")
</f>
        <v>1, 2</v>
      </c>
      <c r="F3138" s="6" t="str">
        <f t="shared" si="2"/>
        <v>164636102</v>
      </c>
      <c r="G3138" s="21">
        <v>3.0</v>
      </c>
      <c r="H3138" s="3">
        <v>45171.0</v>
      </c>
      <c r="I3138" s="22" t="s">
        <v>914</v>
      </c>
    </row>
    <row r="3139">
      <c r="A3139" s="5" t="str">
        <f t="array" ref="A3139">INDEX(event_table!$A$2:$A$69, RANDBETWEEN(1, COUNTA(event_table!$A$2:$A$69)))</f>
        <v>1531</v>
      </c>
      <c r="B3139" s="6">
        <f t="array" ref="B3139">IFERROR(INDEX(event_table!$E$1:$E3686,MATCH(A3139,event_table!$A$1:$A3686,0)),"")
</f>
        <v>5</v>
      </c>
      <c r="C3139" s="7">
        <f t="shared" si="1"/>
        <v>98</v>
      </c>
      <c r="D3139" s="6" t="str">
        <f t="array" ref="D3139">IFERROR(INDEX(user_table!$C$2:$C3686,MATCH(C3139,user_table!$B$2:$B3686,0)),"")
</f>
        <v>Agus Hidayat</v>
      </c>
      <c r="E3139" s="6" t="str">
        <f t="array" ref="E3139">IFERROR(INDEX(user_table!$E$2:$E3686,MATCH(C3139,user_table!$B$2:$B3686,0)),"")
</f>
        <v>3, 6</v>
      </c>
      <c r="F3139" s="6" t="str">
        <f t="shared" si="2"/>
        <v>15313598</v>
      </c>
      <c r="G3139" s="21">
        <v>3.0</v>
      </c>
      <c r="H3139" s="3">
        <v>45158.0</v>
      </c>
      <c r="I3139" s="22" t="s">
        <v>3064</v>
      </c>
    </row>
    <row r="3140">
      <c r="A3140" s="5" t="str">
        <f t="array" ref="A3140">INDEX(event_table!$A$2:$A$69, RANDBETWEEN(1, COUNTA(event_table!$A$2:$A$69)))</f>
        <v>116</v>
      </c>
      <c r="B3140" s="6">
        <f t="array" ref="B3140">IFERROR(INDEX(event_table!$E$1:$E3686,MATCH(A3140,event_table!$A$1:$A3686,0)),"")
</f>
        <v>1</v>
      </c>
      <c r="C3140" s="7">
        <f t="shared" si="1"/>
        <v>96</v>
      </c>
      <c r="D3140" s="6" t="str">
        <f t="array" ref="D3140">IFERROR(INDEX(user_table!$C$2:$C3686,MATCH(C3140,user_table!$B$2:$B3686,0)),"")
</f>
        <v>Budi Sari</v>
      </c>
      <c r="E3140" s="6" t="str">
        <f t="array" ref="E3140">IFERROR(INDEX(user_table!$E$2:$E3686,MATCH(C3140,user_table!$B$2:$B3686,0)),"")
</f>
        <v>3, 2</v>
      </c>
      <c r="F3140" s="6" t="str">
        <f t="shared" si="2"/>
        <v>1162196</v>
      </c>
      <c r="G3140" s="21">
        <v>2.0</v>
      </c>
      <c r="H3140" s="3">
        <v>44806.0</v>
      </c>
      <c r="I3140" s="22" t="s">
        <v>3065</v>
      </c>
    </row>
    <row r="3141">
      <c r="A3141" s="5" t="str">
        <f t="array" ref="A3141">INDEX(event_table!$A$2:$A$69, RANDBETWEEN(1, COUNTA(event_table!$A$2:$A$69)))</f>
        <v>1111</v>
      </c>
      <c r="B3141" s="6">
        <f t="array" ref="B3141">IFERROR(INDEX(event_table!$E$1:$E3686,MATCH(A3141,event_table!$A$1:$A3686,0)),"")
</f>
        <v>1</v>
      </c>
      <c r="C3141" s="7">
        <f t="shared" si="1"/>
        <v>173</v>
      </c>
      <c r="D3141" s="6" t="str">
        <f t="array" ref="D3141">IFERROR(INDEX(user_table!$C$2:$C3686,MATCH(C3141,user_table!$B$2:$B3686,0)),"")
</f>
        <v>Fajar Putri</v>
      </c>
      <c r="E3141" s="6" t="str">
        <f t="array" ref="E3141">IFERROR(INDEX(user_table!$E$2:$E3686,MATCH(C3141,user_table!$B$2:$B3686,0)),"")
</f>
        <v>2, 6</v>
      </c>
      <c r="F3141" s="6" t="str">
        <f t="shared" si="2"/>
        <v>111121173</v>
      </c>
      <c r="G3141" s="21">
        <v>2.0</v>
      </c>
      <c r="H3141" s="3">
        <v>45222.0</v>
      </c>
      <c r="I3141" s="22" t="s">
        <v>3066</v>
      </c>
    </row>
    <row r="3142">
      <c r="A3142" s="5" t="str">
        <f t="array" ref="A3142">INDEX(event_table!$A$2:$A$69, RANDBETWEEN(1, COUNTA(event_table!$A$2:$A$69)))</f>
        <v>1212</v>
      </c>
      <c r="B3142" s="6">
        <f t="array" ref="B3142">IFERROR(INDEX(event_table!$E$1:$E3686,MATCH(A3142,event_table!$A$1:$A3686,0)),"")
</f>
        <v>2</v>
      </c>
      <c r="C3142" s="7">
        <f t="shared" si="1"/>
        <v>155</v>
      </c>
      <c r="D3142" s="6" t="str">
        <f t="array" ref="D3142">IFERROR(INDEX(user_table!$C$2:$C3686,MATCH(C3142,user_table!$B$2:$B3686,0)),"")
</f>
        <v>Sinta Saputra</v>
      </c>
      <c r="E3142" s="6" t="str">
        <f t="array" ref="E3142">IFERROR(INDEX(user_table!$E$2:$E3686,MATCH(C3142,user_table!$B$2:$B3686,0)),"")
</f>
        <v>5, 2</v>
      </c>
      <c r="F3142" s="6" t="str">
        <f t="shared" si="2"/>
        <v>121212155</v>
      </c>
      <c r="G3142" s="21">
        <v>1.0</v>
      </c>
      <c r="H3142" s="3">
        <v>45263.0</v>
      </c>
      <c r="I3142" s="22" t="s">
        <v>3067</v>
      </c>
    </row>
    <row r="3143">
      <c r="A3143" s="5" t="str">
        <f t="array" ref="A3143">INDEX(event_table!$A$2:$A$69, RANDBETWEEN(1, COUNTA(event_table!$A$2:$A$69)))</f>
        <v>1333</v>
      </c>
      <c r="B3143" s="6">
        <f t="array" ref="B3143">IFERROR(INDEX(event_table!$E$1:$E3686,MATCH(A3143,event_table!$A$1:$A3686,0)),"")
</f>
        <v>3</v>
      </c>
      <c r="C3143" s="7">
        <f t="shared" si="1"/>
        <v>45</v>
      </c>
      <c r="D3143" s="6" t="str">
        <f t="array" ref="D3143">IFERROR(INDEX(user_table!$C$2:$C3686,MATCH(C3143,user_table!$B$2:$B3686,0)),"")
</f>
        <v>Siti Kurniawan</v>
      </c>
      <c r="E3143" s="6" t="str">
        <f t="array" ref="E3143">IFERROR(INDEX(user_table!$E$2:$E3686,MATCH(C3143,user_table!$B$2:$B3686,0)),"")
</f>
        <v>1, 1</v>
      </c>
      <c r="F3143" s="6" t="str">
        <f t="shared" si="2"/>
        <v>13331345</v>
      </c>
      <c r="G3143" s="21">
        <v>1.0</v>
      </c>
      <c r="H3143" s="3">
        <v>45233.0</v>
      </c>
      <c r="I3143" s="22" t="s">
        <v>3068</v>
      </c>
    </row>
    <row r="3144">
      <c r="A3144" s="5" t="str">
        <f t="array" ref="A3144">INDEX(event_table!$A$2:$A$69, RANDBETWEEN(1, COUNTA(event_table!$A$2:$A$69)))</f>
        <v>3165</v>
      </c>
      <c r="B3144" s="6">
        <f t="array" ref="B3144">IFERROR(INDEX(event_table!$E$1:$E3686,MATCH(A3144,event_table!$A$1:$A3686,0)),"")
</f>
        <v>1</v>
      </c>
      <c r="C3144" s="7">
        <f t="shared" si="1"/>
        <v>123</v>
      </c>
      <c r="D3144" s="6" t="str">
        <f t="array" ref="D3144">IFERROR(INDEX(user_table!$C$2:$C3686,MATCH(C3144,user_table!$B$2:$B3686,0)),"")
</f>
        <v>Lina Hartono</v>
      </c>
      <c r="E3144" s="6" t="str">
        <f t="array" ref="E3144">IFERROR(INDEX(user_table!$E$2:$E3686,MATCH(C3144,user_table!$B$2:$B3686,0)),"")
</f>
        <v>6, 5</v>
      </c>
      <c r="F3144" s="6" t="str">
        <f t="shared" si="2"/>
        <v>316511123</v>
      </c>
      <c r="G3144" s="21">
        <v>1.0</v>
      </c>
      <c r="H3144" s="3">
        <v>45240.0</v>
      </c>
      <c r="I3144" s="22" t="s">
        <v>3069</v>
      </c>
    </row>
    <row r="3145">
      <c r="A3145" s="5" t="str">
        <f t="array" ref="A3145">INDEX(event_table!$A$2:$A$69, RANDBETWEEN(1, COUNTA(event_table!$A$2:$A$69)))</f>
        <v>1643</v>
      </c>
      <c r="B3145" s="6">
        <f t="array" ref="B3145">IFERROR(INDEX(event_table!$E$1:$E3686,MATCH(A3145,event_table!$A$1:$A3686,0)),"")
</f>
        <v>6</v>
      </c>
      <c r="C3145" s="7">
        <f t="shared" si="1"/>
        <v>13</v>
      </c>
      <c r="D3145" s="6" t="str">
        <f t="array" ref="D3145">IFERROR(INDEX(user_table!$C$2:$C3686,MATCH(C3145,user_table!$B$2:$B3686,0)),"")
</f>
        <v>Hadi Kurniawan</v>
      </c>
      <c r="E3145" s="6" t="str">
        <f t="array" ref="E3145">IFERROR(INDEX(user_table!$E$2:$E3686,MATCH(C3145,user_table!$B$2:$B3686,0)),"")
</f>
        <v>4, 3</v>
      </c>
      <c r="F3145" s="6" t="str">
        <f t="shared" si="2"/>
        <v>16431613</v>
      </c>
      <c r="G3145" s="21">
        <v>1.0</v>
      </c>
      <c r="H3145" s="3">
        <v>45150.0</v>
      </c>
      <c r="I3145" s="22" t="s">
        <v>3070</v>
      </c>
    </row>
    <row r="3146">
      <c r="A3146" s="5" t="str">
        <f t="array" ref="A3146">INDEX(event_table!$A$2:$A$69, RANDBETWEEN(1, COUNTA(event_table!$A$2:$A$69)))</f>
        <v>116</v>
      </c>
      <c r="B3146" s="6">
        <f t="array" ref="B3146">IFERROR(INDEX(event_table!$E$1:$E3686,MATCH(A3146,event_table!$A$1:$A3686,0)),"")
</f>
        <v>1</v>
      </c>
      <c r="C3146" s="7">
        <f t="shared" si="1"/>
        <v>31</v>
      </c>
      <c r="D3146" s="6" t="str">
        <f t="array" ref="D3146">IFERROR(INDEX(user_table!$C$2:$C3686,MATCH(C3146,user_table!$B$2:$B3686,0)),"")
</f>
        <v>Dian Hidayat</v>
      </c>
      <c r="E3146" s="6" t="str">
        <f t="array" ref="E3146">IFERROR(INDEX(user_table!$E$2:$E3686,MATCH(C3146,user_table!$B$2:$B3686,0)),"")
</f>
        <v>3, 5</v>
      </c>
      <c r="F3146" s="6" t="str">
        <f t="shared" si="2"/>
        <v>1161131</v>
      </c>
      <c r="G3146" s="21">
        <v>1.0</v>
      </c>
      <c r="H3146" s="3">
        <v>45145.0</v>
      </c>
      <c r="I3146" s="22" t="s">
        <v>3071</v>
      </c>
    </row>
    <row r="3147">
      <c r="A3147" s="5" t="str">
        <f t="array" ref="A3147">INDEX(event_table!$A$2:$A$69, RANDBETWEEN(1, COUNTA(event_table!$A$2:$A$69)))</f>
        <v>1417</v>
      </c>
      <c r="B3147" s="6">
        <f t="array" ref="B3147">IFERROR(INDEX(event_table!$E$1:$E3686,MATCH(A3147,event_table!$A$1:$A3686,0)),"")
</f>
        <v>4</v>
      </c>
      <c r="C3147" s="7">
        <f t="shared" si="1"/>
        <v>35</v>
      </c>
      <c r="D3147" s="6" t="str">
        <f t="array" ref="D3147">IFERROR(INDEX(user_table!$C$2:$C3686,MATCH(C3147,user_table!$B$2:$B3686,0)),"")
</f>
        <v>Maya Nugroho</v>
      </c>
      <c r="E3147" s="6" t="str">
        <f t="array" ref="E3147">IFERROR(INDEX(user_table!$E$2:$E3686,MATCH(C3147,user_table!$B$2:$B3686,0)),"")
</f>
        <v>6, 2</v>
      </c>
      <c r="F3147" s="6" t="str">
        <f t="shared" si="2"/>
        <v>14171435</v>
      </c>
      <c r="G3147" s="21">
        <v>1.0</v>
      </c>
      <c r="H3147" s="3">
        <v>45105.0</v>
      </c>
      <c r="I3147" s="22" t="s">
        <v>3072</v>
      </c>
    </row>
    <row r="3148">
      <c r="A3148" s="5" t="str">
        <f t="array" ref="A3148">INDEX(event_table!$A$2:$A$69, RANDBETWEEN(1, COUNTA(event_table!$A$2:$A$69)))</f>
        <v>1334</v>
      </c>
      <c r="B3148" s="6">
        <f t="array" ref="B3148">IFERROR(INDEX(event_table!$E$1:$E3686,MATCH(A3148,event_table!$A$1:$A3686,0)),"")
</f>
        <v>3</v>
      </c>
      <c r="C3148" s="7">
        <f t="shared" si="1"/>
        <v>48</v>
      </c>
      <c r="D3148" s="6" t="str">
        <f t="array" ref="D3148">IFERROR(INDEX(user_table!$C$2:$C3686,MATCH(C3148,user_table!$B$2:$B3686,0)),"")
</f>
        <v>Maya Kusuma</v>
      </c>
      <c r="E3148" s="6" t="str">
        <f t="array" ref="E3148">IFERROR(INDEX(user_table!$E$2:$E3686,MATCH(C3148,user_table!$B$2:$B3686,0)),"")
</f>
        <v>2, 3</v>
      </c>
      <c r="F3148" s="6" t="str">
        <f t="shared" si="2"/>
        <v>13341348</v>
      </c>
      <c r="G3148" s="21">
        <v>1.0</v>
      </c>
      <c r="H3148" s="3">
        <v>45082.0</v>
      </c>
      <c r="I3148" s="22" t="s">
        <v>3073</v>
      </c>
    </row>
    <row r="3149">
      <c r="A3149" s="5" t="str">
        <f t="array" ref="A3149">INDEX(event_table!$A$2:$A$69, RANDBETWEEN(1, COUNTA(event_table!$A$2:$A$69)))</f>
        <v>1421</v>
      </c>
      <c r="B3149" s="6">
        <f t="array" ref="B3149">IFERROR(INDEX(event_table!$E$1:$E3686,MATCH(A3149,event_table!$A$1:$A3686,0)),"")
</f>
        <v>4</v>
      </c>
      <c r="C3149" s="7">
        <f t="shared" si="1"/>
        <v>46</v>
      </c>
      <c r="D3149" s="6" t="str">
        <f t="array" ref="D3149">IFERROR(INDEX(user_table!$C$2:$C3686,MATCH(C3149,user_table!$B$2:$B3686,0)),"")
</f>
        <v>Dian Wijaya</v>
      </c>
      <c r="E3149" s="6" t="str">
        <f t="array" ref="E3149">IFERROR(INDEX(user_table!$E$2:$E3686,MATCH(C3149,user_table!$B$2:$B3686,0)),"")
</f>
        <v>2, 2</v>
      </c>
      <c r="F3149" s="6" t="str">
        <f t="shared" si="2"/>
        <v>14211446</v>
      </c>
      <c r="G3149" s="21">
        <v>1.0</v>
      </c>
      <c r="H3149" s="3">
        <v>45061.0</v>
      </c>
      <c r="I3149" s="22" t="s">
        <v>3074</v>
      </c>
    </row>
    <row r="3150">
      <c r="A3150" s="5" t="str">
        <f t="array" ref="A3150">INDEX(event_table!$A$2:$A$69, RANDBETWEEN(1, COUNTA(event_table!$A$2:$A$69)))</f>
        <v>1636</v>
      </c>
      <c r="B3150" s="6">
        <f t="array" ref="B3150">IFERROR(INDEX(event_table!$E$1:$E3686,MATCH(A3150,event_table!$A$1:$A3686,0)),"")
</f>
        <v>6</v>
      </c>
      <c r="C3150" s="7">
        <f t="shared" si="1"/>
        <v>151</v>
      </c>
      <c r="D3150" s="6" t="str">
        <f t="array" ref="D3150">IFERROR(INDEX(user_table!$C$2:$C3686,MATCH(C3150,user_table!$B$2:$B3686,0)),"")
</f>
        <v>Maya Hidayat</v>
      </c>
      <c r="E3150" s="6" t="str">
        <f t="array" ref="E3150">IFERROR(INDEX(user_table!$E$2:$E3686,MATCH(C3150,user_table!$B$2:$B3686,0)),"")
</f>
        <v>2, 3</v>
      </c>
      <c r="F3150" s="6" t="str">
        <f t="shared" si="2"/>
        <v>163656151</v>
      </c>
      <c r="G3150" s="21">
        <v>5.0</v>
      </c>
      <c r="H3150" s="3">
        <v>44745.0</v>
      </c>
      <c r="I3150" s="22" t="s">
        <v>3075</v>
      </c>
    </row>
    <row r="3151">
      <c r="A3151" s="5" t="str">
        <f t="array" ref="A3151">INDEX(event_table!$A$2:$A$69, RANDBETWEEN(1, COUNTA(event_table!$A$2:$A$69)))</f>
        <v>1114</v>
      </c>
      <c r="B3151" s="6">
        <f t="array" ref="B3151">IFERROR(INDEX(event_table!$E$1:$E3686,MATCH(A3151,event_table!$A$1:$A3686,0)),"")
</f>
        <v>1</v>
      </c>
      <c r="C3151" s="7">
        <f t="shared" si="1"/>
        <v>70</v>
      </c>
      <c r="D3151" s="6" t="str">
        <f t="array" ref="D3151">IFERROR(INDEX(user_table!$C$2:$C3686,MATCH(C3151,user_table!$B$2:$B3686,0)),"")
</f>
        <v>Fandi Hadiwijaya</v>
      </c>
      <c r="E3151" s="6" t="str">
        <f t="array" ref="E3151">IFERROR(INDEX(user_table!$E$2:$E3686,MATCH(C3151,user_table!$B$2:$B3686,0)),"")
</f>
        <v>1, 4</v>
      </c>
      <c r="F3151" s="6" t="str">
        <f t="shared" si="2"/>
        <v>11145170</v>
      </c>
      <c r="G3151" s="21">
        <v>5.0</v>
      </c>
      <c r="H3151" s="3">
        <v>44741.0</v>
      </c>
      <c r="I3151" s="22" t="s">
        <v>3076</v>
      </c>
    </row>
    <row r="3152">
      <c r="A3152" s="5" t="str">
        <f t="array" ref="A3152">INDEX(event_table!$A$2:$A$69, RANDBETWEEN(1, COUNTA(event_table!$A$2:$A$69)))</f>
        <v>1519</v>
      </c>
      <c r="B3152" s="6">
        <f t="array" ref="B3152">IFERROR(INDEX(event_table!$E$1:$E3686,MATCH(A3152,event_table!$A$1:$A3686,0)),"")
</f>
        <v>5</v>
      </c>
      <c r="C3152" s="7">
        <f t="shared" si="1"/>
        <v>98</v>
      </c>
      <c r="D3152" s="6" t="str">
        <f t="array" ref="D3152">IFERROR(INDEX(user_table!$C$2:$C3686,MATCH(C3152,user_table!$B$2:$B3686,0)),"")
</f>
        <v>Agus Hidayat</v>
      </c>
      <c r="E3152" s="6" t="str">
        <f t="array" ref="E3152">IFERROR(INDEX(user_table!$E$2:$E3686,MATCH(C3152,user_table!$B$2:$B3686,0)),"")
</f>
        <v>3, 6</v>
      </c>
      <c r="F3152" s="6" t="str">
        <f t="shared" si="2"/>
        <v>15195598</v>
      </c>
      <c r="G3152" s="21">
        <v>5.0</v>
      </c>
      <c r="H3152" s="3">
        <v>44730.0</v>
      </c>
      <c r="I3152" s="22" t="s">
        <v>3077</v>
      </c>
    </row>
    <row r="3153">
      <c r="A3153" s="5" t="str">
        <f t="array" ref="A3153">INDEX(event_table!$A$2:$A$69, RANDBETWEEN(1, COUNTA(event_table!$A$2:$A$69)))</f>
        <v>122</v>
      </c>
      <c r="B3153" s="6">
        <f t="array" ref="B3153">IFERROR(INDEX(event_table!$E$1:$E3686,MATCH(A3153,event_table!$A$1:$A3686,0)),"")
</f>
        <v>2</v>
      </c>
      <c r="C3153" s="7">
        <f t="shared" si="1"/>
        <v>70</v>
      </c>
      <c r="D3153" s="6" t="str">
        <f t="array" ref="D3153">IFERROR(INDEX(user_table!$C$2:$C3686,MATCH(C3153,user_table!$B$2:$B3686,0)),"")
</f>
        <v>Fandi Hadiwijaya</v>
      </c>
      <c r="E3153" s="6" t="str">
        <f t="array" ref="E3153">IFERROR(INDEX(user_table!$E$2:$E3686,MATCH(C3153,user_table!$B$2:$B3686,0)),"")
</f>
        <v>1, 4</v>
      </c>
      <c r="F3153" s="6" t="str">
        <f t="shared" si="2"/>
        <v>1225270</v>
      </c>
      <c r="G3153" s="21">
        <v>5.0</v>
      </c>
      <c r="H3153" s="3">
        <v>44721.0</v>
      </c>
      <c r="I3153" s="22" t="s">
        <v>3078</v>
      </c>
    </row>
    <row r="3154">
      <c r="A3154" s="5" t="str">
        <f t="array" ref="A3154">INDEX(event_table!$A$2:$A$69, RANDBETWEEN(1, COUNTA(event_table!$A$2:$A$69)))</f>
        <v>3166</v>
      </c>
      <c r="B3154" s="6">
        <f t="array" ref="B3154">IFERROR(INDEX(event_table!$E$1:$E3686,MATCH(A3154,event_table!$A$1:$A3686,0)),"")
</f>
        <v>1</v>
      </c>
      <c r="C3154" s="7">
        <f t="shared" si="1"/>
        <v>193</v>
      </c>
      <c r="D3154" s="6" t="str">
        <f t="array" ref="D3154">IFERROR(INDEX(user_table!$C$2:$C3686,MATCH(C3154,user_table!$B$2:$B3686,0)),"")
</f>
        <v>Dina Wijaya</v>
      </c>
      <c r="E3154" s="6" t="str">
        <f t="array" ref="E3154">IFERROR(INDEX(user_table!$E$2:$E3686,MATCH(C3154,user_table!$B$2:$B3686,0)),"")
</f>
        <v>4, 5</v>
      </c>
      <c r="F3154" s="6" t="str">
        <f t="shared" si="2"/>
        <v>316651193</v>
      </c>
      <c r="G3154" s="21">
        <v>5.0</v>
      </c>
      <c r="H3154" s="3">
        <v>44718.0</v>
      </c>
      <c r="I3154" s="22" t="s">
        <v>2747</v>
      </c>
    </row>
    <row r="3155">
      <c r="A3155" s="5" t="str">
        <f t="array" ref="A3155">INDEX(event_table!$A$2:$A$69, RANDBETWEEN(1, COUNTA(event_table!$A$2:$A$69)))</f>
        <v>1418</v>
      </c>
      <c r="B3155" s="6">
        <f t="array" ref="B3155">IFERROR(INDEX(event_table!$E$1:$E3686,MATCH(A3155,event_table!$A$1:$A3686,0)),"")
</f>
        <v>4</v>
      </c>
      <c r="C3155" s="7">
        <f t="shared" si="1"/>
        <v>162</v>
      </c>
      <c r="D3155" s="6" t="str">
        <f t="array" ref="D3155">IFERROR(INDEX(user_table!$C$2:$C3686,MATCH(C3155,user_table!$B$2:$B3686,0)),"")
</f>
        <v>Dewi Nugroho</v>
      </c>
      <c r="E3155" s="6" t="str">
        <f t="array" ref="E3155">IFERROR(INDEX(user_table!$E$2:$E3686,MATCH(C3155,user_table!$B$2:$B3686,0)),"")
</f>
        <v>2, 5</v>
      </c>
      <c r="F3155" s="6" t="str">
        <f t="shared" si="2"/>
        <v>141854162</v>
      </c>
      <c r="G3155" s="21">
        <v>5.0</v>
      </c>
      <c r="H3155" s="3">
        <v>44708.0</v>
      </c>
      <c r="I3155" s="22" t="s">
        <v>3079</v>
      </c>
    </row>
    <row r="3156">
      <c r="A3156" s="5" t="str">
        <f t="array" ref="A3156">INDEX(event_table!$A$2:$A$69, RANDBETWEEN(1, COUNTA(event_table!$A$2:$A$69)))</f>
        <v>1421</v>
      </c>
      <c r="B3156" s="6">
        <f t="array" ref="B3156">IFERROR(INDEX(event_table!$E$1:$E3686,MATCH(A3156,event_table!$A$1:$A3686,0)),"")
</f>
        <v>4</v>
      </c>
      <c r="C3156" s="7">
        <f t="shared" si="1"/>
        <v>104</v>
      </c>
      <c r="D3156" s="6" t="str">
        <f t="array" ref="D3156">IFERROR(INDEX(user_table!$C$2:$C3686,MATCH(C3156,user_table!$B$2:$B3686,0)),"")
</f>
        <v>Fajar Utami</v>
      </c>
      <c r="E3156" s="6" t="str">
        <f t="array" ref="E3156">IFERROR(INDEX(user_table!$E$2:$E3686,MATCH(C3156,user_table!$B$2:$B3686,0)),"")
</f>
        <v>2, 5</v>
      </c>
      <c r="F3156" s="6" t="str">
        <f t="shared" si="2"/>
        <v>142154104</v>
      </c>
      <c r="G3156" s="21">
        <v>5.0</v>
      </c>
      <c r="H3156" s="3">
        <v>44697.0</v>
      </c>
      <c r="I3156" s="22" t="s">
        <v>3080</v>
      </c>
    </row>
    <row r="3157">
      <c r="A3157" s="5" t="str">
        <f t="array" ref="A3157">INDEX(event_table!$A$2:$A$69, RANDBETWEEN(1, COUNTA(event_table!$A$2:$A$69)))</f>
        <v>1425</v>
      </c>
      <c r="B3157" s="6">
        <f t="array" ref="B3157">IFERROR(INDEX(event_table!$E$1:$E3686,MATCH(A3157,event_table!$A$1:$A3686,0)),"")
</f>
        <v>4</v>
      </c>
      <c r="C3157" s="7">
        <f t="shared" si="1"/>
        <v>175</v>
      </c>
      <c r="D3157" s="6" t="str">
        <f t="array" ref="D3157">IFERROR(INDEX(user_table!$C$2:$C3686,MATCH(C3157,user_table!$B$2:$B3686,0)),"")
</f>
        <v>Siti Septiani</v>
      </c>
      <c r="E3157" s="6" t="str">
        <f t="array" ref="E3157">IFERROR(INDEX(user_table!$E$2:$E3686,MATCH(C3157,user_table!$B$2:$B3686,0)),"")
</f>
        <v>2, 5</v>
      </c>
      <c r="F3157" s="6" t="str">
        <f t="shared" si="2"/>
        <v>142554175</v>
      </c>
      <c r="G3157" s="21">
        <v>5.0</v>
      </c>
      <c r="H3157" s="3">
        <v>44687.0</v>
      </c>
      <c r="I3157" s="22" t="s">
        <v>3081</v>
      </c>
    </row>
    <row r="3158">
      <c r="A3158" s="5" t="str">
        <f t="array" ref="A3158">INDEX(event_table!$A$2:$A$69, RANDBETWEEN(1, COUNTA(event_table!$A$2:$A$69)))</f>
        <v>1333</v>
      </c>
      <c r="B3158" s="6">
        <f t="array" ref="B3158">IFERROR(INDEX(event_table!$E$1:$E3686,MATCH(A3158,event_table!$A$1:$A3686,0)),"")
</f>
        <v>3</v>
      </c>
      <c r="C3158" s="7">
        <f t="shared" si="1"/>
        <v>54</v>
      </c>
      <c r="D3158" s="6" t="str">
        <f t="array" ref="D3158">IFERROR(INDEX(user_table!$C$2:$C3686,MATCH(C3158,user_table!$B$2:$B3686,0)),"")
</f>
        <v>Andi Kurniawan</v>
      </c>
      <c r="E3158" s="6" t="str">
        <f t="array" ref="E3158">IFERROR(INDEX(user_table!$E$2:$E3686,MATCH(C3158,user_table!$B$2:$B3686,0)),"")
</f>
        <v>4, 4</v>
      </c>
      <c r="F3158" s="6" t="str">
        <f t="shared" si="2"/>
        <v>13335354</v>
      </c>
      <c r="G3158" s="21">
        <v>5.0</v>
      </c>
      <c r="H3158" s="3">
        <v>44900.0</v>
      </c>
      <c r="I3158" s="22" t="s">
        <v>165</v>
      </c>
    </row>
    <row r="3159">
      <c r="A3159" s="5" t="str">
        <f t="array" ref="A3159">INDEX(event_table!$A$2:$A$69, RANDBETWEEN(1, COUNTA(event_table!$A$2:$A$69)))</f>
        <v>1529</v>
      </c>
      <c r="B3159" s="6">
        <f t="array" ref="B3159">IFERROR(INDEX(event_table!$E$1:$E3686,MATCH(A3159,event_table!$A$1:$A3686,0)),"")
</f>
        <v>5</v>
      </c>
      <c r="C3159" s="7">
        <f t="shared" si="1"/>
        <v>14</v>
      </c>
      <c r="D3159" s="6" t="str">
        <f t="array" ref="D3159">IFERROR(INDEX(user_table!$C$2:$C3686,MATCH(C3159,user_table!$B$2:$B3686,0)),"")
</f>
        <v>Ani Purnama</v>
      </c>
      <c r="E3159" s="6" t="str">
        <f t="array" ref="E3159">IFERROR(INDEX(user_table!$E$2:$E3686,MATCH(C3159,user_table!$B$2:$B3686,0)),"")
</f>
        <v>6, 2</v>
      </c>
      <c r="F3159" s="6" t="str">
        <f t="shared" si="2"/>
        <v>15295514</v>
      </c>
      <c r="G3159" s="21">
        <v>5.0</v>
      </c>
      <c r="H3159" s="3">
        <v>44818.0</v>
      </c>
      <c r="I3159" s="22" t="s">
        <v>3082</v>
      </c>
    </row>
    <row r="3160">
      <c r="A3160" s="5" t="str">
        <f t="array" ref="A3160">INDEX(event_table!$A$2:$A$69, RANDBETWEEN(1, COUNTA(event_table!$A$2:$A$69)))</f>
        <v>3168</v>
      </c>
      <c r="B3160" s="6">
        <f t="array" ref="B3160">IFERROR(INDEX(event_table!$E$1:$E3686,MATCH(A3160,event_table!$A$1:$A3686,0)),"")
</f>
        <v>1</v>
      </c>
      <c r="C3160" s="7">
        <f t="shared" si="1"/>
        <v>94</v>
      </c>
      <c r="D3160" s="6" t="str">
        <f t="array" ref="D3160">IFERROR(INDEX(user_table!$C$2:$C3686,MATCH(C3160,user_table!$B$2:$B3686,0)),"")
</f>
        <v>Ani Susanto</v>
      </c>
      <c r="E3160" s="6" t="str">
        <f t="array" ref="E3160">IFERROR(INDEX(user_table!$E$2:$E3686,MATCH(C3160,user_table!$B$2:$B3686,0)),"")
</f>
        <v>2, 4</v>
      </c>
      <c r="F3160" s="6" t="str">
        <f t="shared" si="2"/>
        <v>31685194</v>
      </c>
      <c r="G3160" s="21">
        <v>5.0</v>
      </c>
      <c r="H3160" s="3">
        <v>44788.0</v>
      </c>
      <c r="I3160" s="22" t="s">
        <v>3083</v>
      </c>
    </row>
    <row r="3161">
      <c r="A3161" s="5" t="str">
        <f t="array" ref="A3161">INDEX(event_table!$A$2:$A$69, RANDBETWEEN(1, COUNTA(event_table!$A$2:$A$69)))</f>
        <v>1519</v>
      </c>
      <c r="B3161" s="6">
        <f t="array" ref="B3161">IFERROR(INDEX(event_table!$E$1:$E3686,MATCH(A3161,event_table!$A$1:$A3686,0)),"")
</f>
        <v>5</v>
      </c>
      <c r="C3161" s="7">
        <f t="shared" si="1"/>
        <v>87</v>
      </c>
      <c r="D3161" s="6" t="str">
        <f t="array" ref="D3161">IFERROR(INDEX(user_table!$C$2:$C3686,MATCH(C3161,user_table!$B$2:$B3686,0)),"")
</f>
        <v>Budi Setiawan</v>
      </c>
      <c r="E3161" s="6" t="str">
        <f t="array" ref="E3161">IFERROR(INDEX(user_table!$E$2:$E3686,MATCH(C3161,user_table!$B$2:$B3686,0)),"")
</f>
        <v>3, 5</v>
      </c>
      <c r="F3161" s="6" t="str">
        <f t="shared" si="2"/>
        <v>15195587</v>
      </c>
      <c r="G3161" s="21">
        <v>5.0</v>
      </c>
      <c r="H3161" s="3">
        <v>44721.0</v>
      </c>
      <c r="I3161" s="22" t="s">
        <v>3084</v>
      </c>
    </row>
    <row r="3162">
      <c r="A3162" s="5" t="str">
        <f t="array" ref="A3162">INDEX(event_table!$A$2:$A$69, RANDBETWEEN(1, COUNTA(event_table!$A$2:$A$69)))</f>
        <v>1553</v>
      </c>
      <c r="B3162" s="6">
        <f t="array" ref="B3162">IFERROR(INDEX(event_table!$E$1:$E3686,MATCH(A3162,event_table!$A$1:$A3686,0)),"")
</f>
        <v>5</v>
      </c>
      <c r="C3162" s="7">
        <f t="shared" si="1"/>
        <v>9</v>
      </c>
      <c r="D3162" s="6" t="str">
        <f t="array" ref="D3162">IFERROR(INDEX(user_table!$C$2:$C3686,MATCH(C3162,user_table!$B$2:$B3686,0)),"")
</f>
        <v>Dina Pratama</v>
      </c>
      <c r="E3162" s="6" t="str">
        <f t="array" ref="E3162">IFERROR(INDEX(user_table!$E$2:$E3686,MATCH(C3162,user_table!$B$2:$B3686,0)),"")
</f>
        <v>2, 3</v>
      </c>
      <c r="F3162" s="6" t="str">
        <f t="shared" si="2"/>
        <v>1553459</v>
      </c>
      <c r="G3162" s="21">
        <v>4.0</v>
      </c>
      <c r="H3162" s="3">
        <v>44837.0</v>
      </c>
      <c r="I3162" s="22" t="s">
        <v>3085</v>
      </c>
    </row>
    <row r="3163">
      <c r="A3163" s="5" t="str">
        <f t="array" ref="A3163">INDEX(event_table!$A$2:$A$69, RANDBETWEEN(1, COUNTA(event_table!$A$2:$A$69)))</f>
        <v>122</v>
      </c>
      <c r="B3163" s="6">
        <f t="array" ref="B3163">IFERROR(INDEX(event_table!$E$1:$E3686,MATCH(A3163,event_table!$A$1:$A3686,0)),"")
</f>
        <v>2</v>
      </c>
      <c r="C3163" s="7">
        <f t="shared" si="1"/>
        <v>147</v>
      </c>
      <c r="D3163" s="6" t="str">
        <f t="array" ref="D3163">IFERROR(INDEX(user_table!$C$2:$C3686,MATCH(C3163,user_table!$B$2:$B3686,0)),"")
</f>
        <v>Fajar Saputra</v>
      </c>
      <c r="E3163" s="6" t="str">
        <f t="array" ref="E3163">IFERROR(INDEX(user_table!$E$2:$E3686,MATCH(C3163,user_table!$B$2:$B3686,0)),"")
</f>
        <v>6, 2</v>
      </c>
      <c r="F3163" s="6" t="str">
        <f t="shared" si="2"/>
        <v>12242147</v>
      </c>
      <c r="G3163" s="21">
        <v>4.0</v>
      </c>
      <c r="H3163" s="3">
        <v>44837.0</v>
      </c>
      <c r="I3163" s="22" t="s">
        <v>3086</v>
      </c>
    </row>
    <row r="3164">
      <c r="A3164" s="5" t="str">
        <f t="array" ref="A3164">INDEX(event_table!$A$2:$A$69, RANDBETWEEN(1, COUNTA(event_table!$A$2:$A$69)))</f>
        <v>1529</v>
      </c>
      <c r="B3164" s="6">
        <f t="array" ref="B3164">IFERROR(INDEX(event_table!$E$1:$E3686,MATCH(A3164,event_table!$A$1:$A3686,0)),"")
</f>
        <v>5</v>
      </c>
      <c r="C3164" s="7">
        <f t="shared" si="1"/>
        <v>182</v>
      </c>
      <c r="D3164" s="6" t="str">
        <f t="array" ref="D3164">IFERROR(INDEX(user_table!$C$2:$C3686,MATCH(C3164,user_table!$B$2:$B3686,0)),"")
</f>
        <v>Siti Utami</v>
      </c>
      <c r="E3164" s="6" t="str">
        <f t="array" ref="E3164">IFERROR(INDEX(user_table!$E$2:$E3686,MATCH(C3164,user_table!$B$2:$B3686,0)),"")
</f>
        <v>5, 4</v>
      </c>
      <c r="F3164" s="6" t="str">
        <f t="shared" si="2"/>
        <v>152945182</v>
      </c>
      <c r="G3164" s="21">
        <v>4.0</v>
      </c>
      <c r="H3164" s="3">
        <v>44760.0</v>
      </c>
      <c r="I3164" s="22" t="s">
        <v>3087</v>
      </c>
    </row>
    <row r="3165">
      <c r="A3165" s="5" t="str">
        <f t="array" ref="A3165">INDEX(event_table!$A$2:$A$69, RANDBETWEEN(1, COUNTA(event_table!$A$2:$A$69)))</f>
        <v>1641</v>
      </c>
      <c r="B3165" s="6">
        <f t="array" ref="B3165">IFERROR(INDEX(event_table!$E$1:$E3686,MATCH(A3165,event_table!$A$1:$A3686,0)),"")
</f>
        <v>6</v>
      </c>
      <c r="C3165" s="7">
        <f t="shared" si="1"/>
        <v>1</v>
      </c>
      <c r="D3165" s="6" t="str">
        <f t="array" ref="D3165">IFERROR(INDEX(user_table!$C$2:$C3686,MATCH(C3165,user_table!$B$2:$B3686,0)),"")
</f>
        <v>Maya Putri</v>
      </c>
      <c r="E3165" s="6" t="str">
        <f t="array" ref="E3165">IFERROR(INDEX(user_table!$E$2:$E3686,MATCH(C3165,user_table!$B$2:$B3686,0)),"")
</f>
        <v>5, 6</v>
      </c>
      <c r="F3165" s="6" t="str">
        <f t="shared" si="2"/>
        <v>1641461</v>
      </c>
      <c r="G3165" s="21">
        <v>4.0</v>
      </c>
      <c r="H3165" s="3">
        <v>44721.0</v>
      </c>
      <c r="I3165" s="22" t="s">
        <v>3088</v>
      </c>
    </row>
    <row r="3166">
      <c r="A3166" s="5" t="str">
        <f t="array" ref="A3166">INDEX(event_table!$A$2:$A$69, RANDBETWEEN(1, COUNTA(event_table!$A$2:$A$69)))</f>
        <v>3170</v>
      </c>
      <c r="B3166" s="6">
        <f t="array" ref="B3166">IFERROR(INDEX(event_table!$E$1:$E3686,MATCH(A3166,event_table!$A$1:$A3686,0)),"")
</f>
        <v>1</v>
      </c>
      <c r="C3166" s="7">
        <f t="shared" si="1"/>
        <v>55</v>
      </c>
      <c r="D3166" s="6" t="str">
        <f t="array" ref="D3166">IFERROR(INDEX(user_table!$C$2:$C3686,MATCH(C3166,user_table!$B$2:$B3686,0)),"")
</f>
        <v>Joko Sari</v>
      </c>
      <c r="E3166" s="6" t="str">
        <f t="array" ref="E3166">IFERROR(INDEX(user_table!$E$2:$E3686,MATCH(C3166,user_table!$B$2:$B3686,0)),"")
</f>
        <v>6, 6</v>
      </c>
      <c r="F3166" s="6" t="str">
        <f t="shared" si="2"/>
        <v>31704155</v>
      </c>
      <c r="G3166" s="21">
        <v>4.0</v>
      </c>
      <c r="H3166" s="3">
        <v>44687.0</v>
      </c>
      <c r="I3166" s="22" t="s">
        <v>3089</v>
      </c>
    </row>
    <row r="3167">
      <c r="A3167" s="5" t="str">
        <f t="array" ref="A3167">INDEX(event_table!$A$2:$A$69, RANDBETWEEN(1, COUNTA(event_table!$A$2:$A$69)))</f>
        <v>1423</v>
      </c>
      <c r="B3167" s="6">
        <f t="array" ref="B3167">IFERROR(INDEX(event_table!$E$1:$E3686,MATCH(A3167,event_table!$A$1:$A3686,0)),"")
</f>
        <v>4</v>
      </c>
      <c r="C3167" s="7">
        <f t="shared" si="1"/>
        <v>168</v>
      </c>
      <c r="D3167" s="6" t="str">
        <f t="array" ref="D3167">IFERROR(INDEX(user_table!$C$2:$C3686,MATCH(C3167,user_table!$B$2:$B3686,0)),"")
</f>
        <v>Lina Kurniawan</v>
      </c>
      <c r="E3167" s="6" t="str">
        <f t="array" ref="E3167">IFERROR(INDEX(user_table!$E$2:$E3686,MATCH(C3167,user_table!$B$2:$B3686,0)),"")
</f>
        <v>2, 2</v>
      </c>
      <c r="F3167" s="6" t="str">
        <f t="shared" si="2"/>
        <v>142344168</v>
      </c>
      <c r="G3167" s="21">
        <v>4.0</v>
      </c>
      <c r="H3167" s="3">
        <v>44682.0</v>
      </c>
      <c r="I3167" s="22" t="s">
        <v>3090</v>
      </c>
    </row>
    <row r="3168">
      <c r="A3168" s="5" t="str">
        <f t="array" ref="A3168">INDEX(event_table!$A$2:$A$69, RANDBETWEEN(1, COUNTA(event_table!$A$2:$A$69)))</f>
        <v>1427</v>
      </c>
      <c r="B3168" s="6">
        <f t="array" ref="B3168">IFERROR(INDEX(event_table!$E$1:$E3686,MATCH(A3168,event_table!$A$1:$A3686,0)),"")
</f>
        <v>4</v>
      </c>
      <c r="C3168" s="7">
        <f t="shared" si="1"/>
        <v>184</v>
      </c>
      <c r="D3168" s="6" t="str">
        <f t="array" ref="D3168">IFERROR(INDEX(user_table!$C$2:$C3686,MATCH(C3168,user_table!$B$2:$B3686,0)),"")
</f>
        <v>Dewi Hadiwijaya</v>
      </c>
      <c r="E3168" s="6" t="str">
        <f t="array" ref="E3168">IFERROR(INDEX(user_table!$E$2:$E3686,MATCH(C3168,user_table!$B$2:$B3686,0)),"")
</f>
        <v>2, 1</v>
      </c>
      <c r="F3168" s="6" t="str">
        <f t="shared" si="2"/>
        <v>142744184</v>
      </c>
      <c r="G3168" s="21">
        <v>4.0</v>
      </c>
      <c r="H3168" s="3">
        <v>44923.0</v>
      </c>
      <c r="I3168" s="22" t="s">
        <v>3091</v>
      </c>
    </row>
    <row r="3169">
      <c r="A3169" s="5" t="str">
        <f t="array" ref="A3169">INDEX(event_table!$A$2:$A$69, RANDBETWEEN(1, COUNTA(event_table!$A$2:$A$69)))</f>
        <v>3165</v>
      </c>
      <c r="B3169" s="6">
        <f t="array" ref="B3169">IFERROR(INDEX(event_table!$E$1:$E3686,MATCH(A3169,event_table!$A$1:$A3686,0)),"")
</f>
        <v>1</v>
      </c>
      <c r="C3169" s="7">
        <f t="shared" si="1"/>
        <v>25</v>
      </c>
      <c r="D3169" s="6" t="str">
        <f t="array" ref="D3169">IFERROR(INDEX(user_table!$C$2:$C3686,MATCH(C3169,user_table!$B$2:$B3686,0)),"")
</f>
        <v>Agus Hartono</v>
      </c>
      <c r="E3169" s="6" t="str">
        <f t="array" ref="E3169">IFERROR(INDEX(user_table!$E$2:$E3686,MATCH(C3169,user_table!$B$2:$B3686,0)),"")
</f>
        <v>6, 3</v>
      </c>
      <c r="F3169" s="6" t="str">
        <f t="shared" si="2"/>
        <v>31653125</v>
      </c>
      <c r="G3169" s="21">
        <v>3.0</v>
      </c>
      <c r="H3169" s="3">
        <v>44703.0</v>
      </c>
      <c r="I3169" s="22" t="s">
        <v>3092</v>
      </c>
    </row>
    <row r="3170">
      <c r="A3170" s="5" t="str">
        <f t="array" ref="A3170">INDEX(event_table!$A$2:$A$69, RANDBETWEEN(1, COUNTA(event_table!$A$2:$A$69)))</f>
        <v>1526</v>
      </c>
      <c r="B3170" s="6">
        <f t="array" ref="B3170">IFERROR(INDEX(event_table!$E$1:$E3686,MATCH(A3170,event_table!$A$1:$A3686,0)),"")
</f>
        <v>5</v>
      </c>
      <c r="C3170" s="7">
        <f t="shared" si="1"/>
        <v>172</v>
      </c>
      <c r="D3170" s="6" t="str">
        <f t="array" ref="D3170">IFERROR(INDEX(user_table!$C$2:$C3686,MATCH(C3170,user_table!$B$2:$B3686,0)),"")
</f>
        <v>Dian Kurniawan</v>
      </c>
      <c r="E3170" s="6" t="str">
        <f t="array" ref="E3170">IFERROR(INDEX(user_table!$E$2:$E3686,MATCH(C3170,user_table!$B$2:$B3686,0)),"")
</f>
        <v>1, 2</v>
      </c>
      <c r="F3170" s="6" t="str">
        <f t="shared" si="2"/>
        <v>152635172</v>
      </c>
      <c r="G3170" s="21">
        <v>3.0</v>
      </c>
      <c r="H3170" s="3">
        <v>44762.0</v>
      </c>
      <c r="I3170" s="22" t="s">
        <v>3093</v>
      </c>
    </row>
    <row r="3171">
      <c r="A3171" s="5" t="str">
        <f t="array" ref="A3171">INDEX(event_table!$A$2:$A$69, RANDBETWEEN(1, COUNTA(event_table!$A$2:$A$69)))</f>
        <v>113</v>
      </c>
      <c r="B3171" s="6">
        <f t="array" ref="B3171">IFERROR(INDEX(event_table!$E$1:$E3686,MATCH(A3171,event_table!$A$1:$A3686,0)),"")
</f>
        <v>1</v>
      </c>
      <c r="C3171" s="7">
        <f t="shared" si="1"/>
        <v>26</v>
      </c>
      <c r="D3171" s="6" t="str">
        <f t="array" ref="D3171">IFERROR(INDEX(user_table!$C$2:$C3686,MATCH(C3171,user_table!$B$2:$B3686,0)),"")
</f>
        <v>Citra Sari</v>
      </c>
      <c r="E3171" s="6" t="str">
        <f t="array" ref="E3171">IFERROR(INDEX(user_table!$E$2:$E3686,MATCH(C3171,user_table!$B$2:$B3686,0)),"")
</f>
        <v>5, 1</v>
      </c>
      <c r="F3171" s="6" t="str">
        <f t="shared" si="2"/>
        <v>1133126</v>
      </c>
      <c r="G3171" s="21">
        <v>3.0</v>
      </c>
      <c r="H3171" s="3">
        <v>45264.0</v>
      </c>
      <c r="I3171" s="22" t="s">
        <v>3094</v>
      </c>
    </row>
    <row r="3172">
      <c r="A3172" s="5" t="str">
        <f t="array" ref="A3172">INDEX(event_table!$A$2:$A$69, RANDBETWEEN(1, COUNTA(event_table!$A$2:$A$69)))</f>
        <v>3165</v>
      </c>
      <c r="B3172" s="6">
        <f t="array" ref="B3172">IFERROR(INDEX(event_table!$E$1:$E3686,MATCH(A3172,event_table!$A$1:$A3686,0)),"")
</f>
        <v>1</v>
      </c>
      <c r="C3172" s="7">
        <f t="shared" si="1"/>
        <v>128</v>
      </c>
      <c r="D3172" s="6" t="str">
        <f t="array" ref="D3172">IFERROR(INDEX(user_table!$C$2:$C3686,MATCH(C3172,user_table!$B$2:$B3686,0)),"")
</f>
        <v>Bambang Utami</v>
      </c>
      <c r="E3172" s="6" t="str">
        <f t="array" ref="E3172">IFERROR(INDEX(user_table!$E$2:$E3686,MATCH(C3172,user_table!$B$2:$B3686,0)),"")
</f>
        <v>3, 6</v>
      </c>
      <c r="F3172" s="6" t="str">
        <f t="shared" si="2"/>
        <v>316531128</v>
      </c>
      <c r="G3172" s="21">
        <v>3.0</v>
      </c>
      <c r="H3172" s="3">
        <v>45166.0</v>
      </c>
      <c r="I3172" s="22" t="s">
        <v>3095</v>
      </c>
    </row>
    <row r="3173">
      <c r="A3173" s="5" t="str">
        <f t="array" ref="A3173">INDEX(event_table!$A$2:$A$69, RANDBETWEEN(1, COUNTA(event_table!$A$2:$A$69)))</f>
        <v>1530</v>
      </c>
      <c r="B3173" s="6">
        <f t="array" ref="B3173">IFERROR(INDEX(event_table!$E$1:$E3686,MATCH(A3173,event_table!$A$1:$A3686,0)),"")
</f>
        <v>5</v>
      </c>
      <c r="C3173" s="7">
        <f t="shared" si="1"/>
        <v>191</v>
      </c>
      <c r="D3173" s="6" t="str">
        <f t="array" ref="D3173">IFERROR(INDEX(user_table!$C$2:$C3686,MATCH(C3173,user_table!$B$2:$B3686,0)),"")
</f>
        <v>Rudi Hermawan</v>
      </c>
      <c r="E3173" s="6" t="str">
        <f t="array" ref="E3173">IFERROR(INDEX(user_table!$E$2:$E3686,MATCH(C3173,user_table!$B$2:$B3686,0)),"")
</f>
        <v>5, 6</v>
      </c>
      <c r="F3173" s="6" t="str">
        <f t="shared" si="2"/>
        <v>153035191</v>
      </c>
      <c r="G3173" s="21">
        <v>3.0</v>
      </c>
      <c r="H3173" s="3">
        <v>45162.0</v>
      </c>
      <c r="I3173" s="22" t="s">
        <v>3096</v>
      </c>
    </row>
    <row r="3174">
      <c r="A3174" s="5" t="str">
        <f t="array" ref="A3174">INDEX(event_table!$A$2:$A$69, RANDBETWEEN(1, COUNTA(event_table!$A$2:$A$69)))</f>
        <v>3170</v>
      </c>
      <c r="B3174" s="6">
        <f t="array" ref="B3174">IFERROR(INDEX(event_table!$E$1:$E3686,MATCH(A3174,event_table!$A$1:$A3686,0)),"")
</f>
        <v>1</v>
      </c>
      <c r="C3174" s="7">
        <f t="shared" si="1"/>
        <v>81</v>
      </c>
      <c r="D3174" s="6" t="str">
        <f t="array" ref="D3174">IFERROR(INDEX(user_table!$C$2:$C3686,MATCH(C3174,user_table!$B$2:$B3686,0)),"")
</f>
        <v>Lina Rahayu</v>
      </c>
      <c r="E3174" s="6" t="str">
        <f t="array" ref="E3174">IFERROR(INDEX(user_table!$E$2:$E3686,MATCH(C3174,user_table!$B$2:$B3686,0)),"")
</f>
        <v>2, 1</v>
      </c>
      <c r="F3174" s="6" t="str">
        <f t="shared" si="2"/>
        <v>31702181</v>
      </c>
      <c r="G3174" s="21">
        <v>2.0</v>
      </c>
      <c r="H3174" s="3">
        <v>45104.0</v>
      </c>
      <c r="I3174" s="22" t="s">
        <v>3097</v>
      </c>
    </row>
    <row r="3175">
      <c r="A3175" s="5" t="str">
        <f t="array" ref="A3175">INDEX(event_table!$A$2:$A$69, RANDBETWEEN(1, COUNTA(event_table!$A$2:$A$69)))</f>
        <v>1313</v>
      </c>
      <c r="B3175" s="6">
        <f t="array" ref="B3175">IFERROR(INDEX(event_table!$E$1:$E3686,MATCH(A3175,event_table!$A$1:$A3686,0)),"")
</f>
        <v>3</v>
      </c>
      <c r="C3175" s="7">
        <f t="shared" si="1"/>
        <v>22</v>
      </c>
      <c r="D3175" s="6" t="str">
        <f t="array" ref="D3175">IFERROR(INDEX(user_table!$C$2:$C3686,MATCH(C3175,user_table!$B$2:$B3686,0)),"")
</f>
        <v>Fajar Wijaya</v>
      </c>
      <c r="E3175" s="6" t="str">
        <f t="array" ref="E3175">IFERROR(INDEX(user_table!$E$2:$E3686,MATCH(C3175,user_table!$B$2:$B3686,0)),"")
</f>
        <v>2, 6</v>
      </c>
      <c r="F3175" s="6" t="str">
        <f t="shared" si="2"/>
        <v>13132322</v>
      </c>
      <c r="G3175" s="21">
        <v>2.0</v>
      </c>
      <c r="H3175" s="3">
        <v>45053.0</v>
      </c>
      <c r="I3175" s="22" t="s">
        <v>3098</v>
      </c>
    </row>
    <row r="3176">
      <c r="A3176" s="5" t="str">
        <f t="array" ref="A3176">INDEX(event_table!$A$2:$A$69, RANDBETWEEN(1, COUNTA(event_table!$A$2:$A$69)))</f>
        <v>1530</v>
      </c>
      <c r="B3176" s="6">
        <f t="array" ref="B3176">IFERROR(INDEX(event_table!$E$1:$E3686,MATCH(A3176,event_table!$A$1:$A3686,0)),"")
</f>
        <v>5</v>
      </c>
      <c r="C3176" s="7">
        <f t="shared" si="1"/>
        <v>18</v>
      </c>
      <c r="D3176" s="6" t="str">
        <f t="array" ref="D3176">IFERROR(INDEX(user_table!$C$2:$C3686,MATCH(C3176,user_table!$B$2:$B3686,0)),"")
</f>
        <v>Rudi Santoso</v>
      </c>
      <c r="E3176" s="6" t="str">
        <f t="array" ref="E3176">IFERROR(INDEX(user_table!$E$2:$E3686,MATCH(C3176,user_table!$B$2:$B3686,0)),"")
</f>
        <v>4, 2</v>
      </c>
      <c r="F3176" s="6" t="str">
        <f t="shared" si="2"/>
        <v>15302518</v>
      </c>
      <c r="G3176" s="21">
        <v>2.0</v>
      </c>
      <c r="H3176" s="3">
        <v>44942.0</v>
      </c>
      <c r="I3176" s="22" t="s">
        <v>3099</v>
      </c>
    </row>
    <row r="3177">
      <c r="A3177" s="5" t="str">
        <f t="array" ref="A3177">INDEX(event_table!$A$2:$A$69, RANDBETWEEN(1, COUNTA(event_table!$A$2:$A$69)))</f>
        <v>1110</v>
      </c>
      <c r="B3177" s="6">
        <f t="array" ref="B3177">IFERROR(INDEX(event_table!$E$1:$E3686,MATCH(A3177,event_table!$A$1:$A3686,0)),"")
</f>
        <v>1</v>
      </c>
      <c r="C3177" s="7">
        <f t="shared" si="1"/>
        <v>23</v>
      </c>
      <c r="D3177" s="6" t="str">
        <f t="array" ref="D3177">IFERROR(INDEX(user_table!$C$2:$C3686,MATCH(C3177,user_table!$B$2:$B3686,0)),"")
</f>
        <v>Fajar Kusuma</v>
      </c>
      <c r="E3177" s="6" t="str">
        <f t="array" ref="E3177">IFERROR(INDEX(user_table!$E$2:$E3686,MATCH(C3177,user_table!$B$2:$B3686,0)),"")
</f>
        <v>4, 1</v>
      </c>
      <c r="F3177" s="6" t="str">
        <f t="shared" si="2"/>
        <v>11102123</v>
      </c>
      <c r="G3177" s="21">
        <v>2.0</v>
      </c>
      <c r="H3177" s="3">
        <v>44758.0</v>
      </c>
      <c r="I3177" s="22" t="s">
        <v>37</v>
      </c>
    </row>
    <row r="3178">
      <c r="A3178" s="5" t="str">
        <f t="array" ref="A3178">INDEX(event_table!$A$2:$A$69, RANDBETWEEN(1, COUNTA(event_table!$A$2:$A$69)))</f>
        <v>3168</v>
      </c>
      <c r="B3178" s="6">
        <f t="array" ref="B3178">IFERROR(INDEX(event_table!$E$1:$E3686,MATCH(A3178,event_table!$A$1:$A3686,0)),"")
</f>
        <v>1</v>
      </c>
      <c r="C3178" s="7">
        <f t="shared" si="1"/>
        <v>27</v>
      </c>
      <c r="D3178" s="6" t="str">
        <f t="array" ref="D3178">IFERROR(INDEX(user_table!$C$2:$C3686,MATCH(C3178,user_table!$B$2:$B3686,0)),"")
</f>
        <v>Fandi Purnama</v>
      </c>
      <c r="E3178" s="6" t="str">
        <f t="array" ref="E3178">IFERROR(INDEX(user_table!$E$2:$E3686,MATCH(C3178,user_table!$B$2:$B3686,0)),"")
</f>
        <v>4, 6</v>
      </c>
      <c r="F3178" s="6" t="str">
        <f t="shared" si="2"/>
        <v>31682127</v>
      </c>
      <c r="G3178" s="21">
        <v>2.0</v>
      </c>
      <c r="H3178" s="3">
        <v>44686.0</v>
      </c>
      <c r="I3178" s="22" t="s">
        <v>3100</v>
      </c>
    </row>
    <row r="3179">
      <c r="A3179" s="5" t="str">
        <f t="array" ref="A3179">INDEX(event_table!$A$2:$A$69, RANDBETWEEN(1, COUNTA(event_table!$A$2:$A$69)))</f>
        <v>1332</v>
      </c>
      <c r="B3179" s="6">
        <f t="array" ref="B3179">IFERROR(INDEX(event_table!$E$1:$E3686,MATCH(A3179,event_table!$A$1:$A3686,0)),"")
</f>
        <v>3</v>
      </c>
      <c r="C3179" s="7">
        <f t="shared" si="1"/>
        <v>163</v>
      </c>
      <c r="D3179" s="6" t="str">
        <f t="array" ref="D3179">IFERROR(INDEX(user_table!$C$2:$C3686,MATCH(C3179,user_table!$B$2:$B3686,0)),"")
</f>
        <v>Budi Susanto</v>
      </c>
      <c r="E3179" s="6" t="str">
        <f t="array" ref="E3179">IFERROR(INDEX(user_table!$E$2:$E3686,MATCH(C3179,user_table!$B$2:$B3686,0)),"")
</f>
        <v>6, 3</v>
      </c>
      <c r="F3179" s="6" t="str">
        <f t="shared" si="2"/>
        <v>133223163</v>
      </c>
      <c r="G3179" s="21">
        <v>2.0</v>
      </c>
      <c r="H3179" s="3">
        <v>44685.0</v>
      </c>
      <c r="I3179" s="22" t="s">
        <v>1283</v>
      </c>
    </row>
    <row r="3180">
      <c r="A3180" s="5" t="str">
        <f t="array" ref="A3180">INDEX(event_table!$A$2:$A$69, RANDBETWEEN(1, COUNTA(event_table!$A$2:$A$69)))</f>
        <v>1645</v>
      </c>
      <c r="B3180" s="6">
        <f t="array" ref="B3180">IFERROR(INDEX(event_table!$E$1:$E3686,MATCH(A3180,event_table!$A$1:$A3686,0)),"")
</f>
        <v>6</v>
      </c>
      <c r="C3180" s="7">
        <f t="shared" si="1"/>
        <v>196</v>
      </c>
      <c r="D3180" s="6" t="str">
        <f t="array" ref="D3180">IFERROR(INDEX(user_table!$C$2:$C3686,MATCH(C3180,user_table!$B$2:$B3686,0)),"")
</f>
        <v>Dewi Susanto</v>
      </c>
      <c r="E3180" s="6" t="str">
        <f t="array" ref="E3180">IFERROR(INDEX(user_table!$E$2:$E3686,MATCH(C3180,user_table!$B$2:$B3686,0)),"")
</f>
        <v>2, 1</v>
      </c>
      <c r="F3180" s="6" t="str">
        <f t="shared" si="2"/>
        <v>164526196</v>
      </c>
      <c r="G3180" s="21">
        <v>2.0</v>
      </c>
      <c r="H3180" s="3">
        <v>44614.0</v>
      </c>
      <c r="I3180" s="22" t="s">
        <v>3101</v>
      </c>
    </row>
    <row r="3181">
      <c r="A3181" s="5" t="str">
        <f t="array" ref="A3181">INDEX(event_table!$A$2:$A$69, RANDBETWEEN(1, COUNTA(event_table!$A$2:$A$69)))</f>
        <v>3454</v>
      </c>
      <c r="B3181" s="6">
        <f t="array" ref="B3181">IFERROR(INDEX(event_table!$E$1:$E3686,MATCH(A3181,event_table!$A$1:$A3686,0)),"")
</f>
        <v>4</v>
      </c>
      <c r="C3181" s="7">
        <f t="shared" si="1"/>
        <v>192</v>
      </c>
      <c r="D3181" s="6" t="str">
        <f t="array" ref="D3181">IFERROR(INDEX(user_table!$C$2:$C3686,MATCH(C3181,user_table!$B$2:$B3686,0)),"")
</f>
        <v>Joko Hadiwijaya</v>
      </c>
      <c r="E3181" s="6" t="str">
        <f t="array" ref="E3181">IFERROR(INDEX(user_table!$E$2:$E3686,MATCH(C3181,user_table!$B$2:$B3686,0)),"")
</f>
        <v>1, 3</v>
      </c>
      <c r="F3181" s="6" t="str">
        <f t="shared" si="2"/>
        <v>345424192</v>
      </c>
      <c r="G3181" s="21">
        <v>2.0</v>
      </c>
      <c r="H3181" s="3">
        <v>44313.0</v>
      </c>
      <c r="I3181" s="22" t="s">
        <v>3102</v>
      </c>
    </row>
    <row r="3182">
      <c r="A3182" s="5" t="str">
        <f t="array" ref="A3182">INDEX(event_table!$A$2:$A$69, RANDBETWEEN(1, COUNTA(event_table!$A$2:$A$69)))</f>
        <v>111</v>
      </c>
      <c r="B3182" s="6">
        <f t="array" ref="B3182">IFERROR(INDEX(event_table!$E$1:$E3686,MATCH(A3182,event_table!$A$1:$A3686,0)),"")
</f>
        <v>1</v>
      </c>
      <c r="C3182" s="7">
        <f t="shared" si="1"/>
        <v>196</v>
      </c>
      <c r="D3182" s="6" t="str">
        <f t="array" ref="D3182">IFERROR(INDEX(user_table!$C$2:$C3686,MATCH(C3182,user_table!$B$2:$B3686,0)),"")
</f>
        <v>Dewi Susanto</v>
      </c>
      <c r="E3182" s="6" t="str">
        <f t="array" ref="E3182">IFERROR(INDEX(user_table!$E$2:$E3686,MATCH(C3182,user_table!$B$2:$B3686,0)),"")
</f>
        <v>2, 1</v>
      </c>
      <c r="F3182" s="6" t="str">
        <f t="shared" si="2"/>
        <v>11121196</v>
      </c>
      <c r="G3182" s="21">
        <v>2.0</v>
      </c>
      <c r="H3182" s="3">
        <v>45268.0</v>
      </c>
      <c r="I3182" s="22" t="s">
        <v>3103</v>
      </c>
    </row>
    <row r="3183">
      <c r="A3183" s="5" t="str">
        <f t="array" ref="A3183">INDEX(event_table!$A$2:$A$69, RANDBETWEEN(1, COUNTA(event_table!$A$2:$A$69)))</f>
        <v>3657</v>
      </c>
      <c r="B3183" s="6">
        <f t="array" ref="B3183">IFERROR(INDEX(event_table!$E$1:$E3686,MATCH(A3183,event_table!$A$1:$A3686,0)),"")
</f>
        <v>6</v>
      </c>
      <c r="C3183" s="7">
        <f t="shared" si="1"/>
        <v>132</v>
      </c>
      <c r="D3183" s="6" t="str">
        <f t="array" ref="D3183">IFERROR(INDEX(user_table!$C$2:$C3686,MATCH(C3183,user_table!$B$2:$B3686,0)),"")
</f>
        <v>Joko Hartono</v>
      </c>
      <c r="E3183" s="6" t="str">
        <f t="array" ref="E3183">IFERROR(INDEX(user_table!$E$2:$E3686,MATCH(C3183,user_table!$B$2:$B3686,0)),"")
</f>
        <v>1, 3</v>
      </c>
      <c r="F3183" s="6" t="str">
        <f t="shared" si="2"/>
        <v>365726132</v>
      </c>
      <c r="G3183" s="21">
        <v>2.0</v>
      </c>
      <c r="H3183" s="3">
        <v>45138.0</v>
      </c>
      <c r="I3183" s="22" t="s">
        <v>3104</v>
      </c>
    </row>
    <row r="3184">
      <c r="A3184" s="5" t="str">
        <f t="array" ref="A3184">INDEX(event_table!$A$2:$A$69, RANDBETWEEN(1, COUNTA(event_table!$A$2:$A$69)))</f>
        <v>1332</v>
      </c>
      <c r="B3184" s="6">
        <f t="array" ref="B3184">IFERROR(INDEX(event_table!$E$1:$E3686,MATCH(A3184,event_table!$A$1:$A3686,0)),"")
</f>
        <v>3</v>
      </c>
      <c r="C3184" s="7">
        <f t="shared" si="1"/>
        <v>20</v>
      </c>
      <c r="D3184" s="6" t="str">
        <f t="array" ref="D3184">IFERROR(INDEX(user_table!$C$2:$C3686,MATCH(C3184,user_table!$B$2:$B3686,0)),"")
</f>
        <v>Arif Septiani</v>
      </c>
      <c r="E3184" s="6" t="str">
        <f t="array" ref="E3184">IFERROR(INDEX(user_table!$E$2:$E3686,MATCH(C3184,user_table!$B$2:$B3686,0)),"")
</f>
        <v>6, 3</v>
      </c>
      <c r="F3184" s="6" t="str">
        <f t="shared" si="2"/>
        <v>13321320</v>
      </c>
      <c r="G3184" s="21">
        <v>1.0</v>
      </c>
      <c r="H3184" s="3">
        <v>45264.0</v>
      </c>
      <c r="I3184" s="22" t="s">
        <v>3105</v>
      </c>
    </row>
    <row r="3185">
      <c r="A3185" s="5" t="str">
        <f t="array" ref="A3185">INDEX(event_table!$A$2:$A$69, RANDBETWEEN(1, COUNTA(event_table!$A$2:$A$69)))</f>
        <v>1647</v>
      </c>
      <c r="B3185" s="6">
        <f t="array" ref="B3185">IFERROR(INDEX(event_table!$E$1:$E3686,MATCH(A3185,event_table!$A$1:$A3686,0)),"")
</f>
        <v>6</v>
      </c>
      <c r="C3185" s="7">
        <f t="shared" si="1"/>
        <v>151</v>
      </c>
      <c r="D3185" s="6" t="str">
        <f t="array" ref="D3185">IFERROR(INDEX(user_table!$C$2:$C3686,MATCH(C3185,user_table!$B$2:$B3686,0)),"")
</f>
        <v>Maya Hidayat</v>
      </c>
      <c r="E3185" s="6" t="str">
        <f t="array" ref="E3185">IFERROR(INDEX(user_table!$E$2:$E3686,MATCH(C3185,user_table!$B$2:$B3686,0)),"")
</f>
        <v>2, 3</v>
      </c>
      <c r="F3185" s="6" t="str">
        <f t="shared" si="2"/>
        <v>164716151</v>
      </c>
      <c r="G3185" s="21">
        <v>1.0</v>
      </c>
      <c r="H3185" s="3">
        <v>45228.0</v>
      </c>
      <c r="I3185" s="22" t="s">
        <v>3106</v>
      </c>
    </row>
    <row r="3186">
      <c r="A3186" s="5" t="str">
        <f t="array" ref="A3186">INDEX(event_table!$A$2:$A$69, RANDBETWEEN(1, COUNTA(event_table!$A$2:$A$69)))</f>
        <v>1423</v>
      </c>
      <c r="B3186" s="6">
        <f t="array" ref="B3186">IFERROR(INDEX(event_table!$E$1:$E3686,MATCH(A3186,event_table!$A$1:$A3686,0)),"")
</f>
        <v>4</v>
      </c>
      <c r="C3186" s="7">
        <f t="shared" si="1"/>
        <v>116</v>
      </c>
      <c r="D3186" s="6" t="str">
        <f t="array" ref="D3186">IFERROR(INDEX(user_table!$C$2:$C3686,MATCH(C3186,user_table!$B$2:$B3686,0)),"")
</f>
        <v>Fandi Hartono</v>
      </c>
      <c r="E3186" s="6" t="str">
        <f t="array" ref="E3186">IFERROR(INDEX(user_table!$E$2:$E3686,MATCH(C3186,user_table!$B$2:$B3686,0)),"")
</f>
        <v>2, 1</v>
      </c>
      <c r="F3186" s="6" t="str">
        <f t="shared" si="2"/>
        <v>142314116</v>
      </c>
      <c r="G3186" s="21">
        <v>1.0</v>
      </c>
      <c r="H3186" s="3">
        <v>45269.0</v>
      </c>
      <c r="I3186" s="22" t="s">
        <v>3107</v>
      </c>
    </row>
    <row r="3187">
      <c r="A3187" s="5" t="str">
        <f t="array" ref="A3187">INDEX(event_table!$A$2:$A$69, RANDBETWEEN(1, COUNTA(event_table!$A$2:$A$69)))</f>
        <v>1422</v>
      </c>
      <c r="B3187" s="6">
        <f t="array" ref="B3187">IFERROR(INDEX(event_table!$E$1:$E3686,MATCH(A3187,event_table!$A$1:$A3686,0)),"")
</f>
        <v>4</v>
      </c>
      <c r="C3187" s="7">
        <f t="shared" si="1"/>
        <v>44</v>
      </c>
      <c r="D3187" s="6" t="str">
        <f t="array" ref="D3187">IFERROR(INDEX(user_table!$C$2:$C3686,MATCH(C3187,user_table!$B$2:$B3686,0)),"")
</f>
        <v>Arif Sari</v>
      </c>
      <c r="E3187" s="6" t="str">
        <f t="array" ref="E3187">IFERROR(INDEX(user_table!$E$2:$E3686,MATCH(C3187,user_table!$B$2:$B3686,0)),"")
</f>
        <v>2, 4</v>
      </c>
      <c r="F3187" s="6" t="str">
        <f t="shared" si="2"/>
        <v>14221444</v>
      </c>
      <c r="G3187" s="21">
        <v>1.0</v>
      </c>
      <c r="H3187" s="3">
        <v>45121.0</v>
      </c>
      <c r="I3187" s="22" t="s">
        <v>3108</v>
      </c>
    </row>
    <row r="3188">
      <c r="A3188" s="5" t="str">
        <f t="array" ref="A3188">INDEX(event_table!$A$2:$A$69, RANDBETWEEN(1, COUNTA(event_table!$A$2:$A$69)))</f>
        <v>1425</v>
      </c>
      <c r="B3188" s="6">
        <f t="array" ref="B3188">IFERROR(INDEX(event_table!$E$1:$E3686,MATCH(A3188,event_table!$A$1:$A3686,0)),"")
</f>
        <v>4</v>
      </c>
      <c r="C3188" s="7">
        <f t="shared" si="1"/>
        <v>198</v>
      </c>
      <c r="D3188" s="6" t="str">
        <f t="array" ref="D3188">IFERROR(INDEX(user_table!$C$2:$C3686,MATCH(C3188,user_table!$B$2:$B3686,0)),"")
</f>
        <v>Siti Nugroho</v>
      </c>
      <c r="E3188" s="6" t="str">
        <f t="array" ref="E3188">IFERROR(INDEX(user_table!$E$2:$E3686,MATCH(C3188,user_table!$B$2:$B3686,0)),"")
</f>
        <v>5, 2</v>
      </c>
      <c r="F3188" s="6" t="str">
        <f t="shared" si="2"/>
        <v>142514198</v>
      </c>
      <c r="G3188" s="21">
        <v>1.0</v>
      </c>
      <c r="H3188" s="3">
        <v>45149.0</v>
      </c>
      <c r="I3188" s="22" t="s">
        <v>3109</v>
      </c>
    </row>
    <row r="3189">
      <c r="A3189" s="5" t="str">
        <f t="array" ref="A3189">INDEX(event_table!$A$2:$A$69, RANDBETWEEN(1, COUNTA(event_table!$A$2:$A$69)))</f>
        <v>1643</v>
      </c>
      <c r="B3189" s="6">
        <f t="array" ref="B3189">IFERROR(INDEX(event_table!$E$1:$E3686,MATCH(A3189,event_table!$A$1:$A3686,0)),"")
</f>
        <v>6</v>
      </c>
      <c r="C3189" s="7">
        <f t="shared" si="1"/>
        <v>55</v>
      </c>
      <c r="D3189" s="6" t="str">
        <f t="array" ref="D3189">IFERROR(INDEX(user_table!$C$2:$C3686,MATCH(C3189,user_table!$B$2:$B3686,0)),"")
</f>
        <v>Joko Sari</v>
      </c>
      <c r="E3189" s="6" t="str">
        <f t="array" ref="E3189">IFERROR(INDEX(user_table!$E$2:$E3686,MATCH(C3189,user_table!$B$2:$B3686,0)),"")
</f>
        <v>6, 6</v>
      </c>
      <c r="F3189" s="6" t="str">
        <f t="shared" si="2"/>
        <v>16431655</v>
      </c>
      <c r="G3189" s="21">
        <v>1.0</v>
      </c>
      <c r="H3189" s="3">
        <v>45146.0</v>
      </c>
      <c r="I3189" s="22" t="s">
        <v>3110</v>
      </c>
    </row>
    <row r="3190">
      <c r="A3190" s="5" t="str">
        <f t="array" ref="A3190">INDEX(event_table!$A$2:$A$69, RANDBETWEEN(1, COUNTA(event_table!$A$2:$A$69)))</f>
        <v>115</v>
      </c>
      <c r="B3190" s="6">
        <f t="array" ref="B3190">IFERROR(INDEX(event_table!$E$1:$E3686,MATCH(A3190,event_table!$A$1:$A3686,0)),"")
</f>
        <v>1</v>
      </c>
      <c r="C3190" s="7">
        <f t="shared" si="1"/>
        <v>93</v>
      </c>
      <c r="D3190" s="6" t="str">
        <f t="array" ref="D3190">IFERROR(INDEX(user_table!$C$2:$C3686,MATCH(C3190,user_table!$B$2:$B3686,0)),"")
</f>
        <v>Hadi Putri</v>
      </c>
      <c r="E3190" s="6" t="str">
        <f t="array" ref="E3190">IFERROR(INDEX(user_table!$E$2:$E3686,MATCH(C3190,user_table!$B$2:$B3686,0)),"")
</f>
        <v>5, 6</v>
      </c>
      <c r="F3190" s="6" t="str">
        <f t="shared" si="2"/>
        <v>1151193</v>
      </c>
      <c r="G3190" s="21">
        <v>1.0</v>
      </c>
      <c r="H3190" s="3">
        <v>45146.0</v>
      </c>
      <c r="I3190" s="22" t="s">
        <v>3111</v>
      </c>
    </row>
    <row r="3191">
      <c r="A3191" s="5" t="str">
        <f t="array" ref="A3191">INDEX(event_table!$A$2:$A$69, RANDBETWEEN(1, COUNTA(event_table!$A$2:$A$69)))</f>
        <v>1215</v>
      </c>
      <c r="B3191" s="6">
        <f t="array" ref="B3191">IFERROR(INDEX(event_table!$E$1:$E3686,MATCH(A3191,event_table!$A$1:$A3686,0)),"")
</f>
        <v>2</v>
      </c>
      <c r="C3191" s="7">
        <f t="shared" si="1"/>
        <v>176</v>
      </c>
      <c r="D3191" s="6" t="str">
        <f t="array" ref="D3191">IFERROR(INDEX(user_table!$C$2:$C3686,MATCH(C3191,user_table!$B$2:$B3686,0)),"")
</f>
        <v>Ani Hartono</v>
      </c>
      <c r="E3191" s="6" t="str">
        <f t="array" ref="E3191">IFERROR(INDEX(user_table!$E$2:$E3686,MATCH(C3191,user_table!$B$2:$B3686,0)),"")
</f>
        <v>2, 3</v>
      </c>
      <c r="F3191" s="6" t="str">
        <f t="shared" si="2"/>
        <v>121512176</v>
      </c>
      <c r="G3191" s="21">
        <v>1.0</v>
      </c>
      <c r="H3191" s="3">
        <v>45143.0</v>
      </c>
      <c r="I3191" s="22" t="s">
        <v>3112</v>
      </c>
    </row>
    <row r="3192">
      <c r="A3192" s="5" t="str">
        <f t="array" ref="A3192">INDEX(event_table!$A$2:$A$69, RANDBETWEEN(1, COUNTA(event_table!$A$2:$A$69)))</f>
        <v>1425</v>
      </c>
      <c r="B3192" s="6">
        <f t="array" ref="B3192">IFERROR(INDEX(event_table!$E$1:$E3686,MATCH(A3192,event_table!$A$1:$A3686,0)),"")
</f>
        <v>4</v>
      </c>
      <c r="C3192" s="7">
        <f t="shared" si="1"/>
        <v>89</v>
      </c>
      <c r="D3192" s="6" t="str">
        <f t="array" ref="D3192">IFERROR(INDEX(user_table!$C$2:$C3686,MATCH(C3192,user_table!$B$2:$B3686,0)),"")
</f>
        <v>Hadi Wijaya</v>
      </c>
      <c r="E3192" s="6" t="str">
        <f t="array" ref="E3192">IFERROR(INDEX(user_table!$E$2:$E3686,MATCH(C3192,user_table!$B$2:$B3686,0)),"")
</f>
        <v>6, 4</v>
      </c>
      <c r="F3192" s="6" t="str">
        <f t="shared" si="2"/>
        <v>14251489</v>
      </c>
      <c r="G3192" s="21">
        <v>1.0</v>
      </c>
      <c r="H3192" s="3">
        <v>45097.0</v>
      </c>
      <c r="I3192" s="22" t="s">
        <v>3113</v>
      </c>
    </row>
    <row r="3193">
      <c r="A3193" s="5" t="str">
        <f t="array" ref="A3193">INDEX(event_table!$A$2:$A$69, RANDBETWEEN(1, COUNTA(event_table!$A$2:$A$69)))</f>
        <v>1416</v>
      </c>
      <c r="B3193" s="6">
        <f t="array" ref="B3193">IFERROR(INDEX(event_table!$E$1:$E3686,MATCH(A3193,event_table!$A$1:$A3686,0)),"")
</f>
        <v>4</v>
      </c>
      <c r="C3193" s="7">
        <f t="shared" si="1"/>
        <v>185</v>
      </c>
      <c r="D3193" s="6" t="str">
        <f t="array" ref="D3193">IFERROR(INDEX(user_table!$C$2:$C3686,MATCH(C3193,user_table!$B$2:$B3686,0)),"")
</f>
        <v>Budi Wijaya</v>
      </c>
      <c r="E3193" s="6" t="str">
        <f t="array" ref="E3193">IFERROR(INDEX(user_table!$E$2:$E3686,MATCH(C3193,user_table!$B$2:$B3686,0)),"")
</f>
        <v>6, 3</v>
      </c>
      <c r="F3193" s="6" t="str">
        <f t="shared" si="2"/>
        <v>141614185</v>
      </c>
      <c r="G3193" s="21">
        <v>1.0</v>
      </c>
      <c r="H3193" s="3">
        <v>45038.0</v>
      </c>
      <c r="I3193" s="22" t="s">
        <v>3114</v>
      </c>
    </row>
    <row r="3194">
      <c r="A3194" s="5" t="str">
        <f t="array" ref="A3194">INDEX(event_table!$A$2:$A$69, RANDBETWEEN(1, COUNTA(event_table!$A$2:$A$69)))</f>
        <v>1646</v>
      </c>
      <c r="B3194" s="6">
        <f t="array" ref="B3194">IFERROR(INDEX(event_table!$E$1:$E3686,MATCH(A3194,event_table!$A$1:$A3686,0)),"")
</f>
        <v>6</v>
      </c>
      <c r="C3194" s="7">
        <f t="shared" si="1"/>
        <v>77</v>
      </c>
      <c r="D3194" s="6" t="str">
        <f t="array" ref="D3194">IFERROR(INDEX(user_table!$C$2:$C3686,MATCH(C3194,user_table!$B$2:$B3686,0)),"")
</f>
        <v>Desi Wijaya</v>
      </c>
      <c r="E3194" s="6" t="str">
        <f t="array" ref="E3194">IFERROR(INDEX(user_table!$E$2:$E3686,MATCH(C3194,user_table!$B$2:$B3686,0)),"")
</f>
        <v>3, 1</v>
      </c>
      <c r="F3194" s="6" t="str">
        <f t="shared" si="2"/>
        <v>16461677</v>
      </c>
      <c r="G3194" s="21">
        <v>1.0</v>
      </c>
      <c r="H3194" s="3">
        <v>45024.0</v>
      </c>
      <c r="I3194" s="22" t="s">
        <v>3115</v>
      </c>
    </row>
    <row r="3195">
      <c r="A3195" s="5" t="str">
        <f t="array" ref="A3195">INDEX(event_table!$A$2:$A$69, RANDBETWEEN(1, COUNTA(event_table!$A$2:$A$69)))</f>
        <v>1642</v>
      </c>
      <c r="B3195" s="6">
        <f t="array" ref="B3195">IFERROR(INDEX(event_table!$E$1:$E3686,MATCH(A3195,event_table!$A$1:$A3686,0)),"")
</f>
        <v>6</v>
      </c>
      <c r="C3195" s="7">
        <f t="shared" si="1"/>
        <v>46</v>
      </c>
      <c r="D3195" s="6" t="str">
        <f t="array" ref="D3195">IFERROR(INDEX(user_table!$C$2:$C3686,MATCH(C3195,user_table!$B$2:$B3686,0)),"")
</f>
        <v>Dian Wijaya</v>
      </c>
      <c r="E3195" s="6" t="str">
        <f t="array" ref="E3195">IFERROR(INDEX(user_table!$E$2:$E3686,MATCH(C3195,user_table!$B$2:$B3686,0)),"")
</f>
        <v>2, 2</v>
      </c>
      <c r="F3195" s="6" t="str">
        <f t="shared" si="2"/>
        <v>16421646</v>
      </c>
      <c r="G3195" s="21">
        <v>1.0</v>
      </c>
      <c r="H3195" s="3">
        <v>45019.0</v>
      </c>
      <c r="I3195" s="22" t="s">
        <v>3116</v>
      </c>
    </row>
    <row r="3196">
      <c r="A3196" s="5" t="str">
        <f t="array" ref="A3196">INDEX(event_table!$A$2:$A$69, RANDBETWEEN(1, COUNTA(event_table!$A$2:$A$69)))</f>
        <v>1423</v>
      </c>
      <c r="B3196" s="6">
        <f t="array" ref="B3196">IFERROR(INDEX(event_table!$E$1:$E3686,MATCH(A3196,event_table!$A$1:$A3686,0)),"")
</f>
        <v>4</v>
      </c>
      <c r="C3196" s="7">
        <f t="shared" si="1"/>
        <v>111</v>
      </c>
      <c r="D3196" s="6" t="str">
        <f t="array" ref="D3196">IFERROR(INDEX(user_table!$C$2:$C3686,MATCH(C3196,user_table!$B$2:$B3686,0)),"")
</f>
        <v>Hadi Kurniawan</v>
      </c>
      <c r="E3196" s="6" t="str">
        <f t="array" ref="E3196">IFERROR(INDEX(user_table!$E$2:$E3686,MATCH(C3196,user_table!$B$2:$B3686,0)),"")
</f>
        <v>3, 4</v>
      </c>
      <c r="F3196" s="6" t="str">
        <f t="shared" si="2"/>
        <v>142354111</v>
      </c>
      <c r="G3196" s="21">
        <v>5.0</v>
      </c>
      <c r="H3196" s="3">
        <v>44743.0</v>
      </c>
      <c r="I3196" s="22" t="s">
        <v>3117</v>
      </c>
    </row>
    <row r="3197">
      <c r="A3197" s="5" t="str">
        <f t="array" ref="A3197">INDEX(event_table!$A$2:$A$69, RANDBETWEEN(1, COUNTA(event_table!$A$2:$A$69)))</f>
        <v>1650</v>
      </c>
      <c r="B3197" s="6">
        <f t="array" ref="B3197">IFERROR(INDEX(event_table!$E$1:$E3686,MATCH(A3197,event_table!$A$1:$A3686,0)),"")
</f>
        <v>6</v>
      </c>
      <c r="C3197" s="7">
        <f t="shared" si="1"/>
        <v>16</v>
      </c>
      <c r="D3197" s="6" t="str">
        <f t="array" ref="D3197">IFERROR(INDEX(user_table!$C$2:$C3686,MATCH(C3197,user_table!$B$2:$B3686,0)),"")
</f>
        <v>Siti Utami</v>
      </c>
      <c r="E3197" s="6" t="str">
        <f t="array" ref="E3197">IFERROR(INDEX(user_table!$E$2:$E3686,MATCH(C3197,user_table!$B$2:$B3686,0)),"")
</f>
        <v>1, 2</v>
      </c>
      <c r="F3197" s="6" t="str">
        <f t="shared" si="2"/>
        <v>16505616</v>
      </c>
      <c r="G3197" s="21">
        <v>5.0</v>
      </c>
      <c r="H3197" s="3">
        <v>44733.0</v>
      </c>
      <c r="I3197" s="22" t="s">
        <v>3118</v>
      </c>
    </row>
    <row r="3198">
      <c r="A3198" s="5" t="str">
        <f t="array" ref="A3198">INDEX(event_table!$A$2:$A$69, RANDBETWEEN(1, COUNTA(event_table!$A$2:$A$69)))</f>
        <v>1417</v>
      </c>
      <c r="B3198" s="6">
        <f t="array" ref="B3198">IFERROR(INDEX(event_table!$E$1:$E3686,MATCH(A3198,event_table!$A$1:$A3686,0)),"")
</f>
        <v>4</v>
      </c>
      <c r="C3198" s="7">
        <f t="shared" si="1"/>
        <v>89</v>
      </c>
      <c r="D3198" s="6" t="str">
        <f t="array" ref="D3198">IFERROR(INDEX(user_table!$C$2:$C3686,MATCH(C3198,user_table!$B$2:$B3686,0)),"")
</f>
        <v>Hadi Wijaya</v>
      </c>
      <c r="E3198" s="6" t="str">
        <f t="array" ref="E3198">IFERROR(INDEX(user_table!$E$2:$E3686,MATCH(C3198,user_table!$B$2:$B3686,0)),"")
</f>
        <v>6, 4</v>
      </c>
      <c r="F3198" s="6" t="str">
        <f t="shared" si="2"/>
        <v>14175489</v>
      </c>
      <c r="G3198" s="21">
        <v>5.0</v>
      </c>
      <c r="H3198" s="3">
        <v>44696.0</v>
      </c>
      <c r="I3198" s="22" t="s">
        <v>3119</v>
      </c>
    </row>
    <row r="3199">
      <c r="A3199" s="5" t="str">
        <f t="array" ref="A3199">INDEX(event_table!$A$2:$A$69, RANDBETWEEN(1, COUNTA(event_table!$A$2:$A$69)))</f>
        <v>1111</v>
      </c>
      <c r="B3199" s="6">
        <f t="array" ref="B3199">IFERROR(INDEX(event_table!$E$1:$E3686,MATCH(A3199,event_table!$A$1:$A3686,0)),"")
</f>
        <v>1</v>
      </c>
      <c r="C3199" s="7">
        <f t="shared" si="1"/>
        <v>181</v>
      </c>
      <c r="D3199" s="6" t="str">
        <f t="array" ref="D3199">IFERROR(INDEX(user_table!$C$2:$C3686,MATCH(C3199,user_table!$B$2:$B3686,0)),"")
</f>
        <v>Andi Hadiwijaya</v>
      </c>
      <c r="E3199" s="6" t="str">
        <f t="array" ref="E3199">IFERROR(INDEX(user_table!$E$2:$E3686,MATCH(C3199,user_table!$B$2:$B3686,0)),"")
</f>
        <v>3, 2</v>
      </c>
      <c r="F3199" s="6" t="str">
        <f t="shared" si="2"/>
        <v>111151181</v>
      </c>
      <c r="G3199" s="21">
        <v>5.0</v>
      </c>
      <c r="H3199" s="3">
        <v>44691.0</v>
      </c>
      <c r="I3199" s="22" t="s">
        <v>3120</v>
      </c>
    </row>
    <row r="3200">
      <c r="A3200" s="5" t="str">
        <f t="array" ref="A3200">INDEX(event_table!$A$2:$A$69, RANDBETWEEN(1, COUNTA(event_table!$A$2:$A$69)))</f>
        <v>1529</v>
      </c>
      <c r="B3200" s="6">
        <f t="array" ref="B3200">IFERROR(INDEX(event_table!$E$1:$E3686,MATCH(A3200,event_table!$A$1:$A3686,0)),"")
</f>
        <v>5</v>
      </c>
      <c r="C3200" s="7">
        <f t="shared" si="1"/>
        <v>11</v>
      </c>
      <c r="D3200" s="6" t="str">
        <f t="array" ref="D3200">IFERROR(INDEX(user_table!$C$2:$C3686,MATCH(C3200,user_table!$B$2:$B3686,0)),"")
</f>
        <v>Arif Sari</v>
      </c>
      <c r="E3200" s="6" t="str">
        <f t="array" ref="E3200">IFERROR(INDEX(user_table!$E$2:$E3686,MATCH(C3200,user_table!$B$2:$B3686,0)),"")
</f>
        <v>5, 2</v>
      </c>
      <c r="F3200" s="6" t="str">
        <f t="shared" si="2"/>
        <v>15295511</v>
      </c>
      <c r="G3200" s="21">
        <v>5.0</v>
      </c>
      <c r="H3200" s="3">
        <v>44690.0</v>
      </c>
      <c r="I3200" s="22" t="s">
        <v>3121</v>
      </c>
    </row>
    <row r="3201">
      <c r="A3201" s="5" t="str">
        <f t="array" ref="A3201">INDEX(event_table!$A$2:$A$69, RANDBETWEEN(1, COUNTA(event_table!$A$2:$A$69)))</f>
        <v>1644</v>
      </c>
      <c r="B3201" s="6">
        <f t="array" ref="B3201">IFERROR(INDEX(event_table!$E$1:$E3686,MATCH(A3201,event_table!$A$1:$A3686,0)),"")
</f>
        <v>6</v>
      </c>
      <c r="C3201" s="7">
        <f t="shared" si="1"/>
        <v>66</v>
      </c>
      <c r="D3201" s="6" t="str">
        <f t="array" ref="D3201">IFERROR(INDEX(user_table!$C$2:$C3686,MATCH(C3201,user_table!$B$2:$B3686,0)),"")
</f>
        <v>Agus Wijaya</v>
      </c>
      <c r="E3201" s="6" t="str">
        <f t="array" ref="E3201">IFERROR(INDEX(user_table!$E$2:$E3686,MATCH(C3201,user_table!$B$2:$B3686,0)),"")
</f>
        <v>5, 3</v>
      </c>
      <c r="F3201" s="6" t="str">
        <f t="shared" si="2"/>
        <v>16445666</v>
      </c>
      <c r="G3201" s="21">
        <v>5.0</v>
      </c>
      <c r="H3201" s="3">
        <v>45124.0</v>
      </c>
      <c r="I3201" s="22" t="s">
        <v>3122</v>
      </c>
    </row>
    <row r="3202">
      <c r="A3202" s="5" t="str">
        <f t="array" ref="A3202">INDEX(event_table!$A$2:$A$69, RANDBETWEEN(1, COUNTA(event_table!$A$2:$A$69)))</f>
        <v>1652</v>
      </c>
      <c r="B3202" s="6">
        <f t="array" ref="B3202">IFERROR(INDEX(event_table!$E$1:$E3686,MATCH(A3202,event_table!$A$1:$A3686,0)),"")
</f>
        <v>6</v>
      </c>
      <c r="C3202" s="7">
        <f t="shared" si="1"/>
        <v>82</v>
      </c>
      <c r="D3202" s="6" t="str">
        <f t="array" ref="D3202">IFERROR(INDEX(user_table!$C$2:$C3686,MATCH(C3202,user_table!$B$2:$B3686,0)),"")
</f>
        <v>Fandi Nurhayati</v>
      </c>
      <c r="E3202" s="6" t="str">
        <f t="array" ref="E3202">IFERROR(INDEX(user_table!$E$2:$E3686,MATCH(C3202,user_table!$B$2:$B3686,0)),"")
</f>
        <v>3, 2</v>
      </c>
      <c r="F3202" s="6" t="str">
        <f t="shared" si="2"/>
        <v>16525682</v>
      </c>
      <c r="G3202" s="21">
        <v>5.0</v>
      </c>
      <c r="H3202" s="3">
        <v>45124.0</v>
      </c>
      <c r="I3202" s="22" t="s">
        <v>3123</v>
      </c>
    </row>
    <row r="3203">
      <c r="A3203" s="5" t="str">
        <f t="array" ref="A3203">INDEX(event_table!$A$2:$A$69, RANDBETWEEN(1, COUNTA(event_table!$A$2:$A$69)))</f>
        <v>1553</v>
      </c>
      <c r="B3203" s="6">
        <f t="array" ref="B3203">IFERROR(INDEX(event_table!$E$1:$E3686,MATCH(A3203,event_table!$A$1:$A3686,0)),"")
</f>
        <v>5</v>
      </c>
      <c r="C3203" s="7">
        <f t="shared" si="1"/>
        <v>176</v>
      </c>
      <c r="D3203" s="6" t="str">
        <f t="array" ref="D3203">IFERROR(INDEX(user_table!$C$2:$C3686,MATCH(C3203,user_table!$B$2:$B3686,0)),"")
</f>
        <v>Ani Hartono</v>
      </c>
      <c r="E3203" s="6" t="str">
        <f t="array" ref="E3203">IFERROR(INDEX(user_table!$E$2:$E3686,MATCH(C3203,user_table!$B$2:$B3686,0)),"")
</f>
        <v>2, 3</v>
      </c>
      <c r="F3203" s="6" t="str">
        <f t="shared" si="2"/>
        <v>155355176</v>
      </c>
      <c r="G3203" s="21">
        <v>5.0</v>
      </c>
      <c r="H3203" s="3">
        <v>45018.0</v>
      </c>
      <c r="I3203" s="22" t="s">
        <v>3124</v>
      </c>
    </row>
    <row r="3204">
      <c r="A3204" s="5" t="str">
        <f t="array" ref="A3204">INDEX(event_table!$A$2:$A$69, RANDBETWEEN(1, COUNTA(event_table!$A$2:$A$69)))</f>
        <v>1212</v>
      </c>
      <c r="B3204" s="6">
        <f t="array" ref="B3204">IFERROR(INDEX(event_table!$E$1:$E3686,MATCH(A3204,event_table!$A$1:$A3686,0)),"")
</f>
        <v>2</v>
      </c>
      <c r="C3204" s="7">
        <f t="shared" si="1"/>
        <v>152</v>
      </c>
      <c r="D3204" s="6" t="str">
        <f t="array" ref="D3204">IFERROR(INDEX(user_table!$C$2:$C3686,MATCH(C3204,user_table!$B$2:$B3686,0)),"")
</f>
        <v>Budi Kurniawan</v>
      </c>
      <c r="E3204" s="6" t="str">
        <f t="array" ref="E3204">IFERROR(INDEX(user_table!$E$2:$E3686,MATCH(C3204,user_table!$B$2:$B3686,0)),"")
</f>
        <v>5, 5</v>
      </c>
      <c r="F3204" s="6" t="str">
        <f t="shared" si="2"/>
        <v>121252152</v>
      </c>
      <c r="G3204" s="21">
        <v>5.0</v>
      </c>
      <c r="H3204" s="3">
        <v>44930.0</v>
      </c>
      <c r="I3204" s="22" t="s">
        <v>3125</v>
      </c>
    </row>
    <row r="3205">
      <c r="A3205" s="5" t="str">
        <f t="array" ref="A3205">INDEX(event_table!$A$2:$A$69, RANDBETWEEN(1, COUNTA(event_table!$A$2:$A$69)))</f>
        <v>1640</v>
      </c>
      <c r="B3205" s="6">
        <f t="array" ref="B3205">IFERROR(INDEX(event_table!$E$1:$E3686,MATCH(A3205,event_table!$A$1:$A3686,0)),"")
</f>
        <v>6</v>
      </c>
      <c r="C3205" s="7">
        <f t="shared" si="1"/>
        <v>129</v>
      </c>
      <c r="D3205" s="6" t="str">
        <f t="array" ref="D3205">IFERROR(INDEX(user_table!$C$2:$C3686,MATCH(C3205,user_table!$B$2:$B3686,0)),"")
</f>
        <v>Maya Kusuma</v>
      </c>
      <c r="E3205" s="6" t="str">
        <f t="array" ref="E3205">IFERROR(INDEX(user_table!$E$2:$E3686,MATCH(C3205,user_table!$B$2:$B3686,0)),"")
</f>
        <v>4, 6</v>
      </c>
      <c r="F3205" s="6" t="str">
        <f t="shared" si="2"/>
        <v>164056129</v>
      </c>
      <c r="G3205" s="21">
        <v>5.0</v>
      </c>
      <c r="H3205" s="3">
        <v>44922.0</v>
      </c>
      <c r="I3205" s="22" t="s">
        <v>3126</v>
      </c>
    </row>
    <row r="3206">
      <c r="A3206" s="5" t="str">
        <f t="array" ref="A3206">INDEX(event_table!$A$2:$A$69, RANDBETWEEN(1, COUNTA(event_table!$A$2:$A$69)))</f>
        <v>115</v>
      </c>
      <c r="B3206" s="6">
        <f t="array" ref="B3206">IFERROR(INDEX(event_table!$E$1:$E3686,MATCH(A3206,event_table!$A$1:$A3686,0)),"")
</f>
        <v>1</v>
      </c>
      <c r="C3206" s="7">
        <f t="shared" si="1"/>
        <v>39</v>
      </c>
      <c r="D3206" s="6" t="str">
        <f t="array" ref="D3206">IFERROR(INDEX(user_table!$C$2:$C3686,MATCH(C3206,user_table!$B$2:$B3686,0)),"")
</f>
        <v>Desi Utami</v>
      </c>
      <c r="E3206" s="6" t="str">
        <f t="array" ref="E3206">IFERROR(INDEX(user_table!$E$2:$E3686,MATCH(C3206,user_table!$B$2:$B3686,0)),"")
</f>
        <v>3, 1</v>
      </c>
      <c r="F3206" s="6" t="str">
        <f t="shared" si="2"/>
        <v>1155139</v>
      </c>
      <c r="G3206" s="21">
        <v>5.0</v>
      </c>
      <c r="H3206" s="3">
        <v>44858.0</v>
      </c>
      <c r="I3206" s="22" t="s">
        <v>3127</v>
      </c>
    </row>
    <row r="3207">
      <c r="A3207" s="5" t="str">
        <f t="array" ref="A3207">INDEX(event_table!$A$2:$A$69, RANDBETWEEN(1, COUNTA(event_table!$A$2:$A$69)))</f>
        <v>1418</v>
      </c>
      <c r="B3207" s="6">
        <f t="array" ref="B3207">IFERROR(INDEX(event_table!$E$1:$E3686,MATCH(A3207,event_table!$A$1:$A3686,0)),"")
</f>
        <v>4</v>
      </c>
      <c r="C3207" s="7">
        <f t="shared" si="1"/>
        <v>141</v>
      </c>
      <c r="D3207" s="6" t="str">
        <f t="array" ref="D3207">IFERROR(INDEX(user_table!$C$2:$C3686,MATCH(C3207,user_table!$B$2:$B3686,0)),"")
</f>
        <v>Bambang Santoso</v>
      </c>
      <c r="E3207" s="6" t="str">
        <f t="array" ref="E3207">IFERROR(INDEX(user_table!$E$2:$E3686,MATCH(C3207,user_table!$B$2:$B3686,0)),"")
</f>
        <v>5, 3</v>
      </c>
      <c r="F3207" s="6" t="str">
        <f t="shared" si="2"/>
        <v>141854141</v>
      </c>
      <c r="G3207" s="21">
        <v>5.0</v>
      </c>
      <c r="H3207" s="3">
        <v>44845.0</v>
      </c>
      <c r="I3207" s="22" t="s">
        <v>1628</v>
      </c>
    </row>
    <row r="3208">
      <c r="A3208" s="5" t="str">
        <f t="array" ref="A3208">INDEX(event_table!$A$2:$A$69, RANDBETWEEN(1, COUNTA(event_table!$A$2:$A$69)))</f>
        <v>3455</v>
      </c>
      <c r="B3208" s="6">
        <f t="array" ref="B3208">IFERROR(INDEX(event_table!$E$1:$E3686,MATCH(A3208,event_table!$A$1:$A3686,0)),"")
</f>
        <v>4</v>
      </c>
      <c r="C3208" s="7">
        <f t="shared" si="1"/>
        <v>27</v>
      </c>
      <c r="D3208" s="6" t="str">
        <f t="array" ref="D3208">IFERROR(INDEX(user_table!$C$2:$C3686,MATCH(C3208,user_table!$B$2:$B3686,0)),"")
</f>
        <v>Fandi Purnama</v>
      </c>
      <c r="E3208" s="6" t="str">
        <f t="array" ref="E3208">IFERROR(INDEX(user_table!$E$2:$E3686,MATCH(C3208,user_table!$B$2:$B3686,0)),"")
</f>
        <v>4, 6</v>
      </c>
      <c r="F3208" s="6" t="str">
        <f t="shared" si="2"/>
        <v>34555427</v>
      </c>
      <c r="G3208" s="21">
        <v>5.0</v>
      </c>
      <c r="H3208" s="3">
        <v>44788.0</v>
      </c>
      <c r="I3208" s="22" t="s">
        <v>3128</v>
      </c>
    </row>
    <row r="3209">
      <c r="A3209" s="5" t="str">
        <f t="array" ref="A3209">INDEX(event_table!$A$2:$A$69, RANDBETWEEN(1, COUNTA(event_table!$A$2:$A$69)))</f>
        <v>3356</v>
      </c>
      <c r="B3209" s="6">
        <f t="array" ref="B3209">IFERROR(INDEX(event_table!$E$1:$E3686,MATCH(A3209,event_table!$A$1:$A3686,0)),"")
</f>
        <v>3</v>
      </c>
      <c r="C3209" s="7">
        <f t="shared" si="1"/>
        <v>189</v>
      </c>
      <c r="D3209" s="6" t="str">
        <f t="array" ref="D3209">IFERROR(INDEX(user_table!$C$2:$C3686,MATCH(C3209,user_table!$B$2:$B3686,0)),"")
</f>
        <v>Arif Putri</v>
      </c>
      <c r="E3209" s="6" t="str">
        <f t="array" ref="E3209">IFERROR(INDEX(user_table!$E$2:$E3686,MATCH(C3209,user_table!$B$2:$B3686,0)),"")
</f>
        <v>4, 2</v>
      </c>
      <c r="F3209" s="6" t="str">
        <f t="shared" si="2"/>
        <v>335653189</v>
      </c>
      <c r="G3209" s="21">
        <v>5.0</v>
      </c>
      <c r="H3209" s="3">
        <v>44757.0</v>
      </c>
      <c r="I3209" s="22" t="s">
        <v>3129</v>
      </c>
    </row>
    <row r="3210">
      <c r="A3210" s="5" t="str">
        <f t="array" ref="A3210">INDEX(event_table!$A$2:$A$69, RANDBETWEEN(1, COUNTA(event_table!$A$2:$A$69)))</f>
        <v>3170</v>
      </c>
      <c r="B3210" s="6">
        <f t="array" ref="B3210">IFERROR(INDEX(event_table!$E$1:$E3686,MATCH(A3210,event_table!$A$1:$A3686,0)),"")
</f>
        <v>1</v>
      </c>
      <c r="C3210" s="7">
        <f t="shared" si="1"/>
        <v>106</v>
      </c>
      <c r="D3210" s="6" t="str">
        <f t="array" ref="D3210">IFERROR(INDEX(user_table!$C$2:$C3686,MATCH(C3210,user_table!$B$2:$B3686,0)),"")
</f>
        <v>Budi Hidayat</v>
      </c>
      <c r="E3210" s="6" t="str">
        <f t="array" ref="E3210">IFERROR(INDEX(user_table!$E$2:$E3686,MATCH(C3210,user_table!$B$2:$B3686,0)),"")
</f>
        <v>2, 6</v>
      </c>
      <c r="F3210" s="6" t="str">
        <f t="shared" si="2"/>
        <v>317051106</v>
      </c>
      <c r="G3210" s="21">
        <v>5.0</v>
      </c>
      <c r="H3210" s="3">
        <v>44756.0</v>
      </c>
      <c r="I3210" s="22" t="s">
        <v>3130</v>
      </c>
    </row>
    <row r="3211">
      <c r="A3211" s="5" t="str">
        <f t="array" ref="A3211">INDEX(event_table!$A$2:$A$69, RANDBETWEEN(1, COUNTA(event_table!$A$2:$A$69)))</f>
        <v>1423</v>
      </c>
      <c r="B3211" s="6">
        <f t="array" ref="B3211">IFERROR(INDEX(event_table!$E$1:$E3686,MATCH(A3211,event_table!$A$1:$A3686,0)),"")
</f>
        <v>4</v>
      </c>
      <c r="C3211" s="7">
        <f t="shared" si="1"/>
        <v>28</v>
      </c>
      <c r="D3211" s="6" t="str">
        <f t="array" ref="D3211">IFERROR(INDEX(user_table!$C$2:$C3686,MATCH(C3211,user_table!$B$2:$B3686,0)),"")
</f>
        <v>Fandi Putri</v>
      </c>
      <c r="E3211" s="6" t="str">
        <f t="array" ref="E3211">IFERROR(INDEX(user_table!$E$2:$E3686,MATCH(C3211,user_table!$B$2:$B3686,0)),"")
</f>
        <v>5, 1</v>
      </c>
      <c r="F3211" s="6" t="str">
        <f t="shared" si="2"/>
        <v>14235428</v>
      </c>
      <c r="G3211" s="21">
        <v>5.0</v>
      </c>
      <c r="H3211" s="3">
        <v>44746.0</v>
      </c>
      <c r="I3211" s="22" t="s">
        <v>3131</v>
      </c>
    </row>
    <row r="3212">
      <c r="A3212" s="5" t="str">
        <f t="array" ref="A3212">INDEX(event_table!$A$2:$A$69, RANDBETWEEN(1, COUNTA(event_table!$A$2:$A$69)))</f>
        <v>3166</v>
      </c>
      <c r="B3212" s="6">
        <f t="array" ref="B3212">IFERROR(INDEX(event_table!$E$1:$E3686,MATCH(A3212,event_table!$A$1:$A3686,0)),"")
</f>
        <v>1</v>
      </c>
      <c r="C3212" s="7">
        <f t="shared" si="1"/>
        <v>16</v>
      </c>
      <c r="D3212" s="6" t="str">
        <f t="array" ref="D3212">IFERROR(INDEX(user_table!$C$2:$C3686,MATCH(C3212,user_table!$B$2:$B3686,0)),"")
</f>
        <v>Siti Utami</v>
      </c>
      <c r="E3212" s="6" t="str">
        <f t="array" ref="E3212">IFERROR(INDEX(user_table!$E$2:$E3686,MATCH(C3212,user_table!$B$2:$B3686,0)),"")
</f>
        <v>1, 2</v>
      </c>
      <c r="F3212" s="6" t="str">
        <f t="shared" si="2"/>
        <v>31665116</v>
      </c>
      <c r="G3212" s="21">
        <v>5.0</v>
      </c>
      <c r="H3212" s="3">
        <v>44744.0</v>
      </c>
      <c r="I3212" s="22" t="s">
        <v>3132</v>
      </c>
    </row>
    <row r="3213">
      <c r="A3213" s="5" t="str">
        <f t="array" ref="A3213">INDEX(event_table!$A$2:$A$69, RANDBETWEEN(1, COUNTA(event_table!$A$2:$A$69)))</f>
        <v>111</v>
      </c>
      <c r="B3213" s="6">
        <f t="array" ref="B3213">IFERROR(INDEX(event_table!$E$1:$E3686,MATCH(A3213,event_table!$A$1:$A3686,0)),"")
</f>
        <v>1</v>
      </c>
      <c r="C3213" s="7">
        <f t="shared" si="1"/>
        <v>99</v>
      </c>
      <c r="D3213" s="6" t="str">
        <f t="array" ref="D3213">IFERROR(INDEX(user_table!$C$2:$C3686,MATCH(C3213,user_table!$B$2:$B3686,0)),"")
</f>
        <v>Maya Nugroho</v>
      </c>
      <c r="E3213" s="6" t="str">
        <f t="array" ref="E3213">IFERROR(INDEX(user_table!$E$2:$E3686,MATCH(C3213,user_table!$B$2:$B3686,0)),"")
</f>
        <v>6, 1</v>
      </c>
      <c r="F3213" s="6" t="str">
        <f t="shared" si="2"/>
        <v>1115199</v>
      </c>
      <c r="G3213" s="21">
        <v>5.0</v>
      </c>
      <c r="H3213" s="3">
        <v>44704.0</v>
      </c>
      <c r="I3213" s="22" t="s">
        <v>1317</v>
      </c>
    </row>
    <row r="3214">
      <c r="A3214" s="5" t="str">
        <f t="array" ref="A3214">INDEX(event_table!$A$2:$A$69, RANDBETWEEN(1, COUNTA(event_table!$A$2:$A$69)))</f>
        <v>3356</v>
      </c>
      <c r="B3214" s="6">
        <f t="array" ref="B3214">IFERROR(INDEX(event_table!$E$1:$E3686,MATCH(A3214,event_table!$A$1:$A3686,0)),"")
</f>
        <v>3</v>
      </c>
      <c r="C3214" s="7">
        <f t="shared" si="1"/>
        <v>70</v>
      </c>
      <c r="D3214" s="6" t="str">
        <f t="array" ref="D3214">IFERROR(INDEX(user_table!$C$2:$C3686,MATCH(C3214,user_table!$B$2:$B3686,0)),"")
</f>
        <v>Fandi Hadiwijaya</v>
      </c>
      <c r="E3214" s="6" t="str">
        <f t="array" ref="E3214">IFERROR(INDEX(user_table!$E$2:$E3686,MATCH(C3214,user_table!$B$2:$B3686,0)),"")
</f>
        <v>1, 4</v>
      </c>
      <c r="F3214" s="6" t="str">
        <f t="shared" si="2"/>
        <v>33564370</v>
      </c>
      <c r="G3214" s="21">
        <v>4.0</v>
      </c>
      <c r="H3214" s="3">
        <v>44945.0</v>
      </c>
      <c r="I3214" s="22" t="s">
        <v>3133</v>
      </c>
    </row>
    <row r="3215">
      <c r="A3215" s="5" t="str">
        <f t="array" ref="A3215">INDEX(event_table!$A$2:$A$69, RANDBETWEEN(1, COUNTA(event_table!$A$2:$A$69)))</f>
        <v>1531</v>
      </c>
      <c r="B3215" s="6">
        <f t="array" ref="B3215">IFERROR(INDEX(event_table!$E$1:$E3686,MATCH(A3215,event_table!$A$1:$A3686,0)),"")
</f>
        <v>5</v>
      </c>
      <c r="C3215" s="7">
        <f t="shared" si="1"/>
        <v>85</v>
      </c>
      <c r="D3215" s="6" t="str">
        <f t="array" ref="D3215">IFERROR(INDEX(user_table!$C$2:$C3686,MATCH(C3215,user_table!$B$2:$B3686,0)),"")
</f>
        <v>Maya Susanto</v>
      </c>
      <c r="E3215" s="6" t="str">
        <f t="array" ref="E3215">IFERROR(INDEX(user_table!$E$2:$E3686,MATCH(C3215,user_table!$B$2:$B3686,0)),"")
</f>
        <v>6, 5</v>
      </c>
      <c r="F3215" s="6" t="str">
        <f t="shared" si="2"/>
        <v>15314585</v>
      </c>
      <c r="G3215" s="21">
        <v>4.0</v>
      </c>
      <c r="H3215" s="3">
        <v>44803.0</v>
      </c>
      <c r="I3215" s="22" t="s">
        <v>3134</v>
      </c>
    </row>
    <row r="3216">
      <c r="A3216" s="5" t="str">
        <f t="array" ref="A3216">INDEX(event_table!$A$2:$A$69, RANDBETWEEN(1, COUNTA(event_table!$A$2:$A$69)))</f>
        <v>1418</v>
      </c>
      <c r="B3216" s="6">
        <f t="array" ref="B3216">IFERROR(INDEX(event_table!$E$1:$E3686,MATCH(A3216,event_table!$A$1:$A3686,0)),"")
</f>
        <v>4</v>
      </c>
      <c r="C3216" s="7">
        <f t="shared" si="1"/>
        <v>63</v>
      </c>
      <c r="D3216" s="6" t="str">
        <f t="array" ref="D3216">IFERROR(INDEX(user_table!$C$2:$C3686,MATCH(C3216,user_table!$B$2:$B3686,0)),"")
</f>
        <v>Desi Putri</v>
      </c>
      <c r="E3216" s="6" t="str">
        <f t="array" ref="E3216">IFERROR(INDEX(user_table!$E$2:$E3686,MATCH(C3216,user_table!$B$2:$B3686,0)),"")
</f>
        <v>2, 5</v>
      </c>
      <c r="F3216" s="6" t="str">
        <f t="shared" si="2"/>
        <v>14184463</v>
      </c>
      <c r="G3216" s="21">
        <v>4.0</v>
      </c>
      <c r="H3216" s="3">
        <v>44761.0</v>
      </c>
      <c r="I3216" s="22" t="s">
        <v>3135</v>
      </c>
    </row>
    <row r="3217">
      <c r="A3217" s="5" t="str">
        <f t="array" ref="A3217">INDEX(event_table!$A$2:$A$69, RANDBETWEEN(1, COUNTA(event_table!$A$2:$A$69)))</f>
        <v>1111</v>
      </c>
      <c r="B3217" s="6">
        <f t="array" ref="B3217">IFERROR(INDEX(event_table!$E$1:$E3686,MATCH(A3217,event_table!$A$1:$A3686,0)),"")
</f>
        <v>1</v>
      </c>
      <c r="C3217" s="7">
        <f t="shared" si="1"/>
        <v>95</v>
      </c>
      <c r="D3217" s="6" t="str">
        <f t="array" ref="D3217">IFERROR(INDEX(user_table!$C$2:$C3686,MATCH(C3217,user_table!$B$2:$B3686,0)),"")
</f>
        <v>Ani Pratama</v>
      </c>
      <c r="E3217" s="6" t="str">
        <f t="array" ref="E3217">IFERROR(INDEX(user_table!$E$2:$E3686,MATCH(C3217,user_table!$B$2:$B3686,0)),"")
</f>
        <v>3, 5</v>
      </c>
      <c r="F3217" s="6" t="str">
        <f t="shared" si="2"/>
        <v>11114195</v>
      </c>
      <c r="G3217" s="21">
        <v>4.0</v>
      </c>
      <c r="H3217" s="3">
        <v>44761.0</v>
      </c>
      <c r="I3217" s="22" t="s">
        <v>3136</v>
      </c>
    </row>
    <row r="3218">
      <c r="A3218" s="5" t="str">
        <f t="array" ref="A3218">INDEX(event_table!$A$2:$A$69, RANDBETWEEN(1, COUNTA(event_table!$A$2:$A$69)))</f>
        <v>3168</v>
      </c>
      <c r="B3218" s="6">
        <f t="array" ref="B3218">IFERROR(INDEX(event_table!$E$1:$E3686,MATCH(A3218,event_table!$A$1:$A3686,0)),"")
</f>
        <v>1</v>
      </c>
      <c r="C3218" s="7">
        <f t="shared" si="1"/>
        <v>112</v>
      </c>
      <c r="D3218" s="6" t="str">
        <f t="array" ref="D3218">IFERROR(INDEX(user_table!$C$2:$C3686,MATCH(C3218,user_table!$B$2:$B3686,0)),"")
</f>
        <v>Ani Hadiwijaya</v>
      </c>
      <c r="E3218" s="6" t="str">
        <f t="array" ref="E3218">IFERROR(INDEX(user_table!$E$2:$E3686,MATCH(C3218,user_table!$B$2:$B3686,0)),"")
</f>
        <v>3, 5</v>
      </c>
      <c r="F3218" s="6" t="str">
        <f t="shared" si="2"/>
        <v>316841112</v>
      </c>
      <c r="G3218" s="21">
        <v>4.0</v>
      </c>
      <c r="H3218" s="3">
        <v>44741.0</v>
      </c>
      <c r="I3218" s="22" t="s">
        <v>3137</v>
      </c>
    </row>
    <row r="3219">
      <c r="A3219" s="5" t="str">
        <f t="array" ref="A3219">INDEX(event_table!$A$2:$A$69, RANDBETWEEN(1, COUNTA(event_table!$A$2:$A$69)))</f>
        <v>1640</v>
      </c>
      <c r="B3219" s="6">
        <f t="array" ref="B3219">IFERROR(INDEX(event_table!$E$1:$E3686,MATCH(A3219,event_table!$A$1:$A3686,0)),"")
</f>
        <v>6</v>
      </c>
      <c r="C3219" s="7">
        <f t="shared" si="1"/>
        <v>48</v>
      </c>
      <c r="D3219" s="6" t="str">
        <f t="array" ref="D3219">IFERROR(INDEX(user_table!$C$2:$C3686,MATCH(C3219,user_table!$B$2:$B3686,0)),"")
</f>
        <v>Maya Kusuma</v>
      </c>
      <c r="E3219" s="6" t="str">
        <f t="array" ref="E3219">IFERROR(INDEX(user_table!$E$2:$E3686,MATCH(C3219,user_table!$B$2:$B3686,0)),"")
</f>
        <v>2, 3</v>
      </c>
      <c r="F3219" s="6" t="str">
        <f t="shared" si="2"/>
        <v>16404648</v>
      </c>
      <c r="G3219" s="21">
        <v>4.0</v>
      </c>
      <c r="H3219" s="3">
        <v>44700.0</v>
      </c>
      <c r="I3219" s="22" t="s">
        <v>3138</v>
      </c>
    </row>
    <row r="3220">
      <c r="A3220" s="5" t="str">
        <f t="array" ref="A3220">INDEX(event_table!$A$2:$A$69, RANDBETWEEN(1, COUNTA(event_table!$A$2:$A$69)))</f>
        <v>1114</v>
      </c>
      <c r="B3220" s="6">
        <f t="array" ref="B3220">IFERROR(INDEX(event_table!$E$1:$E3686,MATCH(A3220,event_table!$A$1:$A3686,0)),"")
</f>
        <v>1</v>
      </c>
      <c r="C3220" s="7">
        <f t="shared" si="1"/>
        <v>185</v>
      </c>
      <c r="D3220" s="6" t="str">
        <f t="array" ref="D3220">IFERROR(INDEX(user_table!$C$2:$C3686,MATCH(C3220,user_table!$B$2:$B3686,0)),"")
</f>
        <v>Budi Wijaya</v>
      </c>
      <c r="E3220" s="6" t="str">
        <f t="array" ref="E3220">IFERROR(INDEX(user_table!$E$2:$E3686,MATCH(C3220,user_table!$B$2:$B3686,0)),"")
</f>
        <v>6, 3</v>
      </c>
      <c r="F3220" s="6" t="str">
        <f t="shared" si="2"/>
        <v>111441185</v>
      </c>
      <c r="G3220" s="21">
        <v>4.0</v>
      </c>
      <c r="H3220" s="3">
        <v>44688.0</v>
      </c>
      <c r="I3220" s="22" t="s">
        <v>3139</v>
      </c>
    </row>
    <row r="3221">
      <c r="A3221" s="5" t="str">
        <f t="array" ref="A3221">INDEX(event_table!$A$2:$A$69, RANDBETWEEN(1, COUNTA(event_table!$A$2:$A$69)))</f>
        <v>1645</v>
      </c>
      <c r="B3221" s="6">
        <f t="array" ref="B3221">IFERROR(INDEX(event_table!$E$1:$E3686,MATCH(A3221,event_table!$A$1:$A3686,0)),"")
</f>
        <v>6</v>
      </c>
      <c r="C3221" s="7">
        <f t="shared" si="1"/>
        <v>144</v>
      </c>
      <c r="D3221" s="6" t="str">
        <f t="array" ref="D3221">IFERROR(INDEX(user_table!$C$2:$C3686,MATCH(C3221,user_table!$B$2:$B3686,0)),"")
</f>
        <v>Sinta Rahayu</v>
      </c>
      <c r="E3221" s="6" t="str">
        <f t="array" ref="E3221">IFERROR(INDEX(user_table!$E$2:$E3686,MATCH(C3221,user_table!$B$2:$B3686,0)),"")
</f>
        <v>6, 3</v>
      </c>
      <c r="F3221" s="6" t="str">
        <f t="shared" si="2"/>
        <v>164546144</v>
      </c>
      <c r="G3221" s="21">
        <v>4.0</v>
      </c>
      <c r="H3221" s="3">
        <v>44751.0</v>
      </c>
      <c r="I3221" s="22" t="s">
        <v>3140</v>
      </c>
    </row>
    <row r="3222">
      <c r="A3222" s="5" t="str">
        <f t="array" ref="A3222">INDEX(event_table!$A$2:$A$69, RANDBETWEEN(1, COUNTA(event_table!$A$2:$A$69)))</f>
        <v>1424</v>
      </c>
      <c r="B3222" s="6">
        <f t="array" ref="B3222">IFERROR(INDEX(event_table!$E$1:$E3686,MATCH(A3222,event_table!$A$1:$A3686,0)),"")
</f>
        <v>4</v>
      </c>
      <c r="C3222" s="7">
        <f t="shared" si="1"/>
        <v>73</v>
      </c>
      <c r="D3222" s="6" t="str">
        <f t="array" ref="D3222">IFERROR(INDEX(user_table!$C$2:$C3686,MATCH(C3222,user_table!$B$2:$B3686,0)),"")
</f>
        <v>Hadi Santoso</v>
      </c>
      <c r="E3222" s="6" t="str">
        <f t="array" ref="E3222">IFERROR(INDEX(user_table!$E$2:$E3686,MATCH(C3222,user_table!$B$2:$B3686,0)),"")
</f>
        <v>6, 3</v>
      </c>
      <c r="F3222" s="6" t="str">
        <f t="shared" si="2"/>
        <v>14243473</v>
      </c>
      <c r="G3222" s="21">
        <v>3.0</v>
      </c>
      <c r="H3222" s="3">
        <v>44928.0</v>
      </c>
      <c r="I3222" s="22" t="s">
        <v>3141</v>
      </c>
    </row>
    <row r="3223">
      <c r="A3223" s="5" t="str">
        <f t="array" ref="A3223">INDEX(event_table!$A$2:$A$69, RANDBETWEEN(1, COUNTA(event_table!$A$2:$A$69)))</f>
        <v>1651</v>
      </c>
      <c r="B3223" s="6">
        <f t="array" ref="B3223">IFERROR(INDEX(event_table!$E$1:$E3686,MATCH(A3223,event_table!$A$1:$A3686,0)),"")
</f>
        <v>6</v>
      </c>
      <c r="C3223" s="7">
        <f t="shared" si="1"/>
        <v>121</v>
      </c>
      <c r="D3223" s="6" t="str">
        <f t="array" ref="D3223">IFERROR(INDEX(user_table!$C$2:$C3686,MATCH(C3223,user_table!$B$2:$B3686,0)),"")
</f>
        <v>Wahyu Saputra</v>
      </c>
      <c r="E3223" s="6" t="str">
        <f t="array" ref="E3223">IFERROR(INDEX(user_table!$E$2:$E3686,MATCH(C3223,user_table!$B$2:$B3686,0)),"")
</f>
        <v>6, 3</v>
      </c>
      <c r="F3223" s="6" t="str">
        <f t="shared" si="2"/>
        <v>165136121</v>
      </c>
      <c r="G3223" s="21">
        <v>3.0</v>
      </c>
      <c r="H3223" s="3">
        <v>45211.0</v>
      </c>
      <c r="I3223" s="22" t="s">
        <v>3142</v>
      </c>
    </row>
    <row r="3224">
      <c r="A3224" s="5" t="str">
        <f t="array" ref="A3224">INDEX(event_table!$A$2:$A$69, RANDBETWEEN(1, COUNTA(event_table!$A$2:$A$69)))</f>
        <v>1425</v>
      </c>
      <c r="B3224" s="6">
        <f t="array" ref="B3224">IFERROR(INDEX(event_table!$E$1:$E3686,MATCH(A3224,event_table!$A$1:$A3686,0)),"")
</f>
        <v>4</v>
      </c>
      <c r="C3224" s="7">
        <f t="shared" si="1"/>
        <v>168</v>
      </c>
      <c r="D3224" s="6" t="str">
        <f t="array" ref="D3224">IFERROR(INDEX(user_table!$C$2:$C3686,MATCH(C3224,user_table!$B$2:$B3686,0)),"")
</f>
        <v>Lina Kurniawan</v>
      </c>
      <c r="E3224" s="6" t="str">
        <f t="array" ref="E3224">IFERROR(INDEX(user_table!$E$2:$E3686,MATCH(C3224,user_table!$B$2:$B3686,0)),"")
</f>
        <v>2, 2</v>
      </c>
      <c r="F3224" s="6" t="str">
        <f t="shared" si="2"/>
        <v>142534168</v>
      </c>
      <c r="G3224" s="21">
        <v>3.0</v>
      </c>
      <c r="H3224" s="3">
        <v>45243.0</v>
      </c>
      <c r="I3224" s="22" t="s">
        <v>3143</v>
      </c>
    </row>
    <row r="3225">
      <c r="A3225" s="5" t="str">
        <f t="array" ref="A3225">INDEX(event_table!$A$2:$A$69, RANDBETWEEN(1, COUNTA(event_table!$A$2:$A$69)))</f>
        <v>1647</v>
      </c>
      <c r="B3225" s="6">
        <f t="array" ref="B3225">IFERROR(INDEX(event_table!$E$1:$E3686,MATCH(A3225,event_table!$A$1:$A3686,0)),"")
</f>
        <v>6</v>
      </c>
      <c r="C3225" s="7">
        <f t="shared" si="1"/>
        <v>6</v>
      </c>
      <c r="D3225" s="6" t="str">
        <f t="array" ref="D3225">IFERROR(INDEX(user_table!$C$2:$C3686,MATCH(C3225,user_table!$B$2:$B3686,0)),"")
</f>
        <v>Arif Putri</v>
      </c>
      <c r="E3225" s="6" t="str">
        <f t="array" ref="E3225">IFERROR(INDEX(user_table!$E$2:$E3686,MATCH(C3225,user_table!$B$2:$B3686,0)),"")
</f>
        <v>5, 2</v>
      </c>
      <c r="F3225" s="6" t="str">
        <f t="shared" si="2"/>
        <v>1647366</v>
      </c>
      <c r="G3225" s="21">
        <v>3.0</v>
      </c>
      <c r="H3225" s="3">
        <v>45203.0</v>
      </c>
      <c r="I3225" s="22" t="s">
        <v>3144</v>
      </c>
    </row>
    <row r="3226">
      <c r="A3226" s="5" t="str">
        <f t="array" ref="A3226">INDEX(event_table!$A$2:$A$69, RANDBETWEEN(1, COUNTA(event_table!$A$2:$A$69)))</f>
        <v>3170</v>
      </c>
      <c r="B3226" s="6">
        <f t="array" ref="B3226">IFERROR(INDEX(event_table!$E$1:$E3686,MATCH(A3226,event_table!$A$1:$A3686,0)),"")
</f>
        <v>1</v>
      </c>
      <c r="C3226" s="7">
        <f t="shared" si="1"/>
        <v>138</v>
      </c>
      <c r="D3226" s="6" t="str">
        <f t="array" ref="D3226">IFERROR(INDEX(user_table!$C$2:$C3686,MATCH(C3226,user_table!$B$2:$B3686,0)),"")
</f>
        <v>Joko Hermawan</v>
      </c>
      <c r="E3226" s="6" t="str">
        <f t="array" ref="E3226">IFERROR(INDEX(user_table!$E$2:$E3686,MATCH(C3226,user_table!$B$2:$B3686,0)),"")
</f>
        <v>4, 1</v>
      </c>
      <c r="F3226" s="6" t="str">
        <f t="shared" si="2"/>
        <v>317021138</v>
      </c>
      <c r="G3226" s="21">
        <v>2.0</v>
      </c>
      <c r="H3226" s="3">
        <v>44419.0</v>
      </c>
      <c r="I3226" s="22" t="s">
        <v>3145</v>
      </c>
    </row>
    <row r="3227">
      <c r="A3227" s="5" t="str">
        <f t="array" ref="A3227">INDEX(event_table!$A$2:$A$69, RANDBETWEEN(1, COUNTA(event_table!$A$2:$A$69)))</f>
        <v>1651</v>
      </c>
      <c r="B3227" s="6">
        <f t="array" ref="B3227">IFERROR(INDEX(event_table!$E$1:$E3686,MATCH(A3227,event_table!$A$1:$A3686,0)),"")
</f>
        <v>6</v>
      </c>
      <c r="C3227" s="7">
        <f t="shared" si="1"/>
        <v>56</v>
      </c>
      <c r="D3227" s="6" t="str">
        <f t="array" ref="D3227">IFERROR(INDEX(user_table!$C$2:$C3686,MATCH(C3227,user_table!$B$2:$B3686,0)),"")
</f>
        <v>Desi Putri</v>
      </c>
      <c r="E3227" s="6" t="str">
        <f t="array" ref="E3227">IFERROR(INDEX(user_table!$E$2:$E3686,MATCH(C3227,user_table!$B$2:$B3686,0)),"")
</f>
        <v>1, 3</v>
      </c>
      <c r="F3227" s="6" t="str">
        <f t="shared" si="2"/>
        <v>16512656</v>
      </c>
      <c r="G3227" s="21">
        <v>2.0</v>
      </c>
      <c r="H3227" s="3">
        <v>45204.0</v>
      </c>
      <c r="I3227" s="22" t="s">
        <v>3146</v>
      </c>
    </row>
    <row r="3228">
      <c r="A3228" s="5" t="str">
        <f t="array" ref="A3228">INDEX(event_table!$A$2:$A$69, RANDBETWEEN(1, COUNTA(event_table!$A$2:$A$69)))</f>
        <v>1531</v>
      </c>
      <c r="B3228" s="6">
        <f t="array" ref="B3228">IFERROR(INDEX(event_table!$E$1:$E3686,MATCH(A3228,event_table!$A$1:$A3686,0)),"")
</f>
        <v>5</v>
      </c>
      <c r="C3228" s="7">
        <f t="shared" si="1"/>
        <v>93</v>
      </c>
      <c r="D3228" s="6" t="str">
        <f t="array" ref="D3228">IFERROR(INDEX(user_table!$C$2:$C3686,MATCH(C3228,user_table!$B$2:$B3686,0)),"")
</f>
        <v>Hadi Putri</v>
      </c>
      <c r="E3228" s="6" t="str">
        <f t="array" ref="E3228">IFERROR(INDEX(user_table!$E$2:$E3686,MATCH(C3228,user_table!$B$2:$B3686,0)),"")
</f>
        <v>5, 6</v>
      </c>
      <c r="F3228" s="6" t="str">
        <f t="shared" si="2"/>
        <v>15312593</v>
      </c>
      <c r="G3228" s="21">
        <v>2.0</v>
      </c>
      <c r="H3228" s="3">
        <v>45203.0</v>
      </c>
      <c r="I3228" s="22" t="s">
        <v>3147</v>
      </c>
    </row>
    <row r="3229">
      <c r="A3229" s="5" t="str">
        <f t="array" ref="A3229">INDEX(event_table!$A$2:$A$69, RANDBETWEEN(1, COUNTA(event_table!$A$2:$A$69)))</f>
        <v>1646</v>
      </c>
      <c r="B3229" s="6">
        <f t="array" ref="B3229">IFERROR(INDEX(event_table!$E$1:$E3686,MATCH(A3229,event_table!$A$1:$A3686,0)),"")
</f>
        <v>6</v>
      </c>
      <c r="C3229" s="7">
        <f t="shared" si="1"/>
        <v>123</v>
      </c>
      <c r="D3229" s="6" t="str">
        <f t="array" ref="D3229">IFERROR(INDEX(user_table!$C$2:$C3686,MATCH(C3229,user_table!$B$2:$B3686,0)),"")
</f>
        <v>Lina Hartono</v>
      </c>
      <c r="E3229" s="6" t="str">
        <f t="array" ref="E3229">IFERROR(INDEX(user_table!$E$2:$E3686,MATCH(C3229,user_table!$B$2:$B3686,0)),"")
</f>
        <v>6, 5</v>
      </c>
      <c r="F3229" s="6" t="str">
        <f t="shared" si="2"/>
        <v>164626123</v>
      </c>
      <c r="G3229" s="21">
        <v>2.0</v>
      </c>
      <c r="H3229" s="3">
        <v>45196.0</v>
      </c>
      <c r="I3229" s="22" t="s">
        <v>3148</v>
      </c>
    </row>
    <row r="3230">
      <c r="A3230" s="5" t="str">
        <f t="array" ref="A3230">INDEX(event_table!$A$2:$A$69, RANDBETWEEN(1, COUNTA(event_table!$A$2:$A$69)))</f>
        <v>3167</v>
      </c>
      <c r="B3230" s="6">
        <f t="array" ref="B3230">IFERROR(INDEX(event_table!$E$1:$E3686,MATCH(A3230,event_table!$A$1:$A3686,0)),"")
</f>
        <v>1</v>
      </c>
      <c r="C3230" s="7">
        <f t="shared" si="1"/>
        <v>131</v>
      </c>
      <c r="D3230" s="6" t="str">
        <f t="array" ref="D3230">IFERROR(INDEX(user_table!$C$2:$C3686,MATCH(C3230,user_table!$B$2:$B3686,0)),"")
</f>
        <v>Dian Purnama</v>
      </c>
      <c r="E3230" s="6" t="str">
        <f t="array" ref="E3230">IFERROR(INDEX(user_table!$E$2:$E3686,MATCH(C3230,user_table!$B$2:$B3686,0)),"")
</f>
        <v>3, 5</v>
      </c>
      <c r="F3230" s="6" t="str">
        <f t="shared" si="2"/>
        <v>316721131</v>
      </c>
      <c r="G3230" s="21">
        <v>2.0</v>
      </c>
      <c r="H3230" s="3">
        <v>45105.0</v>
      </c>
      <c r="I3230" s="22" t="s">
        <v>3149</v>
      </c>
    </row>
    <row r="3231">
      <c r="A3231" s="5" t="str">
        <f t="array" ref="A3231">INDEX(event_table!$A$2:$A$69, RANDBETWEEN(1, COUNTA(event_table!$A$2:$A$69)))</f>
        <v>117</v>
      </c>
      <c r="B3231" s="6">
        <f t="array" ref="B3231">IFERROR(INDEX(event_table!$E$1:$E3686,MATCH(A3231,event_table!$A$1:$A3686,0)),"")
</f>
        <v>1</v>
      </c>
      <c r="C3231" s="7">
        <f t="shared" si="1"/>
        <v>36</v>
      </c>
      <c r="D3231" s="6" t="str">
        <f t="array" ref="D3231">IFERROR(INDEX(user_table!$C$2:$C3686,MATCH(C3231,user_table!$B$2:$B3686,0)),"")
</f>
        <v>Arif Susanto</v>
      </c>
      <c r="E3231" s="6" t="str">
        <f t="array" ref="E3231">IFERROR(INDEX(user_table!$E$2:$E3686,MATCH(C3231,user_table!$B$2:$B3686,0)),"")
</f>
        <v>3, 5</v>
      </c>
      <c r="F3231" s="6" t="str">
        <f t="shared" si="2"/>
        <v>1171136</v>
      </c>
      <c r="G3231" s="21">
        <v>1.0</v>
      </c>
      <c r="H3231" s="3">
        <v>45232.0</v>
      </c>
      <c r="I3231" s="22" t="s">
        <v>3150</v>
      </c>
    </row>
    <row r="3232">
      <c r="A3232" s="5" t="str">
        <f t="array" ref="A3232">INDEX(event_table!$A$2:$A$69, RANDBETWEEN(1, COUNTA(event_table!$A$2:$A$69)))</f>
        <v>119</v>
      </c>
      <c r="B3232" s="6">
        <f t="array" ref="B3232">IFERROR(INDEX(event_table!$E$1:$E3686,MATCH(A3232,event_table!$A$1:$A3686,0)),"")
</f>
        <v>1</v>
      </c>
      <c r="C3232" s="7">
        <f t="shared" si="1"/>
        <v>160</v>
      </c>
      <c r="D3232" s="6" t="str">
        <f t="array" ref="D3232">IFERROR(INDEX(user_table!$C$2:$C3686,MATCH(C3232,user_table!$B$2:$B3686,0)),"")
</f>
        <v>Hadi Hadiwijaya</v>
      </c>
      <c r="E3232" s="6" t="str">
        <f t="array" ref="E3232">IFERROR(INDEX(user_table!$E$2:$E3686,MATCH(C3232,user_table!$B$2:$B3686,0)),"")
</f>
        <v>2, 4</v>
      </c>
      <c r="F3232" s="6" t="str">
        <f t="shared" si="2"/>
        <v>11911160</v>
      </c>
      <c r="G3232" s="21">
        <v>1.0</v>
      </c>
      <c r="H3232" s="3">
        <v>45244.0</v>
      </c>
      <c r="I3232" s="22" t="s">
        <v>3151</v>
      </c>
    </row>
    <row r="3233">
      <c r="A3233" s="5" t="str">
        <f t="array" ref="A3233">INDEX(event_table!$A$2:$A$69, RANDBETWEEN(1, COUNTA(event_table!$A$2:$A$69)))</f>
        <v>1526</v>
      </c>
      <c r="B3233" s="6">
        <f t="array" ref="B3233">IFERROR(INDEX(event_table!$E$1:$E3686,MATCH(A3233,event_table!$A$1:$A3686,0)),"")
</f>
        <v>5</v>
      </c>
      <c r="C3233" s="7">
        <f t="shared" si="1"/>
        <v>75</v>
      </c>
      <c r="D3233" s="6" t="str">
        <f t="array" ref="D3233">IFERROR(INDEX(user_table!$C$2:$C3686,MATCH(C3233,user_table!$B$2:$B3686,0)),"")
</f>
        <v>Citra Sari</v>
      </c>
      <c r="E3233" s="6" t="str">
        <f t="array" ref="E3233">IFERROR(INDEX(user_table!$E$2:$E3686,MATCH(C3233,user_table!$B$2:$B3686,0)),"")
</f>
        <v>2, 5</v>
      </c>
      <c r="F3233" s="6" t="str">
        <f t="shared" si="2"/>
        <v>15261575</v>
      </c>
      <c r="G3233" s="21">
        <v>1.0</v>
      </c>
      <c r="H3233" s="3">
        <v>45212.0</v>
      </c>
      <c r="I3233" s="22" t="s">
        <v>3152</v>
      </c>
    </row>
    <row r="3234">
      <c r="A3234" s="5" t="str">
        <f t="array" ref="A3234">INDEX(event_table!$A$2:$A$69, RANDBETWEEN(1, COUNTA(event_table!$A$2:$A$69)))</f>
        <v>1646</v>
      </c>
      <c r="B3234" s="6">
        <f t="array" ref="B3234">IFERROR(INDEX(event_table!$E$1:$E3686,MATCH(A3234,event_table!$A$1:$A3686,0)),"")
</f>
        <v>6</v>
      </c>
      <c r="C3234" s="7">
        <f t="shared" si="1"/>
        <v>90</v>
      </c>
      <c r="D3234" s="6" t="str">
        <f t="array" ref="D3234">IFERROR(INDEX(user_table!$C$2:$C3686,MATCH(C3234,user_table!$B$2:$B3686,0)),"")
</f>
        <v>Dina Saputra</v>
      </c>
      <c r="E3234" s="6" t="str">
        <f t="array" ref="E3234">IFERROR(INDEX(user_table!$E$2:$E3686,MATCH(C3234,user_table!$B$2:$B3686,0)),"")
</f>
        <v>1, 2</v>
      </c>
      <c r="F3234" s="6" t="str">
        <f t="shared" si="2"/>
        <v>16461690</v>
      </c>
      <c r="G3234" s="21">
        <v>1.0</v>
      </c>
      <c r="H3234" s="3">
        <v>45136.0</v>
      </c>
      <c r="I3234" s="22" t="s">
        <v>3153</v>
      </c>
    </row>
    <row r="3235">
      <c r="A3235" s="5" t="str">
        <f t="array" ref="A3235">INDEX(event_table!$A$2:$A$69, RANDBETWEEN(1, COUNTA(event_table!$A$2:$A$69)))</f>
        <v>3168</v>
      </c>
      <c r="B3235" s="6">
        <f t="array" ref="B3235">IFERROR(INDEX(event_table!$E$1:$E3686,MATCH(A3235,event_table!$A$1:$A3686,0)),"")
</f>
        <v>1</v>
      </c>
      <c r="C3235" s="7">
        <f t="shared" si="1"/>
        <v>11</v>
      </c>
      <c r="D3235" s="6" t="str">
        <f t="array" ref="D3235">IFERROR(INDEX(user_table!$C$2:$C3686,MATCH(C3235,user_table!$B$2:$B3686,0)),"")
</f>
        <v>Arif Sari</v>
      </c>
      <c r="E3235" s="6" t="str">
        <f t="array" ref="E3235">IFERROR(INDEX(user_table!$E$2:$E3686,MATCH(C3235,user_table!$B$2:$B3686,0)),"")
</f>
        <v>5, 2</v>
      </c>
      <c r="F3235" s="6" t="str">
        <f t="shared" si="2"/>
        <v>31681111</v>
      </c>
      <c r="G3235" s="21">
        <v>1.0</v>
      </c>
      <c r="H3235" s="3">
        <v>45188.0</v>
      </c>
      <c r="I3235" s="22" t="s">
        <v>3154</v>
      </c>
    </row>
    <row r="3236">
      <c r="A3236" s="5" t="str">
        <f t="array" ref="A3236">INDEX(event_table!$A$2:$A$69, RANDBETWEEN(1, COUNTA(event_table!$A$2:$A$69)))</f>
        <v>3170</v>
      </c>
      <c r="B3236" s="6">
        <f t="array" ref="B3236">IFERROR(INDEX(event_table!$E$1:$E3686,MATCH(A3236,event_table!$A$1:$A3686,0)),"")
</f>
        <v>1</v>
      </c>
      <c r="C3236" s="7">
        <f t="shared" si="1"/>
        <v>176</v>
      </c>
      <c r="D3236" s="6" t="str">
        <f t="array" ref="D3236">IFERROR(INDEX(user_table!$C$2:$C3686,MATCH(C3236,user_table!$B$2:$B3686,0)),"")
</f>
        <v>Ani Hartono</v>
      </c>
      <c r="E3236" s="6" t="str">
        <f t="array" ref="E3236">IFERROR(INDEX(user_table!$E$2:$E3686,MATCH(C3236,user_table!$B$2:$B3686,0)),"")
</f>
        <v>2, 3</v>
      </c>
      <c r="F3236" s="6" t="str">
        <f t="shared" si="2"/>
        <v>317011176</v>
      </c>
      <c r="G3236" s="21">
        <v>1.0</v>
      </c>
      <c r="H3236" s="3">
        <v>45177.0</v>
      </c>
      <c r="I3236" s="22" t="s">
        <v>3155</v>
      </c>
    </row>
    <row r="3237">
      <c r="A3237" s="5" t="str">
        <f t="array" ref="A3237">INDEX(event_table!$A$2:$A$69, RANDBETWEEN(1, COUNTA(event_table!$A$2:$A$69)))</f>
        <v>119</v>
      </c>
      <c r="B3237" s="6">
        <f t="array" ref="B3237">IFERROR(INDEX(event_table!$E$1:$E3686,MATCH(A3237,event_table!$A$1:$A3686,0)),"")
</f>
        <v>1</v>
      </c>
      <c r="C3237" s="7">
        <f t="shared" si="1"/>
        <v>43</v>
      </c>
      <c r="D3237" s="6" t="str">
        <f t="array" ref="D3237">IFERROR(INDEX(user_table!$C$2:$C3686,MATCH(C3237,user_table!$B$2:$B3686,0)),"")
</f>
        <v>Lina Putri</v>
      </c>
      <c r="E3237" s="6" t="str">
        <f t="array" ref="E3237">IFERROR(INDEX(user_table!$E$2:$E3686,MATCH(C3237,user_table!$B$2:$B3686,0)),"")
</f>
        <v>1, 6</v>
      </c>
      <c r="F3237" s="6" t="str">
        <f t="shared" si="2"/>
        <v>1191143</v>
      </c>
      <c r="G3237" s="21">
        <v>1.0</v>
      </c>
      <c r="H3237" s="3">
        <v>45252.0</v>
      </c>
      <c r="I3237" s="22" t="s">
        <v>3156</v>
      </c>
    </row>
    <row r="3238">
      <c r="A3238" s="5" t="str">
        <f t="array" ref="A3238">INDEX(event_table!$A$2:$A$69, RANDBETWEEN(1, COUNTA(event_table!$A$2:$A$69)))</f>
        <v>1640</v>
      </c>
      <c r="B3238" s="6">
        <f t="array" ref="B3238">IFERROR(INDEX(event_table!$E$1:$E3686,MATCH(A3238,event_table!$A$1:$A3686,0)),"")
</f>
        <v>6</v>
      </c>
      <c r="C3238" s="7">
        <f t="shared" si="1"/>
        <v>139</v>
      </c>
      <c r="D3238" s="6" t="str">
        <f t="array" ref="D3238">IFERROR(INDEX(user_table!$C$2:$C3686,MATCH(C3238,user_table!$B$2:$B3686,0)),"")
</f>
        <v>Sinta Kurniawan</v>
      </c>
      <c r="E3238" s="6" t="str">
        <f t="array" ref="E3238">IFERROR(INDEX(user_table!$E$2:$E3686,MATCH(C3238,user_table!$B$2:$B3686,0)),"")
</f>
        <v>4, 6</v>
      </c>
      <c r="F3238" s="6" t="str">
        <f t="shared" si="2"/>
        <v>164016139</v>
      </c>
      <c r="G3238" s="21">
        <v>1.0</v>
      </c>
      <c r="H3238" s="3">
        <v>45235.0</v>
      </c>
      <c r="I3238" s="22" t="s">
        <v>3157</v>
      </c>
    </row>
    <row r="3239">
      <c r="A3239" s="5" t="str">
        <f t="array" ref="A3239">INDEX(event_table!$A$2:$A$69, RANDBETWEEN(1, COUNTA(event_table!$A$2:$A$69)))</f>
        <v>1334</v>
      </c>
      <c r="B3239" s="6">
        <f t="array" ref="B3239">IFERROR(INDEX(event_table!$E$1:$E3686,MATCH(A3239,event_table!$A$1:$A3686,0)),"")
</f>
        <v>3</v>
      </c>
      <c r="C3239" s="7">
        <f t="shared" si="1"/>
        <v>44</v>
      </c>
      <c r="D3239" s="6" t="str">
        <f t="array" ref="D3239">IFERROR(INDEX(user_table!$C$2:$C3686,MATCH(C3239,user_table!$B$2:$B3686,0)),"")
</f>
        <v>Arif Sari</v>
      </c>
      <c r="E3239" s="6" t="str">
        <f t="array" ref="E3239">IFERROR(INDEX(user_table!$E$2:$E3686,MATCH(C3239,user_table!$B$2:$B3686,0)),"")
</f>
        <v>2, 4</v>
      </c>
      <c r="F3239" s="6" t="str">
        <f t="shared" si="2"/>
        <v>13341344</v>
      </c>
      <c r="G3239" s="21">
        <v>1.0</v>
      </c>
      <c r="H3239" s="3">
        <v>45225.0</v>
      </c>
      <c r="I3239" s="22" t="s">
        <v>3158</v>
      </c>
    </row>
    <row r="3240">
      <c r="A3240" s="5" t="str">
        <f t="array" ref="A3240">INDEX(event_table!$A$2:$A$69, RANDBETWEEN(1, COUNTA(event_table!$A$2:$A$69)))</f>
        <v>119</v>
      </c>
      <c r="B3240" s="6">
        <f t="array" ref="B3240">IFERROR(INDEX(event_table!$E$1:$E3686,MATCH(A3240,event_table!$A$1:$A3686,0)),"")
</f>
        <v>1</v>
      </c>
      <c r="C3240" s="7">
        <f t="shared" si="1"/>
        <v>143</v>
      </c>
      <c r="D3240" s="6" t="str">
        <f t="array" ref="D3240">IFERROR(INDEX(user_table!$C$2:$C3686,MATCH(C3240,user_table!$B$2:$B3686,0)),"")
</f>
        <v>Agus Putri</v>
      </c>
      <c r="E3240" s="6" t="str">
        <f t="array" ref="E3240">IFERROR(INDEX(user_table!$E$2:$E3686,MATCH(C3240,user_table!$B$2:$B3686,0)),"")
</f>
        <v>3, 3</v>
      </c>
      <c r="F3240" s="6" t="str">
        <f t="shared" si="2"/>
        <v>11911143</v>
      </c>
      <c r="G3240" s="21">
        <v>1.0</v>
      </c>
      <c r="H3240" s="3">
        <v>45173.0</v>
      </c>
      <c r="I3240" s="22" t="s">
        <v>3159</v>
      </c>
    </row>
    <row r="3241">
      <c r="A3241" s="5" t="str">
        <f t="array" ref="A3241">INDEX(event_table!$A$2:$A$69, RANDBETWEEN(1, COUNTA(event_table!$A$2:$A$69)))</f>
        <v>1427</v>
      </c>
      <c r="B3241" s="6">
        <f t="array" ref="B3241">IFERROR(INDEX(event_table!$E$1:$E3686,MATCH(A3241,event_table!$A$1:$A3686,0)),"")
</f>
        <v>4</v>
      </c>
      <c r="C3241" s="7">
        <f t="shared" si="1"/>
        <v>94</v>
      </c>
      <c r="D3241" s="6" t="str">
        <f t="array" ref="D3241">IFERROR(INDEX(user_table!$C$2:$C3686,MATCH(C3241,user_table!$B$2:$B3686,0)),"")
</f>
        <v>Ani Susanto</v>
      </c>
      <c r="E3241" s="6" t="str">
        <f t="array" ref="E3241">IFERROR(INDEX(user_table!$E$2:$E3686,MATCH(C3241,user_table!$B$2:$B3686,0)),"")
</f>
        <v>2, 4</v>
      </c>
      <c r="F3241" s="6" t="str">
        <f t="shared" si="2"/>
        <v>14271494</v>
      </c>
      <c r="G3241" s="21">
        <v>1.0</v>
      </c>
      <c r="H3241" s="3">
        <v>45149.0</v>
      </c>
      <c r="I3241" s="22" t="s">
        <v>3160</v>
      </c>
    </row>
    <row r="3242">
      <c r="A3242" s="5" t="str">
        <f t="array" ref="A3242">INDEX(event_table!$A$2:$A$69, RANDBETWEEN(1, COUNTA(event_table!$A$2:$A$69)))</f>
        <v>119</v>
      </c>
      <c r="B3242" s="6">
        <f t="array" ref="B3242">IFERROR(INDEX(event_table!$E$1:$E3686,MATCH(A3242,event_table!$A$1:$A3686,0)),"")
</f>
        <v>1</v>
      </c>
      <c r="C3242" s="7">
        <f t="shared" si="1"/>
        <v>99</v>
      </c>
      <c r="D3242" s="6" t="str">
        <f t="array" ref="D3242">IFERROR(INDEX(user_table!$C$2:$C3686,MATCH(C3242,user_table!$B$2:$B3686,0)),"")
</f>
        <v>Maya Nugroho</v>
      </c>
      <c r="E3242" s="6" t="str">
        <f t="array" ref="E3242">IFERROR(INDEX(user_table!$E$2:$E3686,MATCH(C3242,user_table!$B$2:$B3686,0)),"")
</f>
        <v>6, 1</v>
      </c>
      <c r="F3242" s="6" t="str">
        <f t="shared" si="2"/>
        <v>1191199</v>
      </c>
      <c r="G3242" s="21">
        <v>1.0</v>
      </c>
      <c r="H3242" s="3">
        <v>45143.0</v>
      </c>
      <c r="I3242" s="22" t="s">
        <v>3161</v>
      </c>
    </row>
    <row r="3243">
      <c r="A3243" s="5" t="str">
        <f t="array" ref="A3243">INDEX(event_table!$A$2:$A$69, RANDBETWEEN(1, COUNTA(event_table!$A$2:$A$69)))</f>
        <v>3170</v>
      </c>
      <c r="B3243" s="6">
        <f t="array" ref="B3243">IFERROR(INDEX(event_table!$E$1:$E3686,MATCH(A3243,event_table!$A$1:$A3686,0)),"")
</f>
        <v>1</v>
      </c>
      <c r="C3243" s="7">
        <f t="shared" si="1"/>
        <v>80</v>
      </c>
      <c r="D3243" s="6" t="str">
        <f t="array" ref="D3243">IFERROR(INDEX(user_table!$C$2:$C3686,MATCH(C3243,user_table!$B$2:$B3686,0)),"")
</f>
        <v>Sinta Susanto</v>
      </c>
      <c r="E3243" s="6" t="str">
        <f t="array" ref="E3243">IFERROR(INDEX(user_table!$E$2:$E3686,MATCH(C3243,user_table!$B$2:$B3686,0)),"")
</f>
        <v>5, 2</v>
      </c>
      <c r="F3243" s="6" t="str">
        <f t="shared" si="2"/>
        <v>31701180</v>
      </c>
      <c r="G3243" s="21">
        <v>1.0</v>
      </c>
      <c r="H3243" s="3">
        <v>45143.0</v>
      </c>
      <c r="I3243" s="22" t="s">
        <v>3162</v>
      </c>
    </row>
    <row r="3244">
      <c r="A3244" s="5" t="str">
        <f t="array" ref="A3244">INDEX(event_table!$A$2:$A$69, RANDBETWEEN(1, COUNTA(event_table!$A$2:$A$69)))</f>
        <v>1417</v>
      </c>
      <c r="B3244" s="6">
        <f t="array" ref="B3244">IFERROR(INDEX(event_table!$E$1:$E3686,MATCH(A3244,event_table!$A$1:$A3686,0)),"")
</f>
        <v>4</v>
      </c>
      <c r="C3244" s="7">
        <f t="shared" si="1"/>
        <v>66</v>
      </c>
      <c r="D3244" s="6" t="str">
        <f t="array" ref="D3244">IFERROR(INDEX(user_table!$C$2:$C3686,MATCH(C3244,user_table!$B$2:$B3686,0)),"")
</f>
        <v>Agus Wijaya</v>
      </c>
      <c r="E3244" s="6" t="str">
        <f t="array" ref="E3244">IFERROR(INDEX(user_table!$E$2:$E3686,MATCH(C3244,user_table!$B$2:$B3686,0)),"")
</f>
        <v>5, 3</v>
      </c>
      <c r="F3244" s="6" t="str">
        <f t="shared" si="2"/>
        <v>14171466</v>
      </c>
      <c r="G3244" s="21">
        <v>1.0</v>
      </c>
      <c r="H3244" s="3">
        <v>45080.0</v>
      </c>
      <c r="I3244" s="22" t="s">
        <v>3163</v>
      </c>
    </row>
    <row r="3245">
      <c r="A3245" s="5" t="str">
        <f t="array" ref="A3245">INDEX(event_table!$A$2:$A$69, RANDBETWEEN(1, COUNTA(event_table!$A$2:$A$69)))</f>
        <v>3169</v>
      </c>
      <c r="B3245" s="6">
        <f t="array" ref="B3245">IFERROR(INDEX(event_table!$E$1:$E3686,MATCH(A3245,event_table!$A$1:$A3686,0)),"")
</f>
        <v>1</v>
      </c>
      <c r="C3245" s="7">
        <f t="shared" si="1"/>
        <v>109</v>
      </c>
      <c r="D3245" s="6" t="str">
        <f t="array" ref="D3245">IFERROR(INDEX(user_table!$C$2:$C3686,MATCH(C3245,user_table!$B$2:$B3686,0)),"")
</f>
        <v>Ani Sari</v>
      </c>
      <c r="E3245" s="6" t="str">
        <f t="array" ref="E3245">IFERROR(INDEX(user_table!$E$2:$E3686,MATCH(C3245,user_table!$B$2:$B3686,0)),"")
</f>
        <v>4, 5</v>
      </c>
      <c r="F3245" s="6" t="str">
        <f t="shared" si="2"/>
        <v>316911109</v>
      </c>
      <c r="G3245" s="21">
        <v>1.0</v>
      </c>
      <c r="H3245" s="3">
        <v>45037.0</v>
      </c>
      <c r="I3245" s="22" t="s">
        <v>3164</v>
      </c>
    </row>
    <row r="3246">
      <c r="A3246" s="5" t="str">
        <f t="array" ref="A3246">INDEX(event_table!$A$2:$A$69, RANDBETWEEN(1, COUNTA(event_table!$A$2:$A$69)))</f>
        <v>1215</v>
      </c>
      <c r="B3246" s="6">
        <f t="array" ref="B3246">IFERROR(INDEX(event_table!$E$1:$E3686,MATCH(A3246,event_table!$A$1:$A3686,0)),"")
</f>
        <v>2</v>
      </c>
      <c r="C3246" s="7">
        <f t="shared" si="1"/>
        <v>86</v>
      </c>
      <c r="D3246" s="6" t="str">
        <f t="array" ref="D3246">IFERROR(INDEX(user_table!$C$2:$C3686,MATCH(C3246,user_table!$B$2:$B3686,0)),"")
</f>
        <v>Lina Santoso</v>
      </c>
      <c r="E3246" s="6" t="str">
        <f t="array" ref="E3246">IFERROR(INDEX(user_table!$E$2:$E3686,MATCH(C3246,user_table!$B$2:$B3686,0)),"")
</f>
        <v>4, 3</v>
      </c>
      <c r="F3246" s="6" t="str">
        <f t="shared" si="2"/>
        <v>12151286</v>
      </c>
      <c r="G3246" s="21">
        <v>1.0</v>
      </c>
      <c r="H3246" s="3">
        <v>45017.0</v>
      </c>
      <c r="I3246" s="22" t="s">
        <v>3165</v>
      </c>
    </row>
    <row r="3247">
      <c r="A3247" s="24"/>
      <c r="B3247" s="6"/>
      <c r="C3247" s="7"/>
      <c r="D3247" s="6"/>
      <c r="E3247" s="6"/>
      <c r="F3247" s="6"/>
      <c r="G3247" s="2"/>
      <c r="H3247" s="3"/>
      <c r="I3247" s="22"/>
    </row>
    <row r="3248">
      <c r="A3248" s="24"/>
      <c r="B3248" s="6"/>
      <c r="C3248" s="7"/>
      <c r="D3248" s="6"/>
      <c r="E3248" s="6"/>
      <c r="F3248" s="6"/>
      <c r="G3248" s="2"/>
      <c r="H3248" s="3"/>
      <c r="I3248" s="22"/>
    </row>
    <row r="3249">
      <c r="A3249" s="24"/>
      <c r="B3249" s="6"/>
      <c r="C3249" s="7"/>
      <c r="D3249" s="6"/>
      <c r="E3249" s="6"/>
      <c r="F3249" s="6"/>
      <c r="G3249" s="2"/>
      <c r="H3249" s="3"/>
      <c r="I3249" s="22"/>
    </row>
    <row r="3250">
      <c r="A3250" s="24"/>
      <c r="B3250" s="6"/>
      <c r="C3250" s="7"/>
      <c r="D3250" s="6"/>
      <c r="E3250" s="6"/>
      <c r="F3250" s="6"/>
      <c r="G3250" s="2"/>
      <c r="H3250" s="3"/>
      <c r="I3250" s="22"/>
    </row>
    <row r="3251">
      <c r="A3251" s="24"/>
      <c r="B3251" s="6"/>
      <c r="C3251" s="7"/>
      <c r="D3251" s="6"/>
      <c r="E3251" s="6"/>
      <c r="F3251" s="6"/>
      <c r="G3251" s="2"/>
      <c r="H3251" s="3"/>
      <c r="I3251" s="22"/>
    </row>
    <row r="3252">
      <c r="A3252" s="24"/>
      <c r="B3252" s="6"/>
      <c r="C3252" s="7"/>
      <c r="D3252" s="6"/>
      <c r="E3252" s="6"/>
      <c r="F3252" s="6"/>
      <c r="G3252" s="2"/>
      <c r="H3252" s="3"/>
      <c r="I3252" s="22"/>
    </row>
    <row r="3253">
      <c r="A3253" s="24"/>
      <c r="B3253" s="6"/>
      <c r="C3253" s="7"/>
      <c r="D3253" s="6"/>
      <c r="E3253" s="6"/>
      <c r="F3253" s="6"/>
      <c r="G3253" s="2"/>
      <c r="H3253" s="3"/>
      <c r="I3253" s="22"/>
    </row>
    <row r="3254">
      <c r="A3254" s="24"/>
      <c r="B3254" s="6"/>
      <c r="C3254" s="7"/>
      <c r="D3254" s="6"/>
      <c r="E3254" s="6"/>
      <c r="F3254" s="6"/>
      <c r="G3254" s="2"/>
      <c r="H3254" s="3"/>
      <c r="I3254" s="22"/>
    </row>
    <row r="3255">
      <c r="A3255" s="24"/>
      <c r="B3255" s="6"/>
      <c r="C3255" s="7"/>
      <c r="D3255" s="6"/>
      <c r="E3255" s="6"/>
      <c r="F3255" s="6"/>
      <c r="G3255" s="2"/>
      <c r="H3255" s="3"/>
      <c r="I3255" s="22"/>
    </row>
    <row r="3256">
      <c r="A3256" s="24"/>
      <c r="B3256" s="6"/>
      <c r="C3256" s="7"/>
      <c r="D3256" s="6"/>
      <c r="E3256" s="6"/>
      <c r="F3256" s="6"/>
      <c r="G3256" s="2"/>
      <c r="H3256" s="3"/>
      <c r="I3256" s="22"/>
    </row>
    <row r="3257">
      <c r="A3257" s="24"/>
      <c r="B3257" s="6"/>
      <c r="C3257" s="7"/>
      <c r="D3257" s="6"/>
      <c r="E3257" s="6"/>
      <c r="F3257" s="6"/>
      <c r="G3257" s="2"/>
      <c r="H3257" s="3"/>
      <c r="I3257" s="22"/>
    </row>
    <row r="3258">
      <c r="A3258" s="24"/>
      <c r="B3258" s="6"/>
      <c r="C3258" s="7"/>
      <c r="D3258" s="6"/>
      <c r="E3258" s="6"/>
      <c r="F3258" s="6"/>
      <c r="G3258" s="2"/>
      <c r="H3258" s="3"/>
      <c r="I3258" s="22"/>
    </row>
    <row r="3259">
      <c r="A3259" s="24"/>
      <c r="B3259" s="6"/>
      <c r="C3259" s="7"/>
      <c r="D3259" s="6"/>
      <c r="E3259" s="6"/>
      <c r="F3259" s="6"/>
      <c r="G3259" s="2"/>
      <c r="H3259" s="3"/>
      <c r="I3259" s="22"/>
    </row>
    <row r="3260">
      <c r="A3260" s="24"/>
      <c r="B3260" s="6"/>
      <c r="C3260" s="7"/>
      <c r="D3260" s="6"/>
      <c r="E3260" s="6"/>
      <c r="F3260" s="6"/>
      <c r="G3260" s="2"/>
      <c r="H3260" s="3"/>
      <c r="I3260" s="22"/>
    </row>
    <row r="3261">
      <c r="A3261" s="24"/>
      <c r="B3261" s="6"/>
      <c r="C3261" s="7"/>
      <c r="D3261" s="6"/>
      <c r="E3261" s="6"/>
      <c r="F3261" s="6"/>
      <c r="G3261" s="2"/>
      <c r="H3261" s="3"/>
      <c r="I3261" s="22"/>
    </row>
    <row r="3262">
      <c r="A3262" s="24"/>
      <c r="B3262" s="6"/>
      <c r="C3262" s="7"/>
      <c r="D3262" s="6"/>
      <c r="E3262" s="6"/>
      <c r="F3262" s="6"/>
      <c r="G3262" s="2"/>
      <c r="H3262" s="3"/>
      <c r="I3262" s="22"/>
    </row>
    <row r="3263">
      <c r="A3263" s="24"/>
      <c r="B3263" s="6"/>
      <c r="C3263" s="7"/>
      <c r="D3263" s="6"/>
      <c r="E3263" s="6"/>
      <c r="F3263" s="6"/>
      <c r="G3263" s="2"/>
      <c r="H3263" s="3"/>
      <c r="I3263" s="22"/>
    </row>
    <row r="3264">
      <c r="A3264" s="24"/>
      <c r="B3264" s="6"/>
      <c r="C3264" s="7"/>
      <c r="D3264" s="6"/>
      <c r="E3264" s="6"/>
      <c r="F3264" s="6"/>
      <c r="G3264" s="2"/>
      <c r="H3264" s="3"/>
      <c r="I3264" s="22"/>
    </row>
    <row r="3265">
      <c r="A3265" s="24"/>
      <c r="B3265" s="6"/>
      <c r="C3265" s="7"/>
      <c r="D3265" s="6"/>
      <c r="E3265" s="6"/>
      <c r="F3265" s="6"/>
      <c r="G3265" s="2"/>
      <c r="H3265" s="3"/>
      <c r="I3265" s="22"/>
    </row>
    <row r="3266">
      <c r="A3266" s="24"/>
      <c r="B3266" s="6"/>
      <c r="C3266" s="7"/>
      <c r="D3266" s="6"/>
      <c r="E3266" s="6"/>
      <c r="F3266" s="6"/>
      <c r="G3266" s="2"/>
      <c r="H3266" s="3"/>
      <c r="I3266" s="22"/>
    </row>
    <row r="3267">
      <c r="A3267" s="24"/>
      <c r="B3267" s="6"/>
      <c r="C3267" s="7"/>
      <c r="D3267" s="6"/>
      <c r="E3267" s="6"/>
      <c r="F3267" s="6"/>
      <c r="G3267" s="2"/>
      <c r="H3267" s="3"/>
      <c r="I3267" s="22"/>
    </row>
    <row r="3268">
      <c r="A3268" s="24"/>
      <c r="B3268" s="6"/>
      <c r="C3268" s="7"/>
      <c r="D3268" s="6"/>
      <c r="E3268" s="6"/>
      <c r="F3268" s="6"/>
      <c r="G3268" s="2"/>
      <c r="H3268" s="3"/>
      <c r="I3268" s="22"/>
    </row>
    <row r="3269">
      <c r="A3269" s="24"/>
      <c r="B3269" s="6"/>
      <c r="C3269" s="7"/>
      <c r="D3269" s="6"/>
      <c r="E3269" s="6"/>
      <c r="F3269" s="6"/>
      <c r="G3269" s="2"/>
      <c r="H3269" s="3"/>
      <c r="I3269" s="22"/>
    </row>
    <row r="3270">
      <c r="A3270" s="24"/>
      <c r="B3270" s="6"/>
      <c r="C3270" s="7"/>
      <c r="D3270" s="6"/>
      <c r="E3270" s="6"/>
      <c r="F3270" s="6"/>
      <c r="G3270" s="2"/>
      <c r="H3270" s="3"/>
      <c r="I3270" s="22"/>
    </row>
    <row r="3271">
      <c r="A3271" s="24"/>
      <c r="B3271" s="6"/>
      <c r="C3271" s="7"/>
      <c r="D3271" s="6"/>
      <c r="E3271" s="6"/>
      <c r="F3271" s="6"/>
      <c r="G3271" s="2"/>
      <c r="H3271" s="3"/>
      <c r="I3271" s="22"/>
    </row>
    <row r="3272">
      <c r="A3272" s="24"/>
      <c r="B3272" s="6"/>
      <c r="C3272" s="7"/>
      <c r="D3272" s="6"/>
      <c r="E3272" s="6"/>
      <c r="F3272" s="6"/>
      <c r="G3272" s="2"/>
      <c r="H3272" s="3"/>
      <c r="I3272" s="22"/>
    </row>
    <row r="3273">
      <c r="A3273" s="24"/>
      <c r="B3273" s="6"/>
      <c r="C3273" s="7"/>
      <c r="D3273" s="6"/>
      <c r="E3273" s="6"/>
      <c r="F3273" s="6"/>
      <c r="G3273" s="2"/>
      <c r="H3273" s="3"/>
      <c r="I3273" s="22"/>
    </row>
    <row r="3274">
      <c r="A3274" s="24"/>
      <c r="B3274" s="6"/>
      <c r="C3274" s="7"/>
      <c r="D3274" s="6"/>
      <c r="E3274" s="6"/>
      <c r="F3274" s="6"/>
      <c r="G3274" s="2"/>
      <c r="H3274" s="3"/>
      <c r="I3274" s="22"/>
    </row>
    <row r="3275">
      <c r="A3275" s="24"/>
      <c r="B3275" s="6"/>
      <c r="C3275" s="7"/>
      <c r="D3275" s="6"/>
      <c r="E3275" s="6"/>
      <c r="F3275" s="6"/>
      <c r="G3275" s="2"/>
      <c r="H3275" s="3"/>
      <c r="I3275" s="22"/>
    </row>
    <row r="3276">
      <c r="A3276" s="24"/>
      <c r="B3276" s="6"/>
      <c r="C3276" s="7"/>
      <c r="D3276" s="6"/>
      <c r="E3276" s="6"/>
      <c r="F3276" s="6"/>
      <c r="G3276" s="2"/>
      <c r="H3276" s="3"/>
      <c r="I3276" s="22"/>
    </row>
    <row r="3277">
      <c r="A3277" s="24"/>
      <c r="B3277" s="6"/>
      <c r="C3277" s="7"/>
      <c r="D3277" s="6"/>
      <c r="E3277" s="6"/>
      <c r="F3277" s="6"/>
      <c r="G3277" s="2"/>
      <c r="H3277" s="3"/>
      <c r="I3277" s="22"/>
    </row>
    <row r="3278">
      <c r="A3278" s="24"/>
      <c r="B3278" s="6"/>
      <c r="C3278" s="7"/>
      <c r="D3278" s="6"/>
      <c r="E3278" s="6"/>
      <c r="F3278" s="6"/>
      <c r="G3278" s="2"/>
      <c r="H3278" s="3"/>
      <c r="I3278" s="22"/>
    </row>
    <row r="3279">
      <c r="A3279" s="24"/>
      <c r="B3279" s="6"/>
      <c r="C3279" s="7"/>
      <c r="D3279" s="6"/>
      <c r="E3279" s="6"/>
      <c r="F3279" s="6"/>
      <c r="G3279" s="2"/>
      <c r="H3279" s="3"/>
      <c r="I3279" s="22"/>
    </row>
    <row r="3280">
      <c r="A3280" s="24"/>
      <c r="B3280" s="6"/>
      <c r="C3280" s="7"/>
      <c r="D3280" s="6"/>
      <c r="E3280" s="6"/>
      <c r="F3280" s="6"/>
      <c r="G3280" s="2"/>
      <c r="H3280" s="3"/>
      <c r="I3280" s="22"/>
    </row>
    <row r="3281">
      <c r="A3281" s="24"/>
      <c r="B3281" s="6"/>
      <c r="C3281" s="7"/>
      <c r="D3281" s="6"/>
      <c r="E3281" s="6"/>
      <c r="F3281" s="6"/>
      <c r="G3281" s="2"/>
      <c r="H3281" s="3"/>
      <c r="I3281" s="22"/>
    </row>
    <row r="3282">
      <c r="A3282" s="24"/>
      <c r="B3282" s="6"/>
      <c r="C3282" s="7"/>
      <c r="D3282" s="6"/>
      <c r="E3282" s="6"/>
      <c r="F3282" s="6"/>
      <c r="G3282" s="2"/>
      <c r="H3282" s="3"/>
      <c r="I3282" s="22"/>
    </row>
    <row r="3283">
      <c r="A3283" s="24"/>
      <c r="B3283" s="6"/>
      <c r="C3283" s="7"/>
      <c r="D3283" s="6"/>
      <c r="E3283" s="6"/>
      <c r="F3283" s="6"/>
      <c r="G3283" s="2"/>
      <c r="H3283" s="3"/>
      <c r="I3283" s="22"/>
    </row>
    <row r="3284">
      <c r="A3284" s="24"/>
      <c r="B3284" s="6"/>
      <c r="C3284" s="7"/>
      <c r="D3284" s="6"/>
      <c r="E3284" s="6"/>
      <c r="F3284" s="6"/>
      <c r="G3284" s="2"/>
      <c r="H3284" s="3"/>
      <c r="I3284" s="22"/>
    </row>
    <row r="3285">
      <c r="A3285" s="24"/>
      <c r="B3285" s="6"/>
      <c r="C3285" s="7"/>
      <c r="D3285" s="6"/>
      <c r="E3285" s="6"/>
      <c r="F3285" s="6"/>
      <c r="G3285" s="2"/>
      <c r="H3285" s="3"/>
      <c r="I3285" s="22"/>
    </row>
    <row r="3286">
      <c r="A3286" s="24"/>
      <c r="B3286" s="6"/>
      <c r="C3286" s="7"/>
      <c r="D3286" s="6"/>
      <c r="E3286" s="6"/>
      <c r="F3286" s="6"/>
      <c r="G3286" s="2"/>
      <c r="H3286" s="3"/>
      <c r="I3286" s="22"/>
    </row>
    <row r="3287">
      <c r="A3287" s="24"/>
      <c r="B3287" s="6"/>
      <c r="C3287" s="7"/>
      <c r="D3287" s="6"/>
      <c r="E3287" s="6"/>
      <c r="F3287" s="6"/>
      <c r="G3287" s="2"/>
      <c r="H3287" s="3"/>
      <c r="I3287" s="22"/>
    </row>
    <row r="3288">
      <c r="A3288" s="24"/>
      <c r="B3288" s="6"/>
      <c r="C3288" s="7"/>
      <c r="D3288" s="6"/>
      <c r="E3288" s="6"/>
      <c r="F3288" s="6"/>
      <c r="G3288" s="2"/>
      <c r="H3288" s="3"/>
      <c r="I3288" s="22"/>
    </row>
    <row r="3289">
      <c r="A3289" s="24"/>
      <c r="B3289" s="6"/>
      <c r="C3289" s="7"/>
      <c r="D3289" s="6"/>
      <c r="E3289" s="6"/>
      <c r="F3289" s="6"/>
      <c r="G3289" s="2"/>
      <c r="H3289" s="3"/>
      <c r="I3289" s="22"/>
    </row>
    <row r="3290">
      <c r="A3290" s="24"/>
      <c r="B3290" s="6"/>
      <c r="C3290" s="7"/>
      <c r="D3290" s="6"/>
      <c r="E3290" s="6"/>
      <c r="F3290" s="6"/>
      <c r="G3290" s="2"/>
      <c r="H3290" s="3"/>
      <c r="I3290" s="22"/>
    </row>
    <row r="3291">
      <c r="A3291" s="24"/>
      <c r="B3291" s="6"/>
      <c r="C3291" s="7"/>
      <c r="D3291" s="6"/>
      <c r="E3291" s="6"/>
      <c r="F3291" s="6"/>
      <c r="G3291" s="2"/>
      <c r="H3291" s="3"/>
      <c r="I3291" s="22"/>
    </row>
    <row r="3292">
      <c r="A3292" s="24"/>
      <c r="B3292" s="6"/>
      <c r="C3292" s="7"/>
      <c r="D3292" s="6"/>
      <c r="E3292" s="6"/>
      <c r="F3292" s="6"/>
      <c r="G3292" s="2"/>
      <c r="H3292" s="3"/>
      <c r="I3292" s="22"/>
    </row>
    <row r="3293">
      <c r="A3293" s="24"/>
      <c r="B3293" s="6"/>
      <c r="C3293" s="7"/>
      <c r="D3293" s="6"/>
      <c r="E3293" s="6"/>
      <c r="F3293" s="6"/>
      <c r="G3293" s="2"/>
      <c r="H3293" s="3"/>
      <c r="I3293" s="22"/>
    </row>
    <row r="3294">
      <c r="A3294" s="24"/>
      <c r="B3294" s="6"/>
      <c r="C3294" s="7"/>
      <c r="D3294" s="6"/>
      <c r="E3294" s="6"/>
      <c r="F3294" s="6"/>
      <c r="G3294" s="2"/>
      <c r="H3294" s="3"/>
      <c r="I3294" s="22"/>
    </row>
    <row r="3295">
      <c r="A3295" s="24"/>
      <c r="B3295" s="6"/>
      <c r="C3295" s="7"/>
      <c r="D3295" s="6"/>
      <c r="E3295" s="6"/>
      <c r="F3295" s="6"/>
      <c r="G3295" s="2"/>
      <c r="H3295" s="3"/>
      <c r="I3295" s="22"/>
    </row>
    <row r="3296">
      <c r="A3296" s="24"/>
      <c r="B3296" s="6"/>
      <c r="C3296" s="7"/>
      <c r="D3296" s="6"/>
      <c r="E3296" s="6"/>
      <c r="F3296" s="6"/>
      <c r="G3296" s="2"/>
      <c r="H3296" s="3"/>
      <c r="I3296" s="22"/>
    </row>
    <row r="3297">
      <c r="A3297" s="24"/>
      <c r="B3297" s="6"/>
      <c r="C3297" s="7"/>
      <c r="D3297" s="6"/>
      <c r="E3297" s="6"/>
      <c r="F3297" s="6"/>
      <c r="G3297" s="2"/>
      <c r="H3297" s="3"/>
      <c r="I3297" s="22"/>
    </row>
    <row r="3298">
      <c r="A3298" s="24"/>
      <c r="B3298" s="6"/>
      <c r="C3298" s="7"/>
      <c r="D3298" s="6"/>
      <c r="E3298" s="6"/>
      <c r="F3298" s="6"/>
      <c r="G3298" s="2"/>
      <c r="H3298" s="3"/>
      <c r="I3298" s="22"/>
    </row>
    <row r="3299">
      <c r="A3299" s="24"/>
      <c r="B3299" s="6"/>
      <c r="C3299" s="7"/>
      <c r="D3299" s="6"/>
      <c r="E3299" s="6"/>
      <c r="F3299" s="6"/>
      <c r="G3299" s="2"/>
      <c r="H3299" s="3"/>
      <c r="I3299" s="22"/>
    </row>
    <row r="3300">
      <c r="A3300" s="24"/>
      <c r="B3300" s="6"/>
      <c r="C3300" s="7"/>
      <c r="D3300" s="6"/>
      <c r="E3300" s="6"/>
      <c r="F3300" s="6"/>
      <c r="G3300" s="2"/>
      <c r="H3300" s="3"/>
      <c r="I3300" s="22"/>
    </row>
    <row r="3301">
      <c r="A3301" s="24"/>
      <c r="B3301" s="6"/>
      <c r="C3301" s="7"/>
      <c r="D3301" s="6"/>
      <c r="E3301" s="6"/>
      <c r="F3301" s="6"/>
      <c r="G3301" s="2"/>
      <c r="H3301" s="3"/>
      <c r="I3301" s="22"/>
    </row>
    <row r="3302">
      <c r="A3302" s="24"/>
      <c r="B3302" s="6"/>
      <c r="C3302" s="7"/>
      <c r="D3302" s="6"/>
      <c r="E3302" s="6"/>
      <c r="F3302" s="6"/>
      <c r="G3302" s="2"/>
      <c r="H3302" s="3"/>
      <c r="I3302" s="22"/>
    </row>
    <row r="3303">
      <c r="A3303" s="24"/>
      <c r="B3303" s="6"/>
      <c r="C3303" s="7"/>
      <c r="D3303" s="6"/>
      <c r="E3303" s="6"/>
      <c r="F3303" s="6"/>
      <c r="G3303" s="2"/>
      <c r="H3303" s="3"/>
      <c r="I3303" s="22"/>
    </row>
    <row r="3304">
      <c r="A3304" s="24"/>
      <c r="B3304" s="6"/>
      <c r="C3304" s="7"/>
      <c r="D3304" s="6"/>
      <c r="E3304" s="6"/>
      <c r="F3304" s="6"/>
      <c r="G3304" s="2"/>
      <c r="H3304" s="3"/>
      <c r="I3304" s="22"/>
    </row>
    <row r="3305">
      <c r="A3305" s="24"/>
      <c r="B3305" s="6"/>
      <c r="C3305" s="7"/>
      <c r="D3305" s="6"/>
      <c r="E3305" s="6"/>
      <c r="F3305" s="6"/>
      <c r="G3305" s="2"/>
      <c r="H3305" s="3"/>
      <c r="I3305" s="22"/>
    </row>
    <row r="3306">
      <c r="A3306" s="24"/>
      <c r="B3306" s="6"/>
      <c r="C3306" s="7"/>
      <c r="D3306" s="6"/>
      <c r="E3306" s="6"/>
      <c r="F3306" s="6"/>
      <c r="G3306" s="2"/>
      <c r="H3306" s="3"/>
      <c r="I3306" s="22"/>
    </row>
    <row r="3307">
      <c r="A3307" s="24"/>
      <c r="B3307" s="6"/>
      <c r="C3307" s="7"/>
      <c r="D3307" s="6"/>
      <c r="E3307" s="6"/>
      <c r="F3307" s="6"/>
      <c r="G3307" s="2"/>
      <c r="H3307" s="3"/>
      <c r="I3307" s="22"/>
    </row>
    <row r="3308">
      <c r="A3308" s="24"/>
      <c r="B3308" s="6"/>
      <c r="C3308" s="7"/>
      <c r="D3308" s="6"/>
      <c r="E3308" s="6"/>
      <c r="F3308" s="6"/>
      <c r="G3308" s="2"/>
      <c r="H3308" s="3"/>
      <c r="I3308" s="22"/>
    </row>
    <row r="3309">
      <c r="A3309" s="24"/>
      <c r="B3309" s="6"/>
      <c r="C3309" s="7"/>
      <c r="D3309" s="6"/>
      <c r="E3309" s="6"/>
      <c r="F3309" s="6"/>
      <c r="G3309" s="2"/>
      <c r="H3309" s="3"/>
      <c r="I3309" s="22"/>
    </row>
    <row r="3310">
      <c r="A3310" s="24"/>
      <c r="B3310" s="6"/>
      <c r="C3310" s="7"/>
      <c r="D3310" s="6"/>
      <c r="E3310" s="6"/>
      <c r="F3310" s="6"/>
      <c r="G3310" s="2"/>
      <c r="H3310" s="3"/>
      <c r="I3310" s="22"/>
    </row>
    <row r="3311">
      <c r="A3311" s="24"/>
      <c r="B3311" s="6"/>
      <c r="C3311" s="7"/>
      <c r="D3311" s="6"/>
      <c r="E3311" s="6"/>
      <c r="F3311" s="6"/>
      <c r="G3311" s="2"/>
      <c r="H3311" s="3"/>
      <c r="I3311" s="22"/>
    </row>
    <row r="3312">
      <c r="A3312" s="24"/>
      <c r="B3312" s="6"/>
      <c r="C3312" s="7"/>
      <c r="D3312" s="6"/>
      <c r="E3312" s="6"/>
      <c r="F3312" s="6"/>
      <c r="G3312" s="2"/>
      <c r="H3312" s="3"/>
      <c r="I3312" s="22"/>
    </row>
    <row r="3313">
      <c r="A3313" s="24"/>
      <c r="B3313" s="6"/>
      <c r="C3313" s="7"/>
      <c r="D3313" s="6"/>
      <c r="E3313" s="6"/>
      <c r="F3313" s="6"/>
      <c r="G3313" s="2"/>
      <c r="H3313" s="3"/>
      <c r="I3313" s="22"/>
    </row>
    <row r="3314">
      <c r="A3314" s="24"/>
      <c r="B3314" s="6"/>
      <c r="C3314" s="7"/>
      <c r="D3314" s="6"/>
      <c r="E3314" s="6"/>
      <c r="F3314" s="6"/>
      <c r="G3314" s="2"/>
      <c r="H3314" s="3"/>
      <c r="I3314" s="22"/>
    </row>
    <row r="3315">
      <c r="A3315" s="24"/>
      <c r="B3315" s="6"/>
      <c r="C3315" s="7"/>
      <c r="D3315" s="6"/>
      <c r="E3315" s="6"/>
      <c r="F3315" s="6"/>
      <c r="G3315" s="2"/>
      <c r="H3315" s="3"/>
      <c r="I3315" s="22"/>
    </row>
    <row r="3316">
      <c r="A3316" s="24"/>
      <c r="B3316" s="6"/>
      <c r="C3316" s="7"/>
      <c r="D3316" s="6"/>
      <c r="E3316" s="6"/>
      <c r="F3316" s="6"/>
      <c r="G3316" s="2"/>
      <c r="H3316" s="3"/>
      <c r="I3316" s="22"/>
    </row>
    <row r="3317">
      <c r="A3317" s="24"/>
      <c r="B3317" s="6"/>
      <c r="C3317" s="7"/>
      <c r="D3317" s="6"/>
      <c r="E3317" s="6"/>
      <c r="F3317" s="6"/>
      <c r="G3317" s="2"/>
      <c r="H3317" s="3"/>
      <c r="I3317" s="22"/>
    </row>
    <row r="3318">
      <c r="A3318" s="24"/>
      <c r="B3318" s="6"/>
      <c r="C3318" s="7"/>
      <c r="D3318" s="6"/>
      <c r="E3318" s="6"/>
      <c r="F3318" s="6"/>
      <c r="G3318" s="2"/>
      <c r="H3318" s="3"/>
      <c r="I3318" s="22"/>
    </row>
    <row r="3319">
      <c r="A3319" s="24"/>
      <c r="B3319" s="6"/>
      <c r="C3319" s="7"/>
      <c r="D3319" s="6"/>
      <c r="E3319" s="6"/>
      <c r="F3319" s="6"/>
      <c r="G3319" s="2"/>
      <c r="H3319" s="3"/>
      <c r="I3319" s="22"/>
    </row>
    <row r="3320">
      <c r="A3320" s="24"/>
      <c r="B3320" s="6"/>
      <c r="C3320" s="7"/>
      <c r="D3320" s="6"/>
      <c r="E3320" s="6"/>
      <c r="F3320" s="6"/>
      <c r="G3320" s="2"/>
      <c r="H3320" s="3"/>
      <c r="I3320" s="22"/>
    </row>
    <row r="3321">
      <c r="A3321" s="24"/>
      <c r="B3321" s="6"/>
      <c r="C3321" s="7"/>
      <c r="D3321" s="6"/>
      <c r="E3321" s="6"/>
      <c r="F3321" s="6"/>
      <c r="G3321" s="2"/>
      <c r="H3321" s="3"/>
      <c r="I3321" s="22"/>
    </row>
    <row r="3322">
      <c r="A3322" s="24"/>
      <c r="B3322" s="6"/>
      <c r="C3322" s="7"/>
      <c r="D3322" s="6"/>
      <c r="E3322" s="6"/>
      <c r="F3322" s="6"/>
      <c r="G3322" s="2"/>
      <c r="H3322" s="3"/>
      <c r="I3322" s="22"/>
    </row>
    <row r="3323">
      <c r="A3323" s="24"/>
      <c r="B3323" s="6"/>
      <c r="C3323" s="7"/>
      <c r="D3323" s="6"/>
      <c r="E3323" s="6"/>
      <c r="F3323" s="6"/>
      <c r="G3323" s="2"/>
      <c r="H3323" s="3"/>
      <c r="I3323" s="22"/>
    </row>
    <row r="3324">
      <c r="A3324" s="24"/>
      <c r="B3324" s="6"/>
      <c r="C3324" s="7"/>
      <c r="D3324" s="6"/>
      <c r="E3324" s="6"/>
      <c r="F3324" s="6"/>
      <c r="G3324" s="2"/>
      <c r="H3324" s="3"/>
      <c r="I3324" s="22"/>
    </row>
    <row r="3325">
      <c r="A3325" s="24"/>
      <c r="B3325" s="6"/>
      <c r="C3325" s="7"/>
      <c r="D3325" s="6"/>
      <c r="E3325" s="6"/>
      <c r="F3325" s="6"/>
      <c r="G3325" s="2"/>
      <c r="H3325" s="3"/>
      <c r="I3325" s="22"/>
    </row>
    <row r="3326">
      <c r="A3326" s="24"/>
      <c r="B3326" s="6"/>
      <c r="C3326" s="7"/>
      <c r="D3326" s="6"/>
      <c r="E3326" s="6"/>
      <c r="F3326" s="6"/>
      <c r="G3326" s="2"/>
      <c r="H3326" s="3"/>
      <c r="I3326" s="22"/>
    </row>
    <row r="3327">
      <c r="A3327" s="24"/>
      <c r="B3327" s="6"/>
      <c r="C3327" s="7"/>
      <c r="D3327" s="6"/>
      <c r="E3327" s="6"/>
      <c r="F3327" s="6"/>
      <c r="G3327" s="2"/>
      <c r="H3327" s="3"/>
      <c r="I3327" s="22"/>
    </row>
    <row r="3328">
      <c r="A3328" s="24"/>
      <c r="B3328" s="6"/>
      <c r="C3328" s="7"/>
      <c r="D3328" s="6"/>
      <c r="E3328" s="6"/>
      <c r="F3328" s="6"/>
      <c r="G3328" s="2"/>
      <c r="H3328" s="3"/>
      <c r="I3328" s="22"/>
    </row>
    <row r="3329">
      <c r="A3329" s="24"/>
      <c r="B3329" s="6"/>
      <c r="C3329" s="7"/>
      <c r="D3329" s="6"/>
      <c r="E3329" s="6"/>
      <c r="F3329" s="6"/>
      <c r="G3329" s="2"/>
      <c r="H3329" s="3"/>
      <c r="I3329" s="22"/>
    </row>
    <row r="3330">
      <c r="A3330" s="24"/>
      <c r="B3330" s="6"/>
      <c r="C3330" s="7"/>
      <c r="D3330" s="6"/>
      <c r="E3330" s="6"/>
      <c r="F3330" s="6"/>
      <c r="G3330" s="2"/>
      <c r="H3330" s="3"/>
      <c r="I3330" s="22"/>
    </row>
    <row r="3331">
      <c r="A3331" s="24"/>
      <c r="B3331" s="6"/>
      <c r="C3331" s="7"/>
      <c r="D3331" s="6"/>
      <c r="E3331" s="6"/>
      <c r="F3331" s="6"/>
      <c r="G3331" s="2"/>
      <c r="H3331" s="3"/>
      <c r="I3331" s="22"/>
    </row>
    <row r="3332">
      <c r="A3332" s="24"/>
      <c r="B3332" s="6"/>
      <c r="C3332" s="7"/>
      <c r="D3332" s="6"/>
      <c r="E3332" s="6"/>
      <c r="F3332" s="6"/>
      <c r="G3332" s="2"/>
      <c r="H3332" s="3"/>
      <c r="I3332" s="22"/>
    </row>
    <row r="3333">
      <c r="A3333" s="24"/>
      <c r="B3333" s="6"/>
      <c r="C3333" s="7"/>
      <c r="D3333" s="6"/>
      <c r="E3333" s="6"/>
      <c r="F3333" s="6"/>
      <c r="G3333" s="2"/>
      <c r="H3333" s="3"/>
      <c r="I3333" s="22"/>
    </row>
    <row r="3334">
      <c r="A3334" s="24"/>
      <c r="B3334" s="6"/>
      <c r="C3334" s="7"/>
      <c r="D3334" s="6"/>
      <c r="E3334" s="6"/>
      <c r="F3334" s="6"/>
      <c r="G3334" s="2"/>
      <c r="H3334" s="3"/>
      <c r="I3334" s="22"/>
    </row>
    <row r="3335">
      <c r="A3335" s="24"/>
      <c r="B3335" s="6"/>
      <c r="C3335" s="7"/>
      <c r="D3335" s="6"/>
      <c r="E3335" s="6"/>
      <c r="F3335" s="6"/>
      <c r="G3335" s="2"/>
      <c r="H3335" s="3"/>
      <c r="I3335" s="22"/>
    </row>
    <row r="3336">
      <c r="A3336" s="24"/>
      <c r="B3336" s="6"/>
      <c r="C3336" s="7"/>
      <c r="D3336" s="6"/>
      <c r="E3336" s="6"/>
      <c r="F3336" s="6"/>
      <c r="G3336" s="2"/>
      <c r="H3336" s="3"/>
      <c r="I3336" s="22"/>
    </row>
    <row r="3337">
      <c r="A3337" s="24"/>
      <c r="B3337" s="6"/>
      <c r="C3337" s="7"/>
      <c r="D3337" s="6"/>
      <c r="E3337" s="6"/>
      <c r="F3337" s="6"/>
      <c r="G3337" s="2"/>
      <c r="H3337" s="3"/>
      <c r="I3337" s="22"/>
    </row>
    <row r="3338">
      <c r="A3338" s="24"/>
      <c r="B3338" s="6"/>
      <c r="C3338" s="7"/>
      <c r="D3338" s="6"/>
      <c r="E3338" s="6"/>
      <c r="F3338" s="6"/>
      <c r="G3338" s="2"/>
      <c r="H3338" s="3"/>
      <c r="I3338" s="22"/>
    </row>
    <row r="3339">
      <c r="A3339" s="24"/>
      <c r="B3339" s="6"/>
      <c r="C3339" s="7"/>
      <c r="D3339" s="6"/>
      <c r="E3339" s="6"/>
      <c r="F3339" s="6"/>
      <c r="G3339" s="2"/>
      <c r="H3339" s="3"/>
      <c r="I3339" s="22"/>
    </row>
    <row r="3340">
      <c r="A3340" s="24"/>
      <c r="B3340" s="6"/>
      <c r="C3340" s="7"/>
      <c r="D3340" s="6"/>
      <c r="E3340" s="6"/>
      <c r="F3340" s="6"/>
      <c r="G3340" s="2"/>
      <c r="H3340" s="3"/>
      <c r="I3340" s="22"/>
    </row>
    <row r="3341">
      <c r="A3341" s="24"/>
      <c r="B3341" s="6"/>
      <c r="C3341" s="7"/>
      <c r="D3341" s="6"/>
      <c r="E3341" s="6"/>
      <c r="F3341" s="6"/>
      <c r="G3341" s="2"/>
      <c r="H3341" s="3"/>
      <c r="I3341" s="22"/>
    </row>
    <row r="3342">
      <c r="A3342" s="24"/>
      <c r="B3342" s="6"/>
      <c r="C3342" s="7"/>
      <c r="D3342" s="6"/>
      <c r="E3342" s="6"/>
      <c r="F3342" s="6"/>
      <c r="G3342" s="2"/>
      <c r="H3342" s="3"/>
      <c r="I3342" s="22"/>
    </row>
    <row r="3343">
      <c r="A3343" s="24"/>
      <c r="B3343" s="6"/>
      <c r="C3343" s="7"/>
      <c r="D3343" s="6"/>
      <c r="E3343" s="6"/>
      <c r="F3343" s="6"/>
      <c r="G3343" s="2"/>
      <c r="H3343" s="3"/>
      <c r="I3343" s="22"/>
    </row>
    <row r="3344">
      <c r="A3344" s="24"/>
      <c r="B3344" s="6"/>
      <c r="C3344" s="7"/>
      <c r="D3344" s="6"/>
      <c r="E3344" s="6"/>
      <c r="F3344" s="6"/>
      <c r="G3344" s="2"/>
      <c r="H3344" s="3"/>
      <c r="I3344" s="22"/>
    </row>
    <row r="3345">
      <c r="A3345" s="24"/>
      <c r="B3345" s="6"/>
      <c r="C3345" s="7"/>
      <c r="D3345" s="6"/>
      <c r="E3345" s="6"/>
      <c r="F3345" s="6"/>
      <c r="G3345" s="2"/>
      <c r="H3345" s="3"/>
      <c r="I3345" s="22"/>
    </row>
    <row r="3346">
      <c r="A3346" s="24"/>
      <c r="B3346" s="6"/>
      <c r="C3346" s="7"/>
      <c r="D3346" s="6"/>
      <c r="E3346" s="6"/>
      <c r="F3346" s="6"/>
      <c r="G3346" s="2"/>
      <c r="H3346" s="3"/>
      <c r="I3346" s="22"/>
    </row>
    <row r="3347">
      <c r="A3347" s="24"/>
      <c r="B3347" s="6"/>
      <c r="C3347" s="7"/>
      <c r="D3347" s="6"/>
      <c r="E3347" s="6"/>
      <c r="F3347" s="6"/>
      <c r="G3347" s="2"/>
      <c r="H3347" s="3"/>
      <c r="I3347" s="22"/>
    </row>
    <row r="3348">
      <c r="A3348" s="24"/>
      <c r="B3348" s="6"/>
      <c r="C3348" s="7"/>
      <c r="D3348" s="6"/>
      <c r="E3348" s="6"/>
      <c r="F3348" s="6"/>
      <c r="G3348" s="2"/>
      <c r="H3348" s="3"/>
      <c r="I3348" s="22"/>
    </row>
    <row r="3349">
      <c r="A3349" s="24"/>
      <c r="B3349" s="6"/>
      <c r="C3349" s="7"/>
      <c r="D3349" s="6"/>
      <c r="E3349" s="6"/>
      <c r="F3349" s="6"/>
      <c r="G3349" s="2"/>
      <c r="H3349" s="3"/>
      <c r="I3349" s="22"/>
    </row>
    <row r="3350">
      <c r="A3350" s="24"/>
      <c r="B3350" s="6"/>
      <c r="C3350" s="7"/>
      <c r="D3350" s="6"/>
      <c r="E3350" s="6"/>
      <c r="F3350" s="6"/>
      <c r="G3350" s="2"/>
      <c r="H3350" s="3"/>
      <c r="I3350" s="22"/>
    </row>
    <row r="3351">
      <c r="A3351" s="24"/>
      <c r="B3351" s="6"/>
      <c r="C3351" s="7"/>
      <c r="D3351" s="6"/>
      <c r="E3351" s="6"/>
      <c r="F3351" s="6"/>
      <c r="G3351" s="2"/>
      <c r="H3351" s="3"/>
      <c r="I3351" s="22"/>
    </row>
    <row r="3352">
      <c r="A3352" s="24"/>
      <c r="B3352" s="6"/>
      <c r="C3352" s="7"/>
      <c r="D3352" s="6"/>
      <c r="E3352" s="6"/>
      <c r="F3352" s="6"/>
      <c r="G3352" s="2"/>
      <c r="H3352" s="3"/>
      <c r="I3352" s="22"/>
    </row>
    <row r="3353">
      <c r="A3353" s="24"/>
      <c r="B3353" s="6"/>
      <c r="C3353" s="7"/>
      <c r="D3353" s="6"/>
      <c r="E3353" s="6"/>
      <c r="F3353" s="6"/>
      <c r="G3353" s="2"/>
      <c r="H3353" s="3"/>
      <c r="I3353" s="22"/>
    </row>
    <row r="3354">
      <c r="A3354" s="24"/>
      <c r="B3354" s="6"/>
      <c r="C3354" s="7"/>
      <c r="D3354" s="6"/>
      <c r="E3354" s="6"/>
      <c r="F3354" s="6"/>
      <c r="G3354" s="2"/>
      <c r="H3354" s="3"/>
      <c r="I3354" s="22"/>
    </row>
    <row r="3355">
      <c r="A3355" s="24"/>
      <c r="B3355" s="6"/>
      <c r="C3355" s="7"/>
      <c r="D3355" s="6"/>
      <c r="E3355" s="6"/>
      <c r="F3355" s="6"/>
      <c r="G3355" s="2"/>
      <c r="H3355" s="3"/>
      <c r="I3355" s="22"/>
    </row>
    <row r="3356">
      <c r="A3356" s="24"/>
      <c r="B3356" s="6"/>
      <c r="C3356" s="7"/>
      <c r="D3356" s="6"/>
      <c r="E3356" s="6"/>
      <c r="F3356" s="6"/>
      <c r="G3356" s="2"/>
      <c r="H3356" s="3"/>
      <c r="I3356" s="22"/>
    </row>
    <row r="3357">
      <c r="A3357" s="24"/>
      <c r="B3357" s="6"/>
      <c r="C3357" s="7"/>
      <c r="D3357" s="6"/>
      <c r="E3357" s="6"/>
      <c r="F3357" s="6"/>
      <c r="G3357" s="2"/>
      <c r="H3357" s="3"/>
      <c r="I3357" s="22"/>
    </row>
    <row r="3358">
      <c r="A3358" s="24"/>
      <c r="B3358" s="6"/>
      <c r="C3358" s="7"/>
      <c r="D3358" s="6"/>
      <c r="E3358" s="6"/>
      <c r="F3358" s="6"/>
      <c r="G3358" s="2"/>
      <c r="H3358" s="3"/>
      <c r="I3358" s="22"/>
    </row>
    <row r="3359">
      <c r="A3359" s="24"/>
      <c r="B3359" s="6"/>
      <c r="C3359" s="7"/>
      <c r="D3359" s="6"/>
      <c r="E3359" s="6"/>
      <c r="F3359" s="6"/>
      <c r="G3359" s="2"/>
      <c r="H3359" s="3"/>
      <c r="I3359" s="22"/>
    </row>
    <row r="3360">
      <c r="A3360" s="24"/>
      <c r="B3360" s="6"/>
      <c r="C3360" s="7"/>
      <c r="D3360" s="6"/>
      <c r="E3360" s="6"/>
      <c r="F3360" s="6"/>
      <c r="G3360" s="2"/>
      <c r="H3360" s="3"/>
      <c r="I3360" s="22"/>
    </row>
    <row r="3361">
      <c r="A3361" s="24"/>
      <c r="B3361" s="6"/>
      <c r="C3361" s="7"/>
      <c r="D3361" s="6"/>
      <c r="E3361" s="6"/>
      <c r="F3361" s="6"/>
      <c r="G3361" s="2"/>
      <c r="H3361" s="3"/>
      <c r="I3361" s="22"/>
    </row>
    <row r="3362">
      <c r="A3362" s="24"/>
      <c r="B3362" s="6"/>
      <c r="C3362" s="7"/>
      <c r="D3362" s="6"/>
      <c r="E3362" s="6"/>
      <c r="F3362" s="6"/>
      <c r="G3362" s="2"/>
      <c r="H3362" s="3"/>
      <c r="I3362" s="22"/>
    </row>
    <row r="3363">
      <c r="A3363" s="24"/>
      <c r="B3363" s="6"/>
      <c r="C3363" s="7"/>
      <c r="D3363" s="6"/>
      <c r="E3363" s="6"/>
      <c r="F3363" s="6"/>
      <c r="G3363" s="2"/>
      <c r="H3363" s="3"/>
      <c r="I3363" s="22"/>
    </row>
    <row r="3364">
      <c r="A3364" s="24"/>
      <c r="B3364" s="6"/>
      <c r="C3364" s="7"/>
      <c r="D3364" s="6"/>
      <c r="E3364" s="6"/>
      <c r="F3364" s="6"/>
      <c r="G3364" s="2"/>
      <c r="H3364" s="3"/>
      <c r="I3364" s="22"/>
    </row>
    <row r="3365">
      <c r="A3365" s="24"/>
      <c r="B3365" s="6"/>
      <c r="C3365" s="7"/>
      <c r="D3365" s="6"/>
      <c r="E3365" s="6"/>
      <c r="F3365" s="6"/>
      <c r="G3365" s="2"/>
      <c r="H3365" s="3"/>
      <c r="I3365" s="22"/>
    </row>
    <row r="3366">
      <c r="A3366" s="24"/>
      <c r="B3366" s="6"/>
      <c r="C3366" s="7"/>
      <c r="D3366" s="6"/>
      <c r="E3366" s="6"/>
      <c r="F3366" s="6"/>
      <c r="G3366" s="2"/>
      <c r="H3366" s="3"/>
      <c r="I3366" s="22"/>
    </row>
    <row r="3367">
      <c r="A3367" s="24"/>
      <c r="B3367" s="6"/>
      <c r="C3367" s="7"/>
      <c r="D3367" s="6"/>
      <c r="E3367" s="6"/>
      <c r="F3367" s="6"/>
      <c r="G3367" s="2"/>
      <c r="H3367" s="3"/>
      <c r="I3367" s="22"/>
    </row>
    <row r="3368">
      <c r="A3368" s="24"/>
      <c r="B3368" s="6"/>
      <c r="C3368" s="7"/>
      <c r="D3368" s="6"/>
      <c r="E3368" s="6"/>
      <c r="F3368" s="6"/>
      <c r="G3368" s="2"/>
      <c r="H3368" s="3"/>
      <c r="I3368" s="22"/>
    </row>
    <row r="3369">
      <c r="A3369" s="24"/>
      <c r="B3369" s="6"/>
      <c r="C3369" s="7"/>
      <c r="D3369" s="6"/>
      <c r="E3369" s="6"/>
      <c r="F3369" s="6"/>
      <c r="G3369" s="2"/>
      <c r="H3369" s="3"/>
      <c r="I3369" s="22"/>
    </row>
    <row r="3370">
      <c r="A3370" s="24"/>
      <c r="B3370" s="6"/>
      <c r="C3370" s="7"/>
      <c r="D3370" s="6"/>
      <c r="E3370" s="6"/>
      <c r="F3370" s="6"/>
      <c r="G3370" s="2"/>
      <c r="H3370" s="3"/>
      <c r="I3370" s="22"/>
    </row>
    <row r="3371">
      <c r="A3371" s="24"/>
      <c r="B3371" s="6"/>
      <c r="C3371" s="7"/>
      <c r="D3371" s="6"/>
      <c r="E3371" s="6"/>
      <c r="F3371" s="6"/>
      <c r="G3371" s="2"/>
      <c r="H3371" s="3"/>
      <c r="I3371" s="22"/>
    </row>
    <row r="3372">
      <c r="A3372" s="24"/>
      <c r="B3372" s="6"/>
      <c r="C3372" s="7"/>
      <c r="D3372" s="6"/>
      <c r="E3372" s="6"/>
      <c r="F3372" s="6"/>
      <c r="G3372" s="2"/>
      <c r="H3372" s="3"/>
      <c r="I3372" s="22"/>
    </row>
    <row r="3373">
      <c r="A3373" s="24"/>
      <c r="B3373" s="6"/>
      <c r="C3373" s="7"/>
      <c r="D3373" s="6"/>
      <c r="E3373" s="6"/>
      <c r="F3373" s="6"/>
      <c r="G3373" s="2"/>
      <c r="H3373" s="3"/>
      <c r="I3373" s="22"/>
    </row>
    <row r="3374">
      <c r="A3374" s="24"/>
      <c r="B3374" s="6"/>
      <c r="C3374" s="7"/>
      <c r="D3374" s="6"/>
      <c r="E3374" s="6"/>
      <c r="F3374" s="6"/>
      <c r="G3374" s="2"/>
      <c r="H3374" s="3"/>
      <c r="I3374" s="22"/>
    </row>
    <row r="3375">
      <c r="A3375" s="24"/>
      <c r="B3375" s="6"/>
      <c r="C3375" s="7"/>
      <c r="D3375" s="6"/>
      <c r="E3375" s="6"/>
      <c r="F3375" s="6"/>
      <c r="G3375" s="2"/>
      <c r="H3375" s="3"/>
      <c r="I3375" s="22"/>
    </row>
    <row r="3376">
      <c r="A3376" s="24"/>
      <c r="B3376" s="6"/>
      <c r="C3376" s="7"/>
      <c r="D3376" s="6"/>
      <c r="E3376" s="6"/>
      <c r="F3376" s="6"/>
      <c r="G3376" s="2"/>
      <c r="H3376" s="3"/>
      <c r="I3376" s="22"/>
    </row>
    <row r="3377">
      <c r="A3377" s="24"/>
      <c r="B3377" s="6"/>
      <c r="C3377" s="7"/>
      <c r="D3377" s="6"/>
      <c r="E3377" s="6"/>
      <c r="F3377" s="6"/>
      <c r="G3377" s="2"/>
      <c r="H3377" s="3"/>
      <c r="I3377" s="22"/>
    </row>
    <row r="3378">
      <c r="A3378" s="24"/>
      <c r="B3378" s="6"/>
      <c r="C3378" s="7"/>
      <c r="D3378" s="6"/>
      <c r="E3378" s="6"/>
      <c r="F3378" s="6"/>
      <c r="G3378" s="2"/>
      <c r="H3378" s="3"/>
      <c r="I3378" s="22"/>
    </row>
    <row r="3379">
      <c r="A3379" s="24"/>
      <c r="B3379" s="6"/>
      <c r="C3379" s="7"/>
      <c r="D3379" s="6"/>
      <c r="E3379" s="6"/>
      <c r="F3379" s="6"/>
      <c r="G3379" s="2"/>
      <c r="H3379" s="3"/>
      <c r="I3379" s="22"/>
    </row>
    <row r="3380">
      <c r="A3380" s="24"/>
      <c r="B3380" s="6"/>
      <c r="C3380" s="7"/>
      <c r="D3380" s="6"/>
      <c r="E3380" s="6"/>
      <c r="F3380" s="6"/>
      <c r="G3380" s="2"/>
      <c r="H3380" s="3"/>
      <c r="I3380" s="22"/>
    </row>
    <row r="3381">
      <c r="A3381" s="24"/>
      <c r="B3381" s="6"/>
      <c r="C3381" s="7"/>
      <c r="D3381" s="6"/>
      <c r="E3381" s="6"/>
      <c r="F3381" s="6"/>
      <c r="G3381" s="2"/>
      <c r="H3381" s="3"/>
      <c r="I3381" s="22"/>
    </row>
    <row r="3382">
      <c r="A3382" s="24"/>
      <c r="B3382" s="6"/>
      <c r="C3382" s="7"/>
      <c r="D3382" s="6"/>
      <c r="E3382" s="6"/>
      <c r="F3382" s="6"/>
      <c r="G3382" s="2"/>
      <c r="H3382" s="3"/>
      <c r="I3382" s="22"/>
    </row>
    <row r="3383">
      <c r="A3383" s="24"/>
      <c r="B3383" s="6"/>
      <c r="C3383" s="7"/>
      <c r="D3383" s="6"/>
      <c r="E3383" s="6"/>
      <c r="F3383" s="6"/>
      <c r="G3383" s="2"/>
      <c r="H3383" s="3"/>
      <c r="I3383" s="22"/>
    </row>
    <row r="3384">
      <c r="A3384" s="24"/>
      <c r="B3384" s="6"/>
      <c r="C3384" s="7"/>
      <c r="D3384" s="6"/>
      <c r="E3384" s="6"/>
      <c r="F3384" s="6"/>
      <c r="G3384" s="2"/>
      <c r="H3384" s="3"/>
      <c r="I3384" s="22"/>
    </row>
    <row r="3385">
      <c r="A3385" s="24"/>
      <c r="B3385" s="6"/>
      <c r="C3385" s="7"/>
      <c r="D3385" s="6"/>
      <c r="E3385" s="6"/>
      <c r="F3385" s="6"/>
      <c r="G3385" s="2"/>
      <c r="H3385" s="3"/>
      <c r="I3385" s="22"/>
    </row>
    <row r="3386">
      <c r="A3386" s="24"/>
      <c r="B3386" s="6"/>
      <c r="C3386" s="7"/>
      <c r="D3386" s="6"/>
      <c r="E3386" s="6"/>
      <c r="F3386" s="6"/>
      <c r="G3386" s="2"/>
      <c r="H3386" s="3"/>
      <c r="I3386" s="22"/>
    </row>
    <row r="3387">
      <c r="A3387" s="24"/>
      <c r="B3387" s="6"/>
      <c r="C3387" s="7"/>
      <c r="D3387" s="6"/>
      <c r="E3387" s="6"/>
      <c r="F3387" s="6"/>
      <c r="G3387" s="2"/>
      <c r="H3387" s="3"/>
      <c r="I3387" s="22"/>
    </row>
    <row r="3388">
      <c r="A3388" s="24"/>
      <c r="B3388" s="6"/>
      <c r="C3388" s="7"/>
      <c r="D3388" s="6"/>
      <c r="E3388" s="6"/>
      <c r="F3388" s="6"/>
      <c r="G3388" s="2"/>
      <c r="H3388" s="3"/>
      <c r="I3388" s="22"/>
    </row>
    <row r="3389">
      <c r="A3389" s="24"/>
      <c r="B3389" s="6"/>
      <c r="C3389" s="7"/>
      <c r="D3389" s="6"/>
      <c r="E3389" s="6"/>
      <c r="F3389" s="6"/>
      <c r="G3389" s="2"/>
      <c r="H3389" s="3"/>
      <c r="I3389" s="22"/>
    </row>
    <row r="3390">
      <c r="A3390" s="24"/>
      <c r="B3390" s="6"/>
      <c r="C3390" s="7"/>
      <c r="D3390" s="6"/>
      <c r="E3390" s="6"/>
      <c r="F3390" s="6"/>
      <c r="G3390" s="2"/>
      <c r="H3390" s="3"/>
      <c r="I3390" s="22"/>
    </row>
    <row r="3391">
      <c r="A3391" s="24"/>
      <c r="B3391" s="6"/>
      <c r="C3391" s="7"/>
      <c r="D3391" s="6"/>
      <c r="E3391" s="6"/>
      <c r="F3391" s="6"/>
      <c r="G3391" s="2"/>
      <c r="H3391" s="3"/>
      <c r="I3391" s="22"/>
    </row>
    <row r="3392">
      <c r="A3392" s="24"/>
      <c r="B3392" s="6"/>
      <c r="C3392" s="7"/>
      <c r="D3392" s="6"/>
      <c r="E3392" s="6"/>
      <c r="F3392" s="6"/>
      <c r="G3392" s="2"/>
      <c r="H3392" s="3"/>
      <c r="I3392" s="22"/>
    </row>
    <row r="3393">
      <c r="A3393" s="24"/>
      <c r="B3393" s="6"/>
      <c r="C3393" s="7"/>
      <c r="D3393" s="6"/>
      <c r="E3393" s="6"/>
      <c r="F3393" s="6"/>
      <c r="G3393" s="2"/>
      <c r="H3393" s="3"/>
      <c r="I3393" s="22"/>
    </row>
    <row r="3394">
      <c r="A3394" s="24"/>
      <c r="B3394" s="6"/>
      <c r="C3394" s="7"/>
      <c r="D3394" s="6"/>
      <c r="E3394" s="6"/>
      <c r="F3394" s="6"/>
      <c r="G3394" s="2"/>
      <c r="H3394" s="3"/>
      <c r="I3394" s="22"/>
    </row>
    <row r="3395">
      <c r="A3395" s="24"/>
      <c r="B3395" s="6"/>
      <c r="C3395" s="7"/>
      <c r="D3395" s="6"/>
      <c r="E3395" s="6"/>
      <c r="F3395" s="6"/>
      <c r="G3395" s="2"/>
      <c r="H3395" s="3"/>
      <c r="I3395" s="22"/>
    </row>
    <row r="3396">
      <c r="A3396" s="24"/>
      <c r="B3396" s="6"/>
      <c r="C3396" s="7"/>
      <c r="D3396" s="6"/>
      <c r="E3396" s="6"/>
      <c r="F3396" s="6"/>
      <c r="G3396" s="2"/>
      <c r="H3396" s="3"/>
      <c r="I3396" s="22"/>
    </row>
    <row r="3397">
      <c r="A3397" s="24"/>
      <c r="B3397" s="6"/>
      <c r="C3397" s="7"/>
      <c r="D3397" s="6"/>
      <c r="E3397" s="6"/>
      <c r="F3397" s="6"/>
      <c r="G3397" s="2"/>
      <c r="H3397" s="3"/>
      <c r="I3397" s="22"/>
    </row>
    <row r="3398">
      <c r="A3398" s="24"/>
      <c r="B3398" s="6"/>
      <c r="C3398" s="7"/>
      <c r="D3398" s="6"/>
      <c r="E3398" s="6"/>
      <c r="F3398" s="6"/>
      <c r="G3398" s="2"/>
      <c r="H3398" s="3"/>
      <c r="I3398" s="22"/>
    </row>
    <row r="3399">
      <c r="A3399" s="24"/>
      <c r="B3399" s="6"/>
      <c r="C3399" s="7"/>
      <c r="D3399" s="6"/>
      <c r="E3399" s="6"/>
      <c r="F3399" s="6"/>
      <c r="G3399" s="2"/>
      <c r="H3399" s="3"/>
      <c r="I3399" s="22"/>
    </row>
    <row r="3400">
      <c r="A3400" s="24"/>
      <c r="B3400" s="6"/>
      <c r="C3400" s="7"/>
      <c r="D3400" s="6"/>
      <c r="E3400" s="6"/>
      <c r="F3400" s="6"/>
      <c r="G3400" s="2"/>
      <c r="H3400" s="3"/>
      <c r="I3400" s="22"/>
    </row>
    <row r="3401">
      <c r="A3401" s="24"/>
      <c r="B3401" s="6"/>
      <c r="C3401" s="7"/>
      <c r="D3401" s="6"/>
      <c r="E3401" s="6"/>
      <c r="F3401" s="6"/>
      <c r="G3401" s="2"/>
      <c r="H3401" s="3"/>
      <c r="I3401" s="22"/>
    </row>
    <row r="3402">
      <c r="A3402" s="24"/>
      <c r="B3402" s="6"/>
      <c r="C3402" s="7"/>
      <c r="D3402" s="6"/>
      <c r="E3402" s="6"/>
      <c r="F3402" s="6"/>
      <c r="G3402" s="2"/>
      <c r="H3402" s="3"/>
      <c r="I3402" s="22"/>
    </row>
    <row r="3403">
      <c r="A3403" s="24"/>
      <c r="B3403" s="6"/>
      <c r="C3403" s="7"/>
      <c r="D3403" s="6"/>
      <c r="E3403" s="6"/>
      <c r="F3403" s="6"/>
      <c r="G3403" s="2"/>
      <c r="H3403" s="3"/>
      <c r="I3403" s="22"/>
    </row>
    <row r="3404">
      <c r="A3404" s="24"/>
      <c r="B3404" s="6"/>
      <c r="C3404" s="7"/>
      <c r="D3404" s="6"/>
      <c r="E3404" s="6"/>
      <c r="F3404" s="6"/>
      <c r="G3404" s="2"/>
      <c r="H3404" s="3"/>
      <c r="I3404" s="22"/>
    </row>
    <row r="3405">
      <c r="A3405" s="24"/>
      <c r="B3405" s="6"/>
      <c r="C3405" s="7"/>
      <c r="D3405" s="6"/>
      <c r="E3405" s="6"/>
      <c r="F3405" s="6"/>
      <c r="G3405" s="2"/>
      <c r="H3405" s="3"/>
      <c r="I3405" s="22"/>
    </row>
    <row r="3406">
      <c r="A3406" s="24"/>
      <c r="B3406" s="6"/>
      <c r="C3406" s="7"/>
      <c r="D3406" s="6"/>
      <c r="E3406" s="6"/>
      <c r="F3406" s="6"/>
      <c r="G3406" s="2"/>
      <c r="H3406" s="3"/>
      <c r="I3406" s="22"/>
    </row>
    <row r="3407">
      <c r="A3407" s="24"/>
      <c r="B3407" s="6"/>
      <c r="C3407" s="7"/>
      <c r="D3407" s="6"/>
      <c r="E3407" s="6"/>
      <c r="F3407" s="6"/>
      <c r="G3407" s="2"/>
      <c r="H3407" s="3"/>
      <c r="I3407" s="22"/>
    </row>
    <row r="3408">
      <c r="A3408" s="24"/>
      <c r="B3408" s="6"/>
      <c r="C3408" s="7"/>
      <c r="D3408" s="6"/>
      <c r="E3408" s="6"/>
      <c r="F3408" s="6"/>
      <c r="G3408" s="2"/>
      <c r="H3408" s="3"/>
      <c r="I3408" s="22"/>
    </row>
    <row r="3409">
      <c r="A3409" s="24"/>
      <c r="B3409" s="6"/>
      <c r="C3409" s="7"/>
      <c r="D3409" s="6"/>
      <c r="E3409" s="6"/>
      <c r="F3409" s="6"/>
      <c r="G3409" s="2"/>
      <c r="H3409" s="3"/>
      <c r="I3409" s="22"/>
    </row>
    <row r="3410">
      <c r="A3410" s="24"/>
      <c r="B3410" s="6"/>
      <c r="C3410" s="7"/>
      <c r="D3410" s="6"/>
      <c r="E3410" s="6"/>
      <c r="F3410" s="6"/>
      <c r="G3410" s="2"/>
      <c r="H3410" s="3"/>
      <c r="I3410" s="22"/>
    </row>
    <row r="3411">
      <c r="A3411" s="24"/>
      <c r="B3411" s="6"/>
      <c r="C3411" s="7"/>
      <c r="D3411" s="6"/>
      <c r="E3411" s="6"/>
      <c r="F3411" s="6"/>
      <c r="G3411" s="2"/>
      <c r="H3411" s="3"/>
      <c r="I3411" s="22"/>
    </row>
    <row r="3412">
      <c r="A3412" s="24"/>
      <c r="B3412" s="6"/>
      <c r="C3412" s="7"/>
      <c r="D3412" s="6"/>
      <c r="E3412" s="6"/>
      <c r="F3412" s="6"/>
      <c r="G3412" s="2"/>
      <c r="H3412" s="3"/>
      <c r="I3412" s="22"/>
    </row>
    <row r="3413">
      <c r="A3413" s="24"/>
      <c r="B3413" s="6"/>
      <c r="C3413" s="7"/>
      <c r="D3413" s="6"/>
      <c r="E3413" s="6"/>
      <c r="F3413" s="6"/>
      <c r="G3413" s="2"/>
      <c r="H3413" s="3"/>
      <c r="I3413" s="22"/>
    </row>
    <row r="3414">
      <c r="A3414" s="24"/>
      <c r="B3414" s="6"/>
      <c r="C3414" s="7"/>
      <c r="D3414" s="6"/>
      <c r="E3414" s="6"/>
      <c r="F3414" s="6"/>
      <c r="G3414" s="2"/>
      <c r="H3414" s="3"/>
      <c r="I3414" s="22"/>
    </row>
    <row r="3415">
      <c r="A3415" s="24"/>
      <c r="B3415" s="6"/>
      <c r="C3415" s="7"/>
      <c r="D3415" s="6"/>
      <c r="E3415" s="6"/>
      <c r="F3415" s="6"/>
      <c r="G3415" s="2"/>
      <c r="H3415" s="3"/>
      <c r="I3415" s="22"/>
    </row>
    <row r="3416">
      <c r="A3416" s="24"/>
      <c r="B3416" s="6"/>
      <c r="C3416" s="7"/>
      <c r="D3416" s="6"/>
      <c r="E3416" s="6"/>
      <c r="F3416" s="6"/>
      <c r="G3416" s="2"/>
      <c r="H3416" s="3"/>
      <c r="I3416" s="22"/>
    </row>
    <row r="3417">
      <c r="A3417" s="24"/>
      <c r="B3417" s="6"/>
      <c r="C3417" s="7"/>
      <c r="D3417" s="6"/>
      <c r="E3417" s="6"/>
      <c r="F3417" s="6"/>
      <c r="G3417" s="2"/>
      <c r="H3417" s="3"/>
      <c r="I3417" s="22"/>
    </row>
    <row r="3418">
      <c r="A3418" s="24"/>
      <c r="B3418" s="6"/>
      <c r="C3418" s="7"/>
      <c r="D3418" s="6"/>
      <c r="E3418" s="6"/>
      <c r="F3418" s="6"/>
      <c r="G3418" s="2"/>
      <c r="H3418" s="3"/>
      <c r="I3418" s="22"/>
    </row>
    <row r="3419">
      <c r="A3419" s="24"/>
      <c r="B3419" s="6"/>
      <c r="C3419" s="7"/>
      <c r="D3419" s="6"/>
      <c r="E3419" s="6"/>
      <c r="F3419" s="6"/>
      <c r="G3419" s="2"/>
      <c r="H3419" s="3"/>
      <c r="I3419" s="22"/>
    </row>
    <row r="3420">
      <c r="A3420" s="24"/>
      <c r="B3420" s="6"/>
      <c r="C3420" s="7"/>
      <c r="D3420" s="6"/>
      <c r="E3420" s="6"/>
      <c r="F3420" s="6"/>
      <c r="G3420" s="2"/>
      <c r="H3420" s="3"/>
      <c r="I3420" s="22"/>
    </row>
    <row r="3421">
      <c r="A3421" s="24"/>
      <c r="B3421" s="6"/>
      <c r="C3421" s="7"/>
      <c r="D3421" s="6"/>
      <c r="E3421" s="6"/>
      <c r="F3421" s="6"/>
      <c r="G3421" s="2"/>
      <c r="H3421" s="3"/>
      <c r="I3421" s="22"/>
    </row>
    <row r="3422">
      <c r="A3422" s="24"/>
      <c r="B3422" s="6"/>
      <c r="C3422" s="7"/>
      <c r="D3422" s="6"/>
      <c r="E3422" s="6"/>
      <c r="F3422" s="6"/>
      <c r="G3422" s="2"/>
      <c r="H3422" s="3"/>
      <c r="I3422" s="22"/>
    </row>
    <row r="3423">
      <c r="A3423" s="24"/>
      <c r="B3423" s="6"/>
      <c r="C3423" s="7"/>
      <c r="D3423" s="6"/>
      <c r="E3423" s="6"/>
      <c r="F3423" s="6"/>
      <c r="G3423" s="2"/>
      <c r="H3423" s="3"/>
      <c r="I3423" s="22"/>
    </row>
    <row r="3424">
      <c r="A3424" s="24"/>
      <c r="B3424" s="6"/>
      <c r="C3424" s="7"/>
      <c r="D3424" s="6"/>
      <c r="E3424" s="6"/>
      <c r="F3424" s="6"/>
      <c r="G3424" s="2"/>
      <c r="H3424" s="3"/>
      <c r="I3424" s="22"/>
    </row>
    <row r="3425">
      <c r="A3425" s="24"/>
      <c r="B3425" s="6"/>
      <c r="C3425" s="7"/>
      <c r="D3425" s="6"/>
      <c r="E3425" s="6"/>
      <c r="F3425" s="6"/>
      <c r="G3425" s="2"/>
      <c r="H3425" s="3"/>
      <c r="I3425" s="22"/>
    </row>
    <row r="3426">
      <c r="A3426" s="24"/>
      <c r="B3426" s="6"/>
      <c r="C3426" s="7"/>
      <c r="D3426" s="6"/>
      <c r="E3426" s="6"/>
      <c r="F3426" s="6"/>
      <c r="G3426" s="2"/>
      <c r="H3426" s="3"/>
      <c r="I3426" s="22"/>
    </row>
    <row r="3427">
      <c r="A3427" s="24"/>
      <c r="B3427" s="6"/>
      <c r="C3427" s="7"/>
      <c r="D3427" s="6"/>
      <c r="E3427" s="6"/>
      <c r="F3427" s="6"/>
      <c r="G3427" s="2"/>
      <c r="H3427" s="3"/>
      <c r="I3427" s="22"/>
    </row>
    <row r="3428">
      <c r="A3428" s="24"/>
      <c r="B3428" s="6"/>
      <c r="C3428" s="7"/>
      <c r="D3428" s="6"/>
      <c r="E3428" s="6"/>
      <c r="F3428" s="6"/>
      <c r="G3428" s="2"/>
      <c r="H3428" s="3"/>
      <c r="I3428" s="22"/>
    </row>
    <row r="3429">
      <c r="A3429" s="24"/>
      <c r="B3429" s="6"/>
      <c r="C3429" s="7"/>
      <c r="D3429" s="6"/>
      <c r="E3429" s="6"/>
      <c r="F3429" s="6"/>
      <c r="G3429" s="2"/>
      <c r="H3429" s="3"/>
      <c r="I3429" s="22"/>
    </row>
    <row r="3430">
      <c r="A3430" s="24"/>
      <c r="B3430" s="6"/>
      <c r="C3430" s="7"/>
      <c r="D3430" s="6"/>
      <c r="E3430" s="6"/>
      <c r="F3430" s="6"/>
      <c r="G3430" s="2"/>
      <c r="H3430" s="3"/>
      <c r="I3430" s="22"/>
    </row>
    <row r="3431">
      <c r="A3431" s="24"/>
      <c r="B3431" s="6"/>
      <c r="C3431" s="7"/>
      <c r="D3431" s="6"/>
      <c r="E3431" s="6"/>
      <c r="F3431" s="6"/>
      <c r="G3431" s="2"/>
      <c r="H3431" s="3"/>
      <c r="I3431" s="22"/>
    </row>
    <row r="3432">
      <c r="A3432" s="24"/>
      <c r="B3432" s="6"/>
      <c r="C3432" s="7"/>
      <c r="D3432" s="6"/>
      <c r="E3432" s="6"/>
      <c r="F3432" s="6"/>
      <c r="G3432" s="2"/>
      <c r="H3432" s="3"/>
      <c r="I3432" s="22"/>
    </row>
    <row r="3433">
      <c r="A3433" s="24"/>
      <c r="B3433" s="6"/>
      <c r="C3433" s="7"/>
      <c r="D3433" s="6"/>
      <c r="E3433" s="6"/>
      <c r="F3433" s="6"/>
      <c r="G3433" s="2"/>
      <c r="H3433" s="3"/>
      <c r="I3433" s="22"/>
    </row>
    <row r="3434">
      <c r="A3434" s="24"/>
      <c r="B3434" s="6"/>
      <c r="C3434" s="7"/>
      <c r="D3434" s="6"/>
      <c r="E3434" s="6"/>
      <c r="F3434" s="6"/>
      <c r="G3434" s="2"/>
      <c r="H3434" s="3"/>
      <c r="I3434" s="22"/>
    </row>
    <row r="3435">
      <c r="A3435" s="24"/>
      <c r="B3435" s="6"/>
      <c r="C3435" s="7"/>
      <c r="D3435" s="6"/>
      <c r="E3435" s="6"/>
      <c r="F3435" s="6"/>
      <c r="G3435" s="2"/>
      <c r="H3435" s="3"/>
      <c r="I3435" s="22"/>
    </row>
    <row r="3436">
      <c r="A3436" s="24"/>
      <c r="B3436" s="6"/>
      <c r="C3436" s="7"/>
      <c r="D3436" s="6"/>
      <c r="E3436" s="6"/>
      <c r="F3436" s="6"/>
      <c r="G3436" s="2"/>
      <c r="H3436" s="3"/>
      <c r="I3436" s="22"/>
    </row>
    <row r="3437">
      <c r="A3437" s="24"/>
      <c r="B3437" s="6"/>
      <c r="C3437" s="7"/>
      <c r="D3437" s="6"/>
      <c r="E3437" s="6"/>
      <c r="F3437" s="6"/>
      <c r="G3437" s="2"/>
      <c r="H3437" s="3"/>
      <c r="I3437" s="22"/>
    </row>
    <row r="3438">
      <c r="A3438" s="24"/>
      <c r="B3438" s="6"/>
      <c r="C3438" s="7"/>
      <c r="D3438" s="6"/>
      <c r="E3438" s="6"/>
      <c r="F3438" s="6"/>
      <c r="G3438" s="2"/>
      <c r="H3438" s="3"/>
      <c r="I3438" s="22"/>
    </row>
    <row r="3439">
      <c r="A3439" s="24"/>
      <c r="B3439" s="6"/>
      <c r="C3439" s="7"/>
      <c r="D3439" s="6"/>
      <c r="E3439" s="6"/>
      <c r="F3439" s="6"/>
      <c r="G3439" s="2"/>
      <c r="H3439" s="3"/>
      <c r="I3439" s="22"/>
    </row>
    <row r="3440">
      <c r="A3440" s="24"/>
      <c r="B3440" s="6"/>
      <c r="C3440" s="7"/>
      <c r="D3440" s="6"/>
      <c r="E3440" s="6"/>
      <c r="F3440" s="6"/>
      <c r="G3440" s="2"/>
      <c r="H3440" s="3"/>
      <c r="I3440" s="22"/>
    </row>
    <row r="3441">
      <c r="A3441" s="24"/>
      <c r="B3441" s="6"/>
      <c r="C3441" s="7"/>
      <c r="D3441" s="6"/>
      <c r="E3441" s="6"/>
      <c r="F3441" s="6"/>
      <c r="G3441" s="2"/>
      <c r="H3441" s="3"/>
      <c r="I3441" s="22"/>
    </row>
    <row r="3442">
      <c r="A3442" s="24"/>
      <c r="B3442" s="6"/>
      <c r="C3442" s="7"/>
      <c r="D3442" s="6"/>
      <c r="E3442" s="6"/>
      <c r="F3442" s="6"/>
      <c r="G3442" s="2"/>
      <c r="H3442" s="3"/>
      <c r="I3442" s="22"/>
    </row>
    <row r="3443">
      <c r="A3443" s="24"/>
      <c r="B3443" s="6"/>
      <c r="C3443" s="7"/>
      <c r="D3443" s="6"/>
      <c r="E3443" s="6"/>
      <c r="F3443" s="6"/>
      <c r="G3443" s="2"/>
      <c r="H3443" s="3"/>
      <c r="I3443" s="22"/>
    </row>
    <row r="3444">
      <c r="A3444" s="24"/>
      <c r="B3444" s="6"/>
      <c r="C3444" s="7"/>
      <c r="D3444" s="6"/>
      <c r="E3444" s="6"/>
      <c r="F3444" s="6"/>
      <c r="G3444" s="2"/>
      <c r="H3444" s="3"/>
      <c r="I3444" s="22"/>
    </row>
    <row r="3445">
      <c r="A3445" s="24"/>
      <c r="B3445" s="6"/>
      <c r="C3445" s="7"/>
      <c r="D3445" s="6"/>
      <c r="E3445" s="6"/>
      <c r="F3445" s="6"/>
      <c r="G3445" s="2"/>
      <c r="H3445" s="3"/>
      <c r="I3445" s="22"/>
    </row>
    <row r="3446">
      <c r="A3446" s="24"/>
      <c r="B3446" s="6"/>
      <c r="C3446" s="7"/>
      <c r="D3446" s="6"/>
      <c r="E3446" s="6"/>
      <c r="F3446" s="6"/>
      <c r="G3446" s="2"/>
      <c r="H3446" s="3"/>
      <c r="I3446" s="22"/>
    </row>
    <row r="3447">
      <c r="A3447" s="24"/>
      <c r="B3447" s="6"/>
      <c r="C3447" s="7"/>
      <c r="D3447" s="6"/>
      <c r="E3447" s="6"/>
      <c r="F3447" s="6"/>
      <c r="G3447" s="2"/>
      <c r="H3447" s="3"/>
      <c r="I3447" s="22"/>
    </row>
    <row r="3448">
      <c r="A3448" s="24"/>
      <c r="B3448" s="6"/>
      <c r="C3448" s="7"/>
      <c r="D3448" s="6"/>
      <c r="E3448" s="6"/>
      <c r="F3448" s="6"/>
      <c r="G3448" s="2"/>
      <c r="H3448" s="3"/>
      <c r="I3448" s="22"/>
    </row>
    <row r="3449">
      <c r="A3449" s="24"/>
      <c r="B3449" s="6"/>
      <c r="C3449" s="7"/>
      <c r="D3449" s="6"/>
      <c r="E3449" s="6"/>
      <c r="F3449" s="6"/>
      <c r="G3449" s="2"/>
      <c r="H3449" s="3"/>
      <c r="I3449" s="22"/>
    </row>
    <row r="3450">
      <c r="A3450" s="24"/>
      <c r="B3450" s="6"/>
      <c r="C3450" s="7"/>
      <c r="D3450" s="6"/>
      <c r="E3450" s="6"/>
      <c r="F3450" s="6"/>
      <c r="G3450" s="2"/>
      <c r="H3450" s="3"/>
      <c r="I3450" s="22"/>
    </row>
    <row r="3451">
      <c r="A3451" s="24"/>
      <c r="B3451" s="6"/>
      <c r="C3451" s="7"/>
      <c r="D3451" s="6"/>
      <c r="E3451" s="6"/>
      <c r="F3451" s="6"/>
      <c r="G3451" s="2"/>
      <c r="H3451" s="3"/>
      <c r="I3451" s="22"/>
    </row>
    <row r="3452">
      <c r="A3452" s="24"/>
      <c r="B3452" s="6"/>
      <c r="C3452" s="7"/>
      <c r="D3452" s="6"/>
      <c r="E3452" s="6"/>
      <c r="F3452" s="6"/>
      <c r="G3452" s="2"/>
      <c r="H3452" s="3"/>
      <c r="I3452" s="22"/>
    </row>
    <row r="3453">
      <c r="A3453" s="24"/>
      <c r="B3453" s="6"/>
      <c r="C3453" s="7"/>
      <c r="D3453" s="6"/>
      <c r="E3453" s="6"/>
      <c r="F3453" s="6"/>
      <c r="G3453" s="2"/>
      <c r="H3453" s="3"/>
      <c r="I3453" s="22"/>
    </row>
    <row r="3454">
      <c r="A3454" s="24"/>
      <c r="B3454" s="6"/>
      <c r="C3454" s="7"/>
      <c r="D3454" s="6"/>
      <c r="E3454" s="6"/>
      <c r="F3454" s="6"/>
      <c r="G3454" s="2"/>
      <c r="H3454" s="3"/>
      <c r="I3454" s="22"/>
    </row>
    <row r="3455">
      <c r="A3455" s="24"/>
      <c r="B3455" s="6"/>
      <c r="C3455" s="7"/>
      <c r="D3455" s="6"/>
      <c r="E3455" s="6"/>
      <c r="F3455" s="6"/>
      <c r="G3455" s="2"/>
      <c r="H3455" s="3"/>
      <c r="I3455" s="22"/>
    </row>
    <row r="3456">
      <c r="A3456" s="24"/>
      <c r="B3456" s="6"/>
      <c r="C3456" s="7"/>
      <c r="D3456" s="6"/>
      <c r="E3456" s="6"/>
      <c r="F3456" s="6"/>
      <c r="G3456" s="2"/>
      <c r="H3456" s="3"/>
      <c r="I3456" s="22"/>
    </row>
    <row r="3457">
      <c r="A3457" s="24"/>
      <c r="B3457" s="6"/>
      <c r="C3457" s="7"/>
      <c r="D3457" s="6"/>
      <c r="E3457" s="6"/>
      <c r="F3457" s="6"/>
      <c r="G3457" s="2"/>
      <c r="H3457" s="3"/>
      <c r="I3457" s="22"/>
    </row>
    <row r="3458">
      <c r="A3458" s="24"/>
      <c r="B3458" s="6"/>
      <c r="C3458" s="7"/>
      <c r="D3458" s="6"/>
      <c r="E3458" s="6"/>
      <c r="F3458" s="6"/>
      <c r="G3458" s="2"/>
      <c r="H3458" s="3"/>
      <c r="I3458" s="22"/>
    </row>
    <row r="3459">
      <c r="A3459" s="24"/>
      <c r="B3459" s="6"/>
      <c r="C3459" s="7"/>
      <c r="D3459" s="6"/>
      <c r="E3459" s="6"/>
      <c r="F3459" s="6"/>
      <c r="G3459" s="2"/>
      <c r="H3459" s="3"/>
      <c r="I3459" s="22"/>
    </row>
    <row r="3460">
      <c r="A3460" s="24"/>
      <c r="B3460" s="6"/>
      <c r="C3460" s="7"/>
      <c r="D3460" s="6"/>
      <c r="E3460" s="6"/>
      <c r="F3460" s="6"/>
      <c r="G3460" s="2"/>
      <c r="H3460" s="3"/>
      <c r="I3460" s="22"/>
    </row>
    <row r="3461">
      <c r="A3461" s="24"/>
      <c r="B3461" s="6"/>
      <c r="C3461" s="7"/>
      <c r="D3461" s="6"/>
      <c r="E3461" s="6"/>
      <c r="F3461" s="6"/>
      <c r="G3461" s="2"/>
      <c r="H3461" s="3"/>
      <c r="I3461" s="22"/>
    </row>
    <row r="3462">
      <c r="A3462" s="24"/>
      <c r="B3462" s="6"/>
      <c r="C3462" s="7"/>
      <c r="D3462" s="6"/>
      <c r="E3462" s="6"/>
      <c r="F3462" s="6"/>
      <c r="G3462" s="2"/>
      <c r="H3462" s="3"/>
      <c r="I3462" s="22"/>
    </row>
    <row r="3463">
      <c r="A3463" s="24"/>
      <c r="B3463" s="6"/>
      <c r="C3463" s="7"/>
      <c r="D3463" s="6"/>
      <c r="E3463" s="6"/>
      <c r="F3463" s="6"/>
      <c r="G3463" s="2"/>
      <c r="H3463" s="3"/>
      <c r="I3463" s="22"/>
    </row>
    <row r="3464">
      <c r="A3464" s="24"/>
      <c r="B3464" s="6"/>
      <c r="C3464" s="7"/>
      <c r="D3464" s="6"/>
      <c r="E3464" s="6"/>
      <c r="F3464" s="6"/>
      <c r="G3464" s="2"/>
      <c r="H3464" s="3"/>
      <c r="I3464" s="22"/>
    </row>
    <row r="3465">
      <c r="A3465" s="24"/>
      <c r="B3465" s="6"/>
      <c r="C3465" s="7"/>
      <c r="D3465" s="6"/>
      <c r="E3465" s="6"/>
      <c r="F3465" s="6"/>
      <c r="G3465" s="2"/>
      <c r="H3465" s="3"/>
      <c r="I3465" s="22"/>
    </row>
    <row r="3466">
      <c r="A3466" s="24"/>
      <c r="B3466" s="6"/>
      <c r="C3466" s="7"/>
      <c r="D3466" s="6"/>
      <c r="E3466" s="6"/>
      <c r="F3466" s="6"/>
      <c r="G3466" s="2"/>
      <c r="H3466" s="3"/>
      <c r="I3466" s="22"/>
    </row>
    <row r="3467">
      <c r="A3467" s="24"/>
      <c r="B3467" s="6"/>
      <c r="C3467" s="7"/>
      <c r="D3467" s="6"/>
      <c r="E3467" s="6"/>
      <c r="F3467" s="6"/>
      <c r="G3467" s="2"/>
      <c r="H3467" s="3"/>
      <c r="I3467" s="22"/>
    </row>
    <row r="3468">
      <c r="A3468" s="24"/>
      <c r="B3468" s="6"/>
      <c r="C3468" s="7"/>
      <c r="D3468" s="6"/>
      <c r="E3468" s="6"/>
      <c r="F3468" s="6"/>
      <c r="G3468" s="2"/>
      <c r="H3468" s="3"/>
      <c r="I3468" s="22"/>
    </row>
    <row r="3469">
      <c r="A3469" s="24"/>
      <c r="B3469" s="6"/>
      <c r="C3469" s="7"/>
      <c r="D3469" s="6"/>
      <c r="E3469" s="6"/>
      <c r="F3469" s="6"/>
      <c r="G3469" s="2"/>
      <c r="H3469" s="3"/>
      <c r="I3469" s="22"/>
    </row>
    <row r="3470">
      <c r="A3470" s="24"/>
      <c r="B3470" s="6"/>
      <c r="C3470" s="7"/>
      <c r="D3470" s="6"/>
      <c r="E3470" s="6"/>
      <c r="F3470" s="6"/>
      <c r="G3470" s="2"/>
      <c r="H3470" s="3"/>
      <c r="I3470" s="22"/>
    </row>
    <row r="3471">
      <c r="A3471" s="24"/>
      <c r="B3471" s="6"/>
      <c r="C3471" s="7"/>
      <c r="D3471" s="6"/>
      <c r="E3471" s="6"/>
      <c r="F3471" s="6"/>
      <c r="G3471" s="2"/>
      <c r="H3471" s="3"/>
      <c r="I3471" s="22"/>
    </row>
    <row r="3472">
      <c r="A3472" s="24"/>
      <c r="B3472" s="6"/>
      <c r="C3472" s="7"/>
      <c r="D3472" s="6"/>
      <c r="E3472" s="6"/>
      <c r="F3472" s="6"/>
      <c r="G3472" s="2"/>
      <c r="H3472" s="3"/>
      <c r="I3472" s="22"/>
    </row>
    <row r="3473">
      <c r="A3473" s="24"/>
      <c r="B3473" s="6"/>
      <c r="C3473" s="7"/>
      <c r="D3473" s="6"/>
      <c r="E3473" s="6"/>
      <c r="F3473" s="6"/>
      <c r="G3473" s="2"/>
      <c r="H3473" s="3"/>
      <c r="I3473" s="22"/>
    </row>
    <row r="3474">
      <c r="A3474" s="24"/>
      <c r="B3474" s="6"/>
      <c r="C3474" s="7"/>
      <c r="D3474" s="6"/>
      <c r="E3474" s="6"/>
      <c r="F3474" s="6"/>
      <c r="G3474" s="2"/>
      <c r="H3474" s="3"/>
      <c r="I3474" s="22"/>
    </row>
    <row r="3475">
      <c r="A3475" s="24"/>
      <c r="B3475" s="6"/>
      <c r="C3475" s="7"/>
      <c r="D3475" s="6"/>
      <c r="E3475" s="6"/>
      <c r="F3475" s="6"/>
      <c r="G3475" s="2"/>
      <c r="H3475" s="3"/>
      <c r="I3475" s="22"/>
    </row>
    <row r="3476">
      <c r="A3476" s="24"/>
      <c r="B3476" s="6"/>
      <c r="C3476" s="7"/>
      <c r="D3476" s="6"/>
      <c r="E3476" s="6"/>
      <c r="F3476" s="6"/>
      <c r="G3476" s="2"/>
      <c r="H3476" s="3"/>
      <c r="I3476" s="22"/>
    </row>
    <row r="3477">
      <c r="A3477" s="24"/>
      <c r="B3477" s="6"/>
      <c r="C3477" s="7"/>
      <c r="D3477" s="6"/>
      <c r="E3477" s="6"/>
      <c r="F3477" s="6"/>
      <c r="G3477" s="2"/>
      <c r="H3477" s="3"/>
      <c r="I3477" s="22"/>
    </row>
    <row r="3478">
      <c r="A3478" s="24"/>
      <c r="B3478" s="6"/>
      <c r="C3478" s="7"/>
      <c r="D3478" s="6"/>
      <c r="E3478" s="6"/>
      <c r="F3478" s="6"/>
      <c r="G3478" s="2"/>
      <c r="H3478" s="3"/>
      <c r="I3478" s="22"/>
    </row>
    <row r="3479">
      <c r="A3479" s="24"/>
      <c r="B3479" s="6"/>
      <c r="C3479" s="7"/>
      <c r="D3479" s="6"/>
      <c r="E3479" s="6"/>
      <c r="F3479" s="6"/>
      <c r="G3479" s="2"/>
      <c r="H3479" s="3"/>
      <c r="I3479" s="22"/>
    </row>
    <row r="3480">
      <c r="A3480" s="24"/>
      <c r="B3480" s="6"/>
      <c r="C3480" s="7"/>
      <c r="D3480" s="6"/>
      <c r="E3480" s="6"/>
      <c r="F3480" s="6"/>
      <c r="G3480" s="2"/>
      <c r="H3480" s="3"/>
      <c r="I3480" s="22"/>
    </row>
    <row r="3481">
      <c r="A3481" s="24"/>
      <c r="B3481" s="6"/>
      <c r="C3481" s="7"/>
      <c r="D3481" s="6"/>
      <c r="E3481" s="6"/>
      <c r="F3481" s="6"/>
      <c r="G3481" s="2"/>
      <c r="H3481" s="3"/>
      <c r="I3481" s="22"/>
    </row>
    <row r="3482">
      <c r="A3482" s="24"/>
      <c r="B3482" s="6"/>
      <c r="C3482" s="7"/>
      <c r="D3482" s="6"/>
      <c r="E3482" s="6"/>
      <c r="F3482" s="6"/>
      <c r="G3482" s="2"/>
      <c r="H3482" s="3"/>
      <c r="I3482" s="22"/>
    </row>
    <row r="3483">
      <c r="A3483" s="24"/>
      <c r="B3483" s="6"/>
      <c r="C3483" s="7"/>
      <c r="D3483" s="6"/>
      <c r="E3483" s="6"/>
      <c r="F3483" s="6"/>
      <c r="G3483" s="2"/>
      <c r="H3483" s="3"/>
      <c r="I3483" s="22"/>
    </row>
    <row r="3484">
      <c r="A3484" s="24"/>
      <c r="B3484" s="6"/>
      <c r="C3484" s="7"/>
      <c r="D3484" s="6"/>
      <c r="E3484" s="6"/>
      <c r="F3484" s="6"/>
      <c r="G3484" s="2"/>
      <c r="H3484" s="3"/>
      <c r="I3484" s="22"/>
    </row>
    <row r="3485">
      <c r="A3485" s="24"/>
      <c r="B3485" s="6"/>
      <c r="C3485" s="7"/>
      <c r="D3485" s="6"/>
      <c r="E3485" s="6"/>
      <c r="F3485" s="6"/>
      <c r="G3485" s="2"/>
      <c r="H3485" s="3"/>
      <c r="I3485" s="22"/>
    </row>
    <row r="3486">
      <c r="A3486" s="24"/>
      <c r="B3486" s="6"/>
      <c r="C3486" s="7"/>
      <c r="D3486" s="6"/>
      <c r="E3486" s="6"/>
      <c r="F3486" s="6"/>
      <c r="G3486" s="2"/>
      <c r="H3486" s="3"/>
      <c r="I3486" s="22"/>
    </row>
    <row r="3487">
      <c r="A3487" s="24"/>
      <c r="B3487" s="6"/>
      <c r="C3487" s="7"/>
      <c r="D3487" s="6"/>
      <c r="E3487" s="6"/>
      <c r="F3487" s="6"/>
      <c r="G3487" s="2"/>
      <c r="H3487" s="3"/>
      <c r="I3487" s="22"/>
    </row>
    <row r="3488">
      <c r="A3488" s="24"/>
      <c r="B3488" s="6"/>
      <c r="C3488" s="7"/>
      <c r="D3488" s="6"/>
      <c r="E3488" s="6"/>
      <c r="F3488" s="6"/>
      <c r="G3488" s="2"/>
      <c r="H3488" s="3"/>
      <c r="I3488" s="22"/>
    </row>
    <row r="3489">
      <c r="A3489" s="24"/>
      <c r="B3489" s="6"/>
      <c r="C3489" s="7"/>
      <c r="D3489" s="6"/>
      <c r="E3489" s="6"/>
      <c r="F3489" s="6"/>
      <c r="G3489" s="2"/>
      <c r="H3489" s="3"/>
      <c r="I3489" s="22"/>
    </row>
    <row r="3490">
      <c r="A3490" s="24"/>
      <c r="B3490" s="6"/>
      <c r="C3490" s="7"/>
      <c r="D3490" s="6"/>
      <c r="E3490" s="6"/>
      <c r="F3490" s="6"/>
      <c r="G3490" s="2"/>
      <c r="H3490" s="3"/>
      <c r="I3490" s="22"/>
    </row>
    <row r="3491">
      <c r="A3491" s="24"/>
      <c r="B3491" s="6"/>
      <c r="C3491" s="7"/>
      <c r="D3491" s="6"/>
      <c r="E3491" s="6"/>
      <c r="F3491" s="6"/>
      <c r="G3491" s="2"/>
      <c r="H3491" s="3"/>
      <c r="I3491" s="22"/>
    </row>
    <row r="3492">
      <c r="A3492" s="24"/>
      <c r="B3492" s="6"/>
      <c r="C3492" s="7"/>
      <c r="D3492" s="6"/>
      <c r="E3492" s="6"/>
      <c r="F3492" s="6"/>
      <c r="G3492" s="2"/>
      <c r="H3492" s="3"/>
      <c r="I3492" s="22"/>
    </row>
    <row r="3493">
      <c r="A3493" s="24"/>
      <c r="B3493" s="6"/>
      <c r="C3493" s="7"/>
      <c r="D3493" s="6"/>
      <c r="E3493" s="6"/>
      <c r="F3493" s="6"/>
      <c r="G3493" s="2"/>
      <c r="H3493" s="3"/>
      <c r="I3493" s="22"/>
    </row>
    <row r="3494">
      <c r="A3494" s="24"/>
      <c r="B3494" s="6"/>
      <c r="C3494" s="7"/>
      <c r="D3494" s="6"/>
      <c r="E3494" s="6"/>
      <c r="F3494" s="6"/>
      <c r="G3494" s="2"/>
      <c r="H3494" s="3"/>
      <c r="I3494" s="22"/>
    </row>
    <row r="3495">
      <c r="A3495" s="24"/>
      <c r="B3495" s="6"/>
      <c r="C3495" s="7"/>
      <c r="D3495" s="6"/>
      <c r="E3495" s="6"/>
      <c r="F3495" s="6"/>
      <c r="G3495" s="2"/>
      <c r="H3495" s="3"/>
      <c r="I3495" s="22"/>
    </row>
    <row r="3496">
      <c r="A3496" s="24"/>
      <c r="B3496" s="6"/>
      <c r="C3496" s="7"/>
      <c r="D3496" s="6"/>
      <c r="E3496" s="6"/>
      <c r="F3496" s="6"/>
      <c r="G3496" s="2"/>
      <c r="H3496" s="3"/>
      <c r="I3496" s="22"/>
    </row>
    <row r="3497">
      <c r="A3497" s="24"/>
      <c r="B3497" s="6"/>
      <c r="C3497" s="7"/>
      <c r="D3497" s="6"/>
      <c r="E3497" s="6"/>
      <c r="F3497" s="6"/>
      <c r="G3497" s="2"/>
      <c r="H3497" s="3"/>
      <c r="I3497" s="22"/>
    </row>
    <row r="3498">
      <c r="A3498" s="24"/>
      <c r="B3498" s="6"/>
      <c r="C3498" s="7"/>
      <c r="D3498" s="6"/>
      <c r="E3498" s="6"/>
      <c r="F3498" s="6"/>
      <c r="G3498" s="2"/>
      <c r="H3498" s="3"/>
      <c r="I3498" s="22"/>
    </row>
    <row r="3499">
      <c r="A3499" s="24"/>
      <c r="B3499" s="6"/>
      <c r="C3499" s="7"/>
      <c r="D3499" s="6"/>
      <c r="E3499" s="6"/>
      <c r="F3499" s="6"/>
      <c r="G3499" s="2"/>
      <c r="H3499" s="3"/>
      <c r="I3499" s="22"/>
    </row>
    <row r="3500">
      <c r="A3500" s="24"/>
      <c r="B3500" s="6"/>
      <c r="C3500" s="7"/>
      <c r="D3500" s="6"/>
      <c r="E3500" s="6"/>
      <c r="F3500" s="6"/>
      <c r="G3500" s="2"/>
      <c r="H3500" s="3"/>
      <c r="I3500" s="22"/>
    </row>
    <row r="3501">
      <c r="A3501" s="24"/>
      <c r="B3501" s="6"/>
      <c r="C3501" s="7"/>
      <c r="D3501" s="6"/>
      <c r="E3501" s="6"/>
      <c r="F3501" s="6"/>
      <c r="G3501" s="2"/>
      <c r="H3501" s="3"/>
      <c r="I3501" s="22"/>
    </row>
    <row r="3502">
      <c r="A3502" s="24"/>
      <c r="B3502" s="6"/>
      <c r="C3502" s="7"/>
      <c r="D3502" s="6"/>
      <c r="E3502" s="6"/>
      <c r="F3502" s="6"/>
      <c r="G3502" s="2"/>
      <c r="H3502" s="3"/>
      <c r="I3502" s="22"/>
    </row>
    <row r="3503">
      <c r="A3503" s="24"/>
      <c r="B3503" s="6"/>
      <c r="C3503" s="7"/>
      <c r="D3503" s="6"/>
      <c r="E3503" s="6"/>
      <c r="F3503" s="6"/>
      <c r="G3503" s="2"/>
      <c r="H3503" s="3"/>
      <c r="I3503" s="22"/>
    </row>
    <row r="3504">
      <c r="A3504" s="24"/>
      <c r="B3504" s="6"/>
      <c r="C3504" s="7"/>
      <c r="D3504" s="6"/>
      <c r="E3504" s="6"/>
      <c r="F3504" s="6"/>
      <c r="G3504" s="2"/>
      <c r="H3504" s="3"/>
      <c r="I3504" s="22"/>
    </row>
    <row r="3505">
      <c r="A3505" s="24"/>
      <c r="B3505" s="6"/>
      <c r="C3505" s="7"/>
      <c r="D3505" s="6"/>
      <c r="E3505" s="6"/>
      <c r="F3505" s="6"/>
      <c r="G3505" s="2"/>
      <c r="H3505" s="3"/>
      <c r="I3505" s="22"/>
    </row>
    <row r="3506">
      <c r="A3506" s="24"/>
      <c r="B3506" s="6"/>
      <c r="C3506" s="7"/>
      <c r="D3506" s="6"/>
      <c r="E3506" s="6"/>
      <c r="F3506" s="6"/>
      <c r="G3506" s="2"/>
      <c r="H3506" s="3"/>
      <c r="I3506" s="22"/>
    </row>
    <row r="3507">
      <c r="A3507" s="24"/>
      <c r="B3507" s="6"/>
      <c r="C3507" s="7"/>
      <c r="D3507" s="6"/>
      <c r="E3507" s="6"/>
      <c r="F3507" s="6"/>
      <c r="G3507" s="2"/>
      <c r="H3507" s="3"/>
      <c r="I3507" s="22"/>
    </row>
    <row r="3508">
      <c r="A3508" s="24"/>
      <c r="B3508" s="6"/>
      <c r="C3508" s="7"/>
      <c r="D3508" s="6"/>
      <c r="E3508" s="6"/>
      <c r="F3508" s="6"/>
      <c r="G3508" s="2"/>
      <c r="H3508" s="3"/>
      <c r="I3508" s="22"/>
    </row>
    <row r="3509">
      <c r="A3509" s="24"/>
      <c r="B3509" s="6"/>
      <c r="C3509" s="7"/>
      <c r="D3509" s="6"/>
      <c r="E3509" s="6"/>
      <c r="F3509" s="6"/>
      <c r="G3509" s="2"/>
      <c r="H3509" s="3"/>
      <c r="I3509" s="22"/>
    </row>
    <row r="3510">
      <c r="A3510" s="24"/>
      <c r="B3510" s="6"/>
      <c r="C3510" s="7"/>
      <c r="D3510" s="6"/>
      <c r="E3510" s="6"/>
      <c r="F3510" s="6"/>
      <c r="G3510" s="2"/>
      <c r="H3510" s="3"/>
      <c r="I3510" s="22"/>
    </row>
    <row r="3511">
      <c r="A3511" s="24"/>
      <c r="B3511" s="6"/>
      <c r="C3511" s="7"/>
      <c r="D3511" s="6"/>
      <c r="E3511" s="6"/>
      <c r="F3511" s="6"/>
      <c r="G3511" s="2"/>
      <c r="H3511" s="3"/>
      <c r="I3511" s="22"/>
    </row>
    <row r="3512">
      <c r="A3512" s="24"/>
      <c r="B3512" s="6"/>
      <c r="C3512" s="7"/>
      <c r="D3512" s="6"/>
      <c r="E3512" s="6"/>
      <c r="F3512" s="6"/>
      <c r="G3512" s="2"/>
      <c r="H3512" s="3"/>
      <c r="I3512" s="22"/>
    </row>
    <row r="3513">
      <c r="A3513" s="24"/>
      <c r="B3513" s="6"/>
      <c r="C3513" s="7"/>
      <c r="D3513" s="6"/>
      <c r="E3513" s="6"/>
      <c r="F3513" s="6"/>
      <c r="G3513" s="2"/>
      <c r="H3513" s="3"/>
      <c r="I3513" s="22"/>
    </row>
    <row r="3514">
      <c r="A3514" s="24"/>
      <c r="B3514" s="6"/>
      <c r="C3514" s="7"/>
      <c r="D3514" s="6"/>
      <c r="E3514" s="6"/>
      <c r="F3514" s="6"/>
      <c r="G3514" s="2"/>
      <c r="H3514" s="3"/>
      <c r="I3514" s="22"/>
    </row>
    <row r="3515">
      <c r="A3515" s="24"/>
      <c r="B3515" s="6"/>
      <c r="C3515" s="7"/>
      <c r="D3515" s="6"/>
      <c r="E3515" s="6"/>
      <c r="F3515" s="6"/>
      <c r="G3515" s="2"/>
      <c r="H3515" s="3"/>
      <c r="I3515" s="22"/>
    </row>
    <row r="3516">
      <c r="A3516" s="24"/>
      <c r="B3516" s="6"/>
      <c r="C3516" s="7"/>
      <c r="D3516" s="6"/>
      <c r="E3516" s="6"/>
      <c r="F3516" s="6"/>
      <c r="G3516" s="2"/>
      <c r="H3516" s="3"/>
      <c r="I3516" s="22"/>
    </row>
    <row r="3517">
      <c r="A3517" s="24"/>
      <c r="B3517" s="6"/>
      <c r="C3517" s="7"/>
      <c r="D3517" s="6"/>
      <c r="E3517" s="6"/>
      <c r="F3517" s="6"/>
      <c r="G3517" s="2"/>
      <c r="H3517" s="3"/>
      <c r="I3517" s="22"/>
    </row>
    <row r="3518">
      <c r="A3518" s="24"/>
      <c r="B3518" s="6"/>
      <c r="C3518" s="7"/>
      <c r="D3518" s="6"/>
      <c r="E3518" s="6"/>
      <c r="F3518" s="6"/>
      <c r="G3518" s="2"/>
      <c r="H3518" s="3"/>
      <c r="I3518" s="22"/>
    </row>
    <row r="3519">
      <c r="A3519" s="24"/>
      <c r="B3519" s="6"/>
      <c r="C3519" s="7"/>
      <c r="D3519" s="6"/>
      <c r="E3519" s="6"/>
      <c r="F3519" s="6"/>
      <c r="G3519" s="2"/>
      <c r="H3519" s="3"/>
      <c r="I3519" s="22"/>
    </row>
    <row r="3520">
      <c r="A3520" s="24"/>
      <c r="B3520" s="6"/>
      <c r="C3520" s="7"/>
      <c r="D3520" s="6"/>
      <c r="E3520" s="6"/>
      <c r="F3520" s="6"/>
      <c r="G3520" s="2"/>
      <c r="H3520" s="3"/>
      <c r="I3520" s="22"/>
    </row>
    <row r="3521">
      <c r="A3521" s="24"/>
      <c r="B3521" s="6"/>
      <c r="C3521" s="7"/>
      <c r="D3521" s="6"/>
      <c r="E3521" s="6"/>
      <c r="F3521" s="6"/>
      <c r="G3521" s="2"/>
      <c r="H3521" s="3"/>
      <c r="I3521" s="22"/>
    </row>
    <row r="3522">
      <c r="A3522" s="24"/>
      <c r="B3522" s="6"/>
      <c r="C3522" s="7"/>
      <c r="D3522" s="6"/>
      <c r="E3522" s="6"/>
      <c r="F3522" s="6"/>
      <c r="G3522" s="2"/>
      <c r="H3522" s="3"/>
      <c r="I3522" s="22"/>
    </row>
    <row r="3523">
      <c r="A3523" s="24"/>
      <c r="B3523" s="6"/>
      <c r="C3523" s="7"/>
      <c r="D3523" s="6"/>
      <c r="E3523" s="6"/>
      <c r="F3523" s="6"/>
      <c r="G3523" s="2"/>
      <c r="H3523" s="3"/>
      <c r="I3523" s="22"/>
    </row>
    <row r="3524">
      <c r="A3524" s="24"/>
      <c r="B3524" s="6"/>
      <c r="C3524" s="7"/>
      <c r="D3524" s="6"/>
      <c r="E3524" s="6"/>
      <c r="F3524" s="6"/>
      <c r="G3524" s="2"/>
      <c r="H3524" s="3"/>
      <c r="I3524" s="22"/>
    </row>
    <row r="3525">
      <c r="A3525" s="24"/>
      <c r="B3525" s="6"/>
      <c r="C3525" s="7"/>
      <c r="D3525" s="6"/>
      <c r="E3525" s="6"/>
      <c r="F3525" s="6"/>
      <c r="G3525" s="2"/>
      <c r="H3525" s="3"/>
      <c r="I3525" s="22"/>
    </row>
    <row r="3526">
      <c r="A3526" s="24"/>
      <c r="B3526" s="6"/>
      <c r="C3526" s="7"/>
      <c r="D3526" s="6"/>
      <c r="E3526" s="6"/>
      <c r="F3526" s="6"/>
      <c r="G3526" s="2"/>
      <c r="H3526" s="3"/>
      <c r="I3526" s="22"/>
    </row>
    <row r="3527">
      <c r="A3527" s="24"/>
      <c r="B3527" s="6"/>
      <c r="C3527" s="7"/>
      <c r="D3527" s="6"/>
      <c r="E3527" s="6"/>
      <c r="F3527" s="6"/>
      <c r="G3527" s="2"/>
      <c r="H3527" s="3"/>
      <c r="I3527" s="22"/>
    </row>
    <row r="3528">
      <c r="A3528" s="24"/>
      <c r="B3528" s="6"/>
      <c r="C3528" s="7"/>
      <c r="D3528" s="6"/>
      <c r="E3528" s="6"/>
      <c r="F3528" s="6"/>
      <c r="G3528" s="2"/>
      <c r="H3528" s="3"/>
      <c r="I3528" s="22"/>
    </row>
    <row r="3529">
      <c r="A3529" s="24"/>
      <c r="B3529" s="6"/>
      <c r="C3529" s="7"/>
      <c r="D3529" s="6"/>
      <c r="E3529" s="6"/>
      <c r="F3529" s="6"/>
      <c r="G3529" s="2"/>
      <c r="H3529" s="3"/>
      <c r="I3529" s="22"/>
    </row>
    <row r="3530">
      <c r="A3530" s="24"/>
      <c r="B3530" s="6"/>
      <c r="C3530" s="7"/>
      <c r="D3530" s="6"/>
      <c r="E3530" s="6"/>
      <c r="F3530" s="6"/>
      <c r="G3530" s="2"/>
      <c r="H3530" s="3"/>
      <c r="I3530" s="22"/>
    </row>
    <row r="3531">
      <c r="A3531" s="24"/>
      <c r="B3531" s="6"/>
      <c r="C3531" s="7"/>
      <c r="D3531" s="6"/>
      <c r="E3531" s="6"/>
      <c r="F3531" s="6"/>
      <c r="G3531" s="2"/>
      <c r="H3531" s="3"/>
      <c r="I3531" s="22"/>
    </row>
    <row r="3532">
      <c r="A3532" s="24"/>
      <c r="B3532" s="6"/>
      <c r="C3532" s="7"/>
      <c r="D3532" s="6"/>
      <c r="E3532" s="6"/>
      <c r="F3532" s="6"/>
      <c r="G3532" s="2"/>
      <c r="H3532" s="3"/>
      <c r="I3532" s="22"/>
    </row>
    <row r="3533">
      <c r="A3533" s="24"/>
      <c r="B3533" s="6"/>
      <c r="C3533" s="7"/>
      <c r="D3533" s="6"/>
      <c r="E3533" s="6"/>
      <c r="F3533" s="6"/>
      <c r="G3533" s="2"/>
      <c r="H3533" s="3"/>
      <c r="I3533" s="22"/>
    </row>
    <row r="3534">
      <c r="A3534" s="24"/>
      <c r="B3534" s="6"/>
      <c r="C3534" s="7"/>
      <c r="D3534" s="6"/>
      <c r="E3534" s="6"/>
      <c r="F3534" s="6"/>
      <c r="G3534" s="2"/>
      <c r="H3534" s="3"/>
      <c r="I3534" s="22"/>
    </row>
    <row r="3535">
      <c r="A3535" s="24"/>
      <c r="B3535" s="6"/>
      <c r="C3535" s="7"/>
      <c r="D3535" s="6"/>
      <c r="E3535" s="6"/>
      <c r="F3535" s="6"/>
      <c r="G3535" s="2"/>
      <c r="H3535" s="3"/>
      <c r="I3535" s="22"/>
    </row>
    <row r="3536">
      <c r="A3536" s="24"/>
      <c r="B3536" s="6"/>
      <c r="C3536" s="7"/>
      <c r="D3536" s="6"/>
      <c r="E3536" s="6"/>
      <c r="F3536" s="6"/>
      <c r="G3536" s="2"/>
      <c r="H3536" s="3"/>
      <c r="I3536" s="22"/>
    </row>
    <row r="3537">
      <c r="A3537" s="24"/>
      <c r="B3537" s="6"/>
      <c r="C3537" s="7"/>
      <c r="D3537" s="6"/>
      <c r="E3537" s="6"/>
      <c r="F3537" s="6"/>
      <c r="G3537" s="2"/>
      <c r="H3537" s="3"/>
      <c r="I3537" s="22"/>
    </row>
    <row r="3538">
      <c r="A3538" s="24"/>
      <c r="B3538" s="6"/>
      <c r="C3538" s="7"/>
      <c r="D3538" s="6"/>
      <c r="E3538" s="6"/>
      <c r="F3538" s="6"/>
      <c r="G3538" s="2"/>
      <c r="H3538" s="3"/>
      <c r="I3538" s="22"/>
    </row>
    <row r="3539">
      <c r="A3539" s="24"/>
      <c r="B3539" s="6"/>
      <c r="C3539" s="7"/>
      <c r="D3539" s="6"/>
      <c r="E3539" s="6"/>
      <c r="F3539" s="6"/>
      <c r="G3539" s="2"/>
      <c r="H3539" s="3"/>
      <c r="I3539" s="22"/>
    </row>
    <row r="3540">
      <c r="A3540" s="24"/>
      <c r="B3540" s="6"/>
      <c r="C3540" s="7"/>
      <c r="D3540" s="6"/>
      <c r="E3540" s="6"/>
      <c r="F3540" s="6"/>
      <c r="G3540" s="2"/>
      <c r="H3540" s="3"/>
      <c r="I3540" s="22"/>
    </row>
    <row r="3541">
      <c r="A3541" s="24"/>
      <c r="B3541" s="6"/>
      <c r="C3541" s="7"/>
      <c r="D3541" s="6"/>
      <c r="E3541" s="6"/>
      <c r="F3541" s="6"/>
      <c r="G3541" s="2"/>
      <c r="H3541" s="3"/>
      <c r="I3541" s="22"/>
    </row>
    <row r="3542">
      <c r="A3542" s="24"/>
      <c r="B3542" s="6"/>
      <c r="C3542" s="7"/>
      <c r="D3542" s="6"/>
      <c r="E3542" s="6"/>
      <c r="F3542" s="6"/>
      <c r="G3542" s="2"/>
      <c r="H3542" s="3"/>
      <c r="I3542" s="22"/>
    </row>
    <row r="3543">
      <c r="A3543" s="24"/>
      <c r="B3543" s="6"/>
      <c r="C3543" s="7"/>
      <c r="D3543" s="6"/>
      <c r="E3543" s="6"/>
      <c r="F3543" s="6"/>
      <c r="G3543" s="2"/>
      <c r="H3543" s="3"/>
      <c r="I3543" s="22"/>
    </row>
    <row r="3544">
      <c r="A3544" s="24"/>
      <c r="B3544" s="6"/>
      <c r="C3544" s="7"/>
      <c r="D3544" s="6"/>
      <c r="E3544" s="6"/>
      <c r="F3544" s="6"/>
      <c r="G3544" s="2"/>
      <c r="H3544" s="3"/>
      <c r="I3544" s="22"/>
    </row>
    <row r="3545">
      <c r="A3545" s="24"/>
      <c r="B3545" s="6"/>
      <c r="C3545" s="7"/>
      <c r="D3545" s="6"/>
      <c r="E3545" s="6"/>
      <c r="F3545" s="6"/>
      <c r="G3545" s="2"/>
      <c r="H3545" s="3"/>
      <c r="I3545" s="22"/>
    </row>
    <row r="3546">
      <c r="A3546" s="24"/>
      <c r="B3546" s="6"/>
      <c r="C3546" s="7"/>
      <c r="D3546" s="6"/>
      <c r="E3546" s="6"/>
      <c r="F3546" s="6"/>
      <c r="G3546" s="2"/>
      <c r="H3546" s="3"/>
      <c r="I3546" s="22"/>
    </row>
    <row r="3547">
      <c r="A3547" s="24"/>
      <c r="B3547" s="6"/>
      <c r="C3547" s="7"/>
      <c r="D3547" s="6"/>
      <c r="E3547" s="6"/>
      <c r="F3547" s="6"/>
      <c r="G3547" s="2"/>
      <c r="H3547" s="3"/>
      <c r="I3547" s="22"/>
    </row>
    <row r="3548">
      <c r="A3548" s="24"/>
      <c r="B3548" s="6"/>
      <c r="C3548" s="7"/>
      <c r="D3548" s="6"/>
      <c r="E3548" s="6"/>
      <c r="F3548" s="6"/>
      <c r="G3548" s="2"/>
      <c r="H3548" s="3"/>
      <c r="I3548" s="22"/>
    </row>
    <row r="3549">
      <c r="A3549" s="24"/>
      <c r="B3549" s="6"/>
      <c r="C3549" s="7"/>
      <c r="D3549" s="6"/>
      <c r="E3549" s="6"/>
      <c r="F3549" s="6"/>
      <c r="G3549" s="2"/>
      <c r="H3549" s="3"/>
      <c r="I3549" s="22"/>
    </row>
    <row r="3550">
      <c r="A3550" s="24"/>
      <c r="B3550" s="6"/>
      <c r="C3550" s="7"/>
      <c r="D3550" s="6"/>
      <c r="E3550" s="6"/>
      <c r="F3550" s="6"/>
      <c r="G3550" s="2"/>
      <c r="H3550" s="3"/>
      <c r="I3550" s="22"/>
    </row>
    <row r="3551">
      <c r="A3551" s="24"/>
      <c r="B3551" s="6"/>
      <c r="C3551" s="7"/>
      <c r="D3551" s="6"/>
      <c r="E3551" s="6"/>
      <c r="F3551" s="6"/>
      <c r="G3551" s="2"/>
      <c r="H3551" s="3"/>
      <c r="I3551" s="22"/>
    </row>
    <row r="3552">
      <c r="A3552" s="24"/>
      <c r="B3552" s="6"/>
      <c r="C3552" s="7"/>
      <c r="D3552" s="6"/>
      <c r="E3552" s="6"/>
      <c r="F3552" s="6"/>
      <c r="G3552" s="2"/>
      <c r="H3552" s="3"/>
      <c r="I3552" s="22"/>
    </row>
    <row r="3553">
      <c r="A3553" s="24"/>
      <c r="B3553" s="6"/>
      <c r="C3553" s="7"/>
      <c r="D3553" s="6"/>
      <c r="E3553" s="6"/>
      <c r="F3553" s="6"/>
      <c r="G3553" s="2"/>
      <c r="H3553" s="3"/>
      <c r="I3553" s="22"/>
    </row>
    <row r="3554">
      <c r="A3554" s="24"/>
      <c r="B3554" s="6"/>
      <c r="C3554" s="7"/>
      <c r="D3554" s="6"/>
      <c r="E3554" s="6"/>
      <c r="F3554" s="6"/>
      <c r="G3554" s="2"/>
      <c r="H3554" s="3"/>
      <c r="I3554" s="22"/>
    </row>
    <row r="3555">
      <c r="A3555" s="24"/>
      <c r="B3555" s="6"/>
      <c r="C3555" s="7"/>
      <c r="D3555" s="6"/>
      <c r="E3555" s="6"/>
      <c r="F3555" s="6"/>
      <c r="G3555" s="2"/>
      <c r="H3555" s="3"/>
      <c r="I3555" s="22"/>
    </row>
    <row r="3556">
      <c r="A3556" s="24"/>
      <c r="B3556" s="6"/>
      <c r="C3556" s="7"/>
      <c r="D3556" s="6"/>
      <c r="E3556" s="6"/>
      <c r="F3556" s="6"/>
      <c r="G3556" s="2"/>
      <c r="H3556" s="3"/>
      <c r="I3556" s="22"/>
    </row>
    <row r="3557">
      <c r="A3557" s="24"/>
      <c r="B3557" s="6"/>
      <c r="C3557" s="7"/>
      <c r="D3557" s="6"/>
      <c r="E3557" s="6"/>
      <c r="F3557" s="6"/>
      <c r="G3557" s="2"/>
      <c r="H3557" s="3"/>
      <c r="I3557" s="22"/>
    </row>
    <row r="3558">
      <c r="A3558" s="24"/>
      <c r="B3558" s="6"/>
      <c r="C3558" s="7"/>
      <c r="D3558" s="6"/>
      <c r="E3558" s="6"/>
      <c r="F3558" s="6"/>
      <c r="G3558" s="2"/>
      <c r="H3558" s="3"/>
      <c r="I3558" s="22"/>
    </row>
    <row r="3559">
      <c r="A3559" s="24"/>
      <c r="B3559" s="6"/>
      <c r="C3559" s="7"/>
      <c r="D3559" s="6"/>
      <c r="E3559" s="6"/>
      <c r="F3559" s="6"/>
      <c r="G3559" s="2"/>
      <c r="H3559" s="3"/>
      <c r="I3559" s="22"/>
    </row>
    <row r="3560">
      <c r="A3560" s="24"/>
      <c r="B3560" s="6"/>
      <c r="C3560" s="7"/>
      <c r="D3560" s="6"/>
      <c r="E3560" s="6"/>
      <c r="F3560" s="6"/>
      <c r="G3560" s="2"/>
      <c r="H3560" s="3"/>
      <c r="I3560" s="22"/>
    </row>
    <row r="3561">
      <c r="A3561" s="24"/>
      <c r="B3561" s="6"/>
      <c r="C3561" s="7"/>
      <c r="D3561" s="6"/>
      <c r="E3561" s="6"/>
      <c r="F3561" s="6"/>
      <c r="G3561" s="2"/>
      <c r="H3561" s="3"/>
      <c r="I3561" s="22"/>
    </row>
    <row r="3562">
      <c r="A3562" s="24"/>
      <c r="B3562" s="6"/>
      <c r="C3562" s="7"/>
      <c r="D3562" s="6"/>
      <c r="E3562" s="6"/>
      <c r="F3562" s="6"/>
      <c r="G3562" s="2"/>
      <c r="H3562" s="3"/>
      <c r="I3562" s="22"/>
    </row>
    <row r="3563">
      <c r="A3563" s="24"/>
      <c r="B3563" s="6"/>
      <c r="C3563" s="7"/>
      <c r="D3563" s="6"/>
      <c r="E3563" s="6"/>
      <c r="F3563" s="6"/>
      <c r="G3563" s="2"/>
      <c r="H3563" s="3"/>
      <c r="I3563" s="22"/>
    </row>
    <row r="3564">
      <c r="A3564" s="24"/>
      <c r="B3564" s="6"/>
      <c r="C3564" s="7"/>
      <c r="D3564" s="6"/>
      <c r="E3564" s="6"/>
      <c r="F3564" s="6"/>
      <c r="G3564" s="2"/>
      <c r="H3564" s="3"/>
      <c r="I3564" s="22"/>
    </row>
    <row r="3565">
      <c r="A3565" s="24"/>
      <c r="B3565" s="6"/>
      <c r="C3565" s="7"/>
      <c r="D3565" s="6"/>
      <c r="E3565" s="6"/>
      <c r="F3565" s="6"/>
      <c r="G3565" s="2"/>
      <c r="H3565" s="3"/>
      <c r="I3565" s="22"/>
    </row>
    <row r="3566">
      <c r="A3566" s="24"/>
      <c r="B3566" s="6"/>
      <c r="C3566" s="7"/>
      <c r="D3566" s="6"/>
      <c r="E3566" s="6"/>
      <c r="F3566" s="6"/>
      <c r="G3566" s="2"/>
      <c r="H3566" s="3"/>
      <c r="I3566" s="22"/>
    </row>
    <row r="3567">
      <c r="A3567" s="24"/>
      <c r="B3567" s="6"/>
      <c r="C3567" s="7"/>
      <c r="D3567" s="6"/>
      <c r="E3567" s="6"/>
      <c r="F3567" s="6"/>
      <c r="G3567" s="2"/>
      <c r="H3567" s="3"/>
      <c r="I3567" s="22"/>
    </row>
    <row r="3568">
      <c r="A3568" s="24"/>
      <c r="B3568" s="6"/>
      <c r="C3568" s="7"/>
      <c r="D3568" s="6"/>
      <c r="E3568" s="6"/>
      <c r="F3568" s="6"/>
      <c r="G3568" s="2"/>
      <c r="H3568" s="3"/>
      <c r="I3568" s="22"/>
    </row>
    <row r="3569">
      <c r="A3569" s="24"/>
      <c r="B3569" s="6"/>
      <c r="C3569" s="7"/>
      <c r="D3569" s="6"/>
      <c r="E3569" s="6"/>
      <c r="F3569" s="6"/>
      <c r="G3569" s="2"/>
      <c r="H3569" s="3"/>
      <c r="I3569" s="22"/>
    </row>
    <row r="3570">
      <c r="A3570" s="24"/>
      <c r="B3570" s="6"/>
      <c r="C3570" s="7"/>
      <c r="D3570" s="6"/>
      <c r="E3570" s="6"/>
      <c r="F3570" s="6"/>
      <c r="G3570" s="2"/>
      <c r="H3570" s="3"/>
      <c r="I3570" s="22"/>
    </row>
    <row r="3571">
      <c r="A3571" s="24"/>
      <c r="B3571" s="6"/>
      <c r="C3571" s="7"/>
      <c r="D3571" s="6"/>
      <c r="E3571" s="6"/>
      <c r="F3571" s="6"/>
      <c r="G3571" s="2"/>
      <c r="H3571" s="3"/>
      <c r="I3571" s="22"/>
    </row>
    <row r="3572">
      <c r="A3572" s="24"/>
      <c r="B3572" s="6"/>
      <c r="C3572" s="7"/>
      <c r="D3572" s="6"/>
      <c r="E3572" s="6"/>
      <c r="F3572" s="6"/>
      <c r="G3572" s="2"/>
      <c r="H3572" s="3"/>
      <c r="I3572" s="22"/>
    </row>
    <row r="3573">
      <c r="A3573" s="24"/>
      <c r="B3573" s="6"/>
      <c r="C3573" s="7"/>
      <c r="D3573" s="6"/>
      <c r="E3573" s="6"/>
      <c r="F3573" s="6"/>
      <c r="G3573" s="2"/>
      <c r="H3573" s="3"/>
      <c r="I3573" s="22"/>
    </row>
    <row r="3574">
      <c r="A3574" s="24"/>
      <c r="B3574" s="6"/>
      <c r="C3574" s="7"/>
      <c r="D3574" s="6"/>
      <c r="E3574" s="6"/>
      <c r="F3574" s="6"/>
      <c r="G3574" s="2"/>
      <c r="H3574" s="3"/>
      <c r="I3574" s="22"/>
    </row>
    <row r="3575">
      <c r="A3575" s="24"/>
      <c r="B3575" s="6"/>
      <c r="C3575" s="7"/>
      <c r="D3575" s="6"/>
      <c r="E3575" s="6"/>
      <c r="F3575" s="6"/>
      <c r="G3575" s="2"/>
      <c r="H3575" s="3"/>
      <c r="I3575" s="22"/>
    </row>
    <row r="3576">
      <c r="A3576" s="24"/>
      <c r="B3576" s="6"/>
      <c r="C3576" s="7"/>
      <c r="D3576" s="6"/>
      <c r="E3576" s="6"/>
      <c r="F3576" s="6"/>
      <c r="G3576" s="2"/>
      <c r="H3576" s="3"/>
      <c r="I3576" s="22"/>
    </row>
    <row r="3577">
      <c r="A3577" s="24"/>
      <c r="B3577" s="6"/>
      <c r="C3577" s="7"/>
      <c r="D3577" s="6"/>
      <c r="E3577" s="6"/>
      <c r="F3577" s="6"/>
      <c r="G3577" s="2"/>
      <c r="H3577" s="3"/>
      <c r="I3577" s="22"/>
    </row>
    <row r="3578">
      <c r="A3578" s="24"/>
      <c r="B3578" s="6"/>
      <c r="C3578" s="7"/>
      <c r="D3578" s="6"/>
      <c r="E3578" s="6"/>
      <c r="F3578" s="6"/>
      <c r="G3578" s="2"/>
      <c r="H3578" s="3"/>
      <c r="I3578" s="22"/>
    </row>
    <row r="3579">
      <c r="A3579" s="24"/>
      <c r="B3579" s="6"/>
      <c r="C3579" s="7"/>
      <c r="D3579" s="6"/>
      <c r="E3579" s="6"/>
      <c r="F3579" s="6"/>
      <c r="G3579" s="2"/>
      <c r="H3579" s="3"/>
      <c r="I3579" s="22"/>
    </row>
    <row r="3580">
      <c r="A3580" s="24"/>
      <c r="B3580" s="6"/>
      <c r="C3580" s="7"/>
      <c r="D3580" s="6"/>
      <c r="E3580" s="6"/>
      <c r="F3580" s="6"/>
      <c r="G3580" s="2"/>
      <c r="H3580" s="3"/>
      <c r="I3580" s="22"/>
    </row>
    <row r="3581">
      <c r="A3581" s="24"/>
      <c r="B3581" s="6"/>
      <c r="C3581" s="7"/>
      <c r="D3581" s="6"/>
      <c r="E3581" s="6"/>
      <c r="F3581" s="6"/>
      <c r="G3581" s="2"/>
      <c r="H3581" s="3"/>
      <c r="I3581" s="22"/>
    </row>
    <row r="3582">
      <c r="A3582" s="24"/>
      <c r="B3582" s="6"/>
      <c r="C3582" s="7"/>
      <c r="D3582" s="6"/>
      <c r="E3582" s="6"/>
      <c r="F3582" s="6"/>
      <c r="G3582" s="2"/>
      <c r="H3582" s="3"/>
      <c r="I3582" s="22"/>
    </row>
    <row r="3583">
      <c r="A3583" s="24"/>
      <c r="B3583" s="6"/>
      <c r="C3583" s="7"/>
      <c r="D3583" s="6"/>
      <c r="E3583" s="6"/>
      <c r="F3583" s="6"/>
      <c r="G3583" s="2"/>
      <c r="H3583" s="3"/>
      <c r="I3583" s="22"/>
    </row>
    <row r="3584">
      <c r="A3584" s="24"/>
      <c r="B3584" s="6"/>
      <c r="C3584" s="7"/>
      <c r="D3584" s="6"/>
      <c r="E3584" s="6"/>
      <c r="F3584" s="6"/>
      <c r="G3584" s="2"/>
      <c r="H3584" s="3"/>
      <c r="I3584" s="22"/>
    </row>
    <row r="3585">
      <c r="A3585" s="24"/>
      <c r="B3585" s="6"/>
      <c r="C3585" s="7"/>
      <c r="D3585" s="6"/>
      <c r="E3585" s="6"/>
      <c r="F3585" s="6"/>
      <c r="G3585" s="2"/>
      <c r="H3585" s="3"/>
      <c r="I3585" s="22"/>
    </row>
    <row r="3586">
      <c r="A3586" s="24"/>
      <c r="B3586" s="6"/>
      <c r="C3586" s="7"/>
      <c r="D3586" s="6"/>
      <c r="E3586" s="6"/>
      <c r="F3586" s="6"/>
      <c r="G3586" s="2"/>
      <c r="H3586" s="3"/>
      <c r="I3586" s="22"/>
    </row>
    <row r="3587">
      <c r="A3587" s="24"/>
      <c r="B3587" s="6"/>
      <c r="C3587" s="7"/>
      <c r="D3587" s="6"/>
      <c r="E3587" s="6"/>
      <c r="F3587" s="6"/>
      <c r="G3587" s="2"/>
      <c r="H3587" s="3"/>
      <c r="I3587" s="22"/>
    </row>
    <row r="3588">
      <c r="A3588" s="24"/>
      <c r="B3588" s="6"/>
      <c r="C3588" s="7"/>
      <c r="D3588" s="6"/>
      <c r="E3588" s="6"/>
      <c r="F3588" s="6"/>
      <c r="G3588" s="2"/>
      <c r="H3588" s="3"/>
      <c r="I3588" s="22"/>
    </row>
    <row r="3589">
      <c r="A3589" s="24"/>
      <c r="B3589" s="6"/>
      <c r="C3589" s="7"/>
      <c r="D3589" s="6"/>
      <c r="E3589" s="6"/>
      <c r="F3589" s="6"/>
      <c r="G3589" s="2"/>
      <c r="H3589" s="3"/>
      <c r="I3589" s="22"/>
    </row>
    <row r="3590">
      <c r="A3590" s="24"/>
      <c r="B3590" s="6"/>
      <c r="C3590" s="7"/>
      <c r="D3590" s="6"/>
      <c r="E3590" s="6"/>
      <c r="F3590" s="6"/>
      <c r="G3590" s="2"/>
      <c r="H3590" s="3"/>
      <c r="I3590" s="22"/>
    </row>
    <row r="3591">
      <c r="A3591" s="24"/>
      <c r="B3591" s="6"/>
      <c r="C3591" s="7"/>
      <c r="D3591" s="6"/>
      <c r="E3591" s="6"/>
      <c r="F3591" s="6"/>
      <c r="G3591" s="2"/>
      <c r="H3591" s="3"/>
      <c r="I3591" s="22"/>
    </row>
    <row r="3592">
      <c r="A3592" s="24"/>
      <c r="B3592" s="6"/>
      <c r="C3592" s="7"/>
      <c r="D3592" s="6"/>
      <c r="E3592" s="6"/>
      <c r="F3592" s="6"/>
      <c r="G3592" s="2"/>
      <c r="H3592" s="3"/>
      <c r="I3592" s="22"/>
    </row>
    <row r="3593">
      <c r="A3593" s="24"/>
      <c r="B3593" s="6"/>
      <c r="C3593" s="7"/>
      <c r="D3593" s="6"/>
      <c r="E3593" s="6"/>
      <c r="F3593" s="6"/>
      <c r="G3593" s="2"/>
      <c r="H3593" s="3"/>
      <c r="I3593" s="22"/>
    </row>
    <row r="3594">
      <c r="A3594" s="24"/>
      <c r="B3594" s="6"/>
      <c r="C3594" s="7"/>
      <c r="D3594" s="6"/>
      <c r="E3594" s="6"/>
      <c r="F3594" s="6"/>
      <c r="G3594" s="2"/>
      <c r="H3594" s="3"/>
      <c r="I3594" s="22"/>
    </row>
    <row r="3595">
      <c r="A3595" s="24"/>
      <c r="B3595" s="6"/>
      <c r="C3595" s="7"/>
      <c r="D3595" s="6"/>
      <c r="E3595" s="6"/>
      <c r="F3595" s="6"/>
      <c r="G3595" s="2"/>
      <c r="H3595" s="3"/>
      <c r="I3595" s="22"/>
    </row>
    <row r="3596">
      <c r="A3596" s="24"/>
      <c r="B3596" s="6"/>
      <c r="C3596" s="7"/>
      <c r="D3596" s="6"/>
      <c r="E3596" s="6"/>
      <c r="F3596" s="6"/>
      <c r="G3596" s="2"/>
      <c r="H3596" s="3"/>
      <c r="I3596" s="22"/>
    </row>
    <row r="3597">
      <c r="A3597" s="24"/>
      <c r="B3597" s="6"/>
      <c r="C3597" s="7"/>
      <c r="D3597" s="6"/>
      <c r="E3597" s="6"/>
      <c r="F3597" s="6"/>
      <c r="G3597" s="2"/>
      <c r="H3597" s="3"/>
      <c r="I3597" s="22"/>
    </row>
    <row r="3598">
      <c r="A3598" s="24"/>
      <c r="B3598" s="6"/>
      <c r="C3598" s="7"/>
      <c r="D3598" s="6"/>
      <c r="E3598" s="6"/>
      <c r="F3598" s="6"/>
      <c r="G3598" s="2"/>
      <c r="H3598" s="3"/>
      <c r="I3598" s="22"/>
    </row>
    <row r="3599">
      <c r="A3599" s="24"/>
      <c r="B3599" s="6"/>
      <c r="C3599" s="7"/>
      <c r="D3599" s="6"/>
      <c r="E3599" s="6"/>
      <c r="F3599" s="6"/>
      <c r="G3599" s="2"/>
      <c r="H3599" s="3"/>
      <c r="I3599" s="22"/>
    </row>
    <row r="3600">
      <c r="A3600" s="24"/>
      <c r="B3600" s="6"/>
      <c r="C3600" s="7"/>
      <c r="D3600" s="6"/>
      <c r="E3600" s="6"/>
      <c r="F3600" s="6"/>
      <c r="G3600" s="2"/>
      <c r="H3600" s="3"/>
      <c r="I3600" s="22"/>
    </row>
    <row r="3601">
      <c r="A3601" s="24"/>
      <c r="B3601" s="6"/>
      <c r="C3601" s="7"/>
      <c r="D3601" s="6"/>
      <c r="E3601" s="6"/>
      <c r="F3601" s="6"/>
      <c r="G3601" s="2"/>
      <c r="H3601" s="3"/>
      <c r="I3601" s="22"/>
    </row>
    <row r="3602">
      <c r="A3602" s="24"/>
      <c r="B3602" s="6"/>
      <c r="C3602" s="7"/>
      <c r="D3602" s="6"/>
      <c r="E3602" s="6"/>
      <c r="F3602" s="6"/>
      <c r="G3602" s="2"/>
      <c r="H3602" s="3"/>
      <c r="I3602" s="22"/>
    </row>
    <row r="3603">
      <c r="A3603" s="24"/>
      <c r="B3603" s="6"/>
      <c r="C3603" s="7"/>
      <c r="D3603" s="6"/>
      <c r="E3603" s="6"/>
      <c r="F3603" s="6"/>
      <c r="G3603" s="2"/>
      <c r="H3603" s="3"/>
      <c r="I3603" s="22"/>
    </row>
    <row r="3604">
      <c r="A3604" s="24"/>
      <c r="B3604" s="6"/>
      <c r="C3604" s="7"/>
      <c r="D3604" s="6"/>
      <c r="E3604" s="6"/>
      <c r="F3604" s="6"/>
      <c r="G3604" s="2"/>
      <c r="H3604" s="3"/>
      <c r="I3604" s="22"/>
    </row>
    <row r="3605">
      <c r="A3605" s="24"/>
      <c r="B3605" s="6"/>
      <c r="C3605" s="7"/>
      <c r="D3605" s="6"/>
      <c r="E3605" s="6"/>
      <c r="F3605" s="6"/>
      <c r="G3605" s="2"/>
      <c r="H3605" s="3"/>
      <c r="I3605" s="22"/>
    </row>
    <row r="3606">
      <c r="A3606" s="24"/>
      <c r="B3606" s="6"/>
      <c r="C3606" s="7"/>
      <c r="D3606" s="6"/>
      <c r="E3606" s="6"/>
      <c r="F3606" s="6"/>
      <c r="G3606" s="2"/>
      <c r="H3606" s="3"/>
      <c r="I3606" s="22"/>
    </row>
    <row r="3607">
      <c r="A3607" s="24"/>
      <c r="B3607" s="6"/>
      <c r="C3607" s="7"/>
      <c r="D3607" s="6"/>
      <c r="E3607" s="6"/>
      <c r="F3607" s="6"/>
      <c r="G3607" s="2"/>
      <c r="H3607" s="3"/>
      <c r="I3607" s="22"/>
    </row>
    <row r="3608">
      <c r="A3608" s="24"/>
      <c r="B3608" s="6"/>
      <c r="C3608" s="7"/>
      <c r="D3608" s="6"/>
      <c r="E3608" s="6"/>
      <c r="F3608" s="6"/>
      <c r="G3608" s="2"/>
      <c r="H3608" s="3"/>
      <c r="I3608" s="22"/>
    </row>
    <row r="3609">
      <c r="A3609" s="24"/>
      <c r="B3609" s="6"/>
      <c r="C3609" s="7"/>
      <c r="D3609" s="6"/>
      <c r="E3609" s="6"/>
      <c r="F3609" s="6"/>
      <c r="G3609" s="2"/>
      <c r="H3609" s="3"/>
      <c r="I3609" s="22"/>
    </row>
    <row r="3610">
      <c r="A3610" s="24"/>
      <c r="B3610" s="6"/>
      <c r="C3610" s="7"/>
      <c r="D3610" s="6"/>
      <c r="E3610" s="6"/>
      <c r="F3610" s="6"/>
      <c r="G3610" s="2"/>
      <c r="H3610" s="3"/>
      <c r="I3610" s="22"/>
    </row>
    <row r="3611">
      <c r="A3611" s="24"/>
      <c r="B3611" s="6"/>
      <c r="C3611" s="7"/>
      <c r="D3611" s="6"/>
      <c r="E3611" s="6"/>
      <c r="F3611" s="6"/>
      <c r="G3611" s="2"/>
      <c r="H3611" s="3"/>
      <c r="I3611" s="22"/>
    </row>
    <row r="3612">
      <c r="A3612" s="24"/>
      <c r="B3612" s="6"/>
      <c r="C3612" s="7"/>
      <c r="D3612" s="6"/>
      <c r="E3612" s="6"/>
      <c r="F3612" s="6"/>
      <c r="G3612" s="2"/>
      <c r="H3612" s="3"/>
      <c r="I3612" s="22"/>
    </row>
    <row r="3613">
      <c r="A3613" s="24"/>
      <c r="B3613" s="6"/>
      <c r="C3613" s="7"/>
      <c r="D3613" s="6"/>
      <c r="E3613" s="6"/>
      <c r="F3613" s="6"/>
      <c r="G3613" s="2"/>
      <c r="H3613" s="3"/>
      <c r="I3613" s="22"/>
    </row>
    <row r="3614">
      <c r="A3614" s="24"/>
      <c r="B3614" s="6"/>
      <c r="C3614" s="7"/>
      <c r="D3614" s="6"/>
      <c r="E3614" s="6"/>
      <c r="F3614" s="6"/>
      <c r="G3614" s="2"/>
      <c r="H3614" s="3"/>
      <c r="I3614" s="22"/>
    </row>
    <row r="3615">
      <c r="A3615" s="24"/>
      <c r="B3615" s="6"/>
      <c r="C3615" s="7"/>
      <c r="D3615" s="6"/>
      <c r="E3615" s="6"/>
      <c r="F3615" s="6"/>
      <c r="G3615" s="2"/>
      <c r="H3615" s="3"/>
      <c r="I3615" s="22"/>
    </row>
    <row r="3616">
      <c r="A3616" s="24"/>
      <c r="B3616" s="6"/>
      <c r="C3616" s="7"/>
      <c r="D3616" s="6"/>
      <c r="E3616" s="6"/>
      <c r="F3616" s="6"/>
      <c r="G3616" s="2"/>
      <c r="H3616" s="3"/>
      <c r="I3616" s="22"/>
    </row>
    <row r="3617">
      <c r="A3617" s="24"/>
      <c r="B3617" s="6"/>
      <c r="C3617" s="7"/>
      <c r="D3617" s="6"/>
      <c r="E3617" s="6"/>
      <c r="F3617" s="6"/>
      <c r="G3617" s="2"/>
      <c r="H3617" s="3"/>
      <c r="I3617" s="22"/>
    </row>
    <row r="3618">
      <c r="A3618" s="24"/>
      <c r="B3618" s="6"/>
      <c r="C3618" s="7"/>
      <c r="D3618" s="6"/>
      <c r="E3618" s="6"/>
      <c r="F3618" s="6"/>
      <c r="G3618" s="2"/>
      <c r="H3618" s="3"/>
      <c r="I3618" s="22"/>
    </row>
    <row r="3619">
      <c r="A3619" s="24"/>
      <c r="B3619" s="6"/>
      <c r="C3619" s="7"/>
      <c r="D3619" s="6"/>
      <c r="E3619" s="6"/>
      <c r="F3619" s="6"/>
      <c r="G3619" s="2"/>
      <c r="H3619" s="3"/>
      <c r="I3619" s="22"/>
    </row>
    <row r="3620">
      <c r="A3620" s="24"/>
      <c r="B3620" s="6"/>
      <c r="C3620" s="7"/>
      <c r="D3620" s="6"/>
      <c r="E3620" s="6"/>
      <c r="F3620" s="6"/>
      <c r="G3620" s="2"/>
      <c r="H3620" s="3"/>
      <c r="I3620" s="22"/>
    </row>
    <row r="3621">
      <c r="A3621" s="24"/>
      <c r="B3621" s="6"/>
      <c r="C3621" s="7"/>
      <c r="D3621" s="6"/>
      <c r="E3621" s="6"/>
      <c r="F3621" s="6"/>
      <c r="G3621" s="2"/>
      <c r="H3621" s="3"/>
      <c r="I3621" s="22"/>
    </row>
    <row r="3622">
      <c r="A3622" s="24"/>
      <c r="B3622" s="6"/>
      <c r="C3622" s="7"/>
      <c r="D3622" s="6"/>
      <c r="E3622" s="6"/>
      <c r="F3622" s="6"/>
      <c r="G3622" s="2"/>
      <c r="H3622" s="3"/>
      <c r="I3622" s="22"/>
    </row>
    <row r="3623">
      <c r="A3623" s="24"/>
      <c r="B3623" s="6"/>
      <c r="C3623" s="7"/>
      <c r="D3623" s="6"/>
      <c r="E3623" s="6"/>
      <c r="F3623" s="6"/>
      <c r="G3623" s="2"/>
      <c r="H3623" s="3"/>
      <c r="I3623" s="22"/>
    </row>
    <row r="3624">
      <c r="A3624" s="24"/>
      <c r="B3624" s="6"/>
      <c r="C3624" s="7"/>
      <c r="D3624" s="6"/>
      <c r="E3624" s="6"/>
      <c r="F3624" s="6"/>
      <c r="G3624" s="2"/>
      <c r="H3624" s="3"/>
      <c r="I3624" s="22"/>
    </row>
    <row r="3625">
      <c r="A3625" s="24"/>
      <c r="B3625" s="6"/>
      <c r="C3625" s="7"/>
      <c r="D3625" s="6"/>
      <c r="E3625" s="6"/>
      <c r="F3625" s="6"/>
      <c r="G3625" s="2"/>
      <c r="H3625" s="3"/>
      <c r="I3625" s="22"/>
    </row>
    <row r="3626">
      <c r="A3626" s="24"/>
      <c r="B3626" s="6"/>
      <c r="C3626" s="7"/>
      <c r="D3626" s="6"/>
      <c r="E3626" s="6"/>
      <c r="F3626" s="6"/>
      <c r="G3626" s="2"/>
      <c r="H3626" s="3"/>
      <c r="I3626" s="22"/>
    </row>
    <row r="3627">
      <c r="A3627" s="24"/>
      <c r="B3627" s="6"/>
      <c r="C3627" s="7"/>
      <c r="D3627" s="6"/>
      <c r="E3627" s="6"/>
      <c r="F3627" s="6"/>
      <c r="G3627" s="2"/>
      <c r="H3627" s="3"/>
      <c r="I3627" s="22"/>
    </row>
    <row r="3628">
      <c r="A3628" s="24"/>
      <c r="B3628" s="6"/>
      <c r="C3628" s="7"/>
      <c r="D3628" s="6"/>
      <c r="E3628" s="6"/>
      <c r="F3628" s="6"/>
      <c r="G3628" s="2"/>
      <c r="H3628" s="3"/>
      <c r="I3628" s="22"/>
    </row>
    <row r="3629">
      <c r="A3629" s="24"/>
      <c r="B3629" s="6"/>
      <c r="C3629" s="7"/>
      <c r="D3629" s="6"/>
      <c r="E3629" s="6"/>
      <c r="F3629" s="6"/>
      <c r="G3629" s="2"/>
      <c r="H3629" s="3"/>
      <c r="I3629" s="22"/>
    </row>
    <row r="3630">
      <c r="A3630" s="24"/>
      <c r="B3630" s="6"/>
      <c r="C3630" s="7"/>
      <c r="D3630" s="6"/>
      <c r="E3630" s="6"/>
      <c r="F3630" s="6"/>
      <c r="G3630" s="2"/>
      <c r="H3630" s="3"/>
      <c r="I3630" s="22"/>
    </row>
    <row r="3631">
      <c r="A3631" s="24"/>
      <c r="B3631" s="6"/>
      <c r="C3631" s="7"/>
      <c r="D3631" s="6"/>
      <c r="E3631" s="6"/>
      <c r="F3631" s="6"/>
      <c r="G3631" s="2"/>
      <c r="H3631" s="3"/>
      <c r="I3631" s="22"/>
    </row>
    <row r="3632">
      <c r="A3632" s="24"/>
      <c r="B3632" s="6"/>
      <c r="C3632" s="7"/>
      <c r="D3632" s="6"/>
      <c r="E3632" s="6"/>
      <c r="F3632" s="6"/>
      <c r="G3632" s="2"/>
      <c r="H3632" s="3"/>
      <c r="I3632" s="22"/>
    </row>
    <row r="3633">
      <c r="A3633" s="24"/>
      <c r="B3633" s="6"/>
      <c r="C3633" s="7"/>
      <c r="D3633" s="6"/>
      <c r="E3633" s="6"/>
      <c r="F3633" s="6"/>
      <c r="G3633" s="2"/>
      <c r="H3633" s="3"/>
      <c r="I3633" s="22"/>
    </row>
    <row r="3634">
      <c r="A3634" s="24"/>
      <c r="B3634" s="6"/>
      <c r="C3634" s="7"/>
      <c r="D3634" s="6"/>
      <c r="E3634" s="6"/>
      <c r="F3634" s="6"/>
      <c r="G3634" s="2"/>
      <c r="H3634" s="3"/>
      <c r="I3634" s="22"/>
    </row>
    <row r="3635">
      <c r="A3635" s="24"/>
      <c r="B3635" s="6"/>
      <c r="C3635" s="7"/>
      <c r="D3635" s="6"/>
      <c r="E3635" s="6"/>
      <c r="F3635" s="6"/>
      <c r="G3635" s="2"/>
      <c r="H3635" s="3"/>
      <c r="I3635" s="22"/>
    </row>
    <row r="3636">
      <c r="A3636" s="24"/>
      <c r="B3636" s="6"/>
      <c r="C3636" s="7"/>
      <c r="D3636" s="6"/>
      <c r="E3636" s="6"/>
      <c r="F3636" s="6"/>
      <c r="G3636" s="2"/>
      <c r="H3636" s="3"/>
      <c r="I3636" s="22"/>
    </row>
    <row r="3637">
      <c r="A3637" s="24"/>
      <c r="B3637" s="6"/>
      <c r="C3637" s="7"/>
      <c r="D3637" s="6"/>
      <c r="E3637" s="6"/>
      <c r="F3637" s="6"/>
      <c r="G3637" s="2"/>
      <c r="H3637" s="3"/>
      <c r="I3637" s="22"/>
    </row>
    <row r="3638">
      <c r="A3638" s="24"/>
      <c r="B3638" s="6"/>
      <c r="C3638" s="7"/>
      <c r="D3638" s="6"/>
      <c r="E3638" s="6"/>
      <c r="F3638" s="6"/>
      <c r="G3638" s="2"/>
      <c r="H3638" s="3"/>
      <c r="I3638" s="22"/>
    </row>
    <row r="3639">
      <c r="A3639" s="24"/>
      <c r="B3639" s="6"/>
      <c r="C3639" s="7"/>
      <c r="D3639" s="6"/>
      <c r="E3639" s="6"/>
      <c r="F3639" s="6"/>
      <c r="G3639" s="2"/>
      <c r="H3639" s="3"/>
      <c r="I3639" s="22"/>
    </row>
    <row r="3640">
      <c r="A3640" s="24"/>
      <c r="B3640" s="6"/>
      <c r="C3640" s="7"/>
      <c r="D3640" s="6"/>
      <c r="E3640" s="6"/>
      <c r="F3640" s="6"/>
      <c r="G3640" s="2"/>
      <c r="H3640" s="3"/>
      <c r="I3640" s="22"/>
    </row>
    <row r="3641">
      <c r="A3641" s="24"/>
      <c r="B3641" s="6"/>
      <c r="C3641" s="7"/>
      <c r="D3641" s="6"/>
      <c r="E3641" s="6"/>
      <c r="F3641" s="6"/>
      <c r="G3641" s="2"/>
      <c r="H3641" s="3"/>
      <c r="I3641" s="22"/>
    </row>
    <row r="3642">
      <c r="A3642" s="24"/>
      <c r="B3642" s="6"/>
      <c r="C3642" s="7"/>
      <c r="D3642" s="6"/>
      <c r="E3642" s="6"/>
      <c r="F3642" s="6"/>
      <c r="G3642" s="2"/>
      <c r="H3642" s="3"/>
      <c r="I3642" s="22"/>
    </row>
    <row r="3643">
      <c r="A3643" s="24"/>
      <c r="B3643" s="6"/>
      <c r="C3643" s="7"/>
      <c r="D3643" s="6"/>
      <c r="E3643" s="6"/>
      <c r="F3643" s="6"/>
      <c r="G3643" s="2"/>
      <c r="H3643" s="3"/>
      <c r="I3643" s="22"/>
    </row>
    <row r="3644">
      <c r="A3644" s="24"/>
      <c r="B3644" s="6"/>
      <c r="C3644" s="7"/>
      <c r="D3644" s="6"/>
      <c r="E3644" s="6"/>
      <c r="F3644" s="6"/>
      <c r="G3644" s="2"/>
      <c r="H3644" s="3"/>
      <c r="I3644" s="22"/>
    </row>
    <row r="3645">
      <c r="A3645" s="24"/>
      <c r="B3645" s="6"/>
      <c r="C3645" s="7"/>
      <c r="D3645" s="6"/>
      <c r="E3645" s="6"/>
      <c r="F3645" s="6"/>
      <c r="G3645" s="2"/>
      <c r="H3645" s="3"/>
      <c r="I3645" s="22"/>
    </row>
    <row r="3646">
      <c r="A3646" s="24"/>
      <c r="B3646" s="6"/>
      <c r="C3646" s="7"/>
      <c r="D3646" s="6"/>
      <c r="E3646" s="6"/>
      <c r="F3646" s="6"/>
      <c r="G3646" s="2"/>
      <c r="H3646" s="3"/>
      <c r="I3646" s="22"/>
    </row>
    <row r="3647">
      <c r="A3647" s="24"/>
      <c r="B3647" s="6"/>
      <c r="C3647" s="7"/>
      <c r="D3647" s="6"/>
      <c r="E3647" s="6"/>
      <c r="F3647" s="6"/>
      <c r="G3647" s="2"/>
      <c r="H3647" s="3"/>
      <c r="I3647" s="22"/>
    </row>
    <row r="3648">
      <c r="A3648" s="24"/>
      <c r="B3648" s="6"/>
      <c r="C3648" s="7"/>
      <c r="D3648" s="6"/>
      <c r="E3648" s="6"/>
      <c r="F3648" s="6"/>
      <c r="G3648" s="2"/>
      <c r="H3648" s="3"/>
      <c r="I3648" s="22"/>
    </row>
    <row r="3649">
      <c r="A3649" s="24"/>
      <c r="B3649" s="6"/>
      <c r="C3649" s="7"/>
      <c r="D3649" s="6"/>
      <c r="E3649" s="6"/>
      <c r="F3649" s="6"/>
      <c r="G3649" s="2"/>
      <c r="H3649" s="3"/>
      <c r="I3649" s="22"/>
    </row>
    <row r="3650">
      <c r="A3650" s="24"/>
      <c r="B3650" s="6"/>
      <c r="C3650" s="7"/>
      <c r="D3650" s="6"/>
      <c r="E3650" s="6"/>
      <c r="F3650" s="6"/>
      <c r="G3650" s="2"/>
      <c r="H3650" s="3"/>
      <c r="I3650" s="22"/>
    </row>
    <row r="3651">
      <c r="A3651" s="24"/>
      <c r="B3651" s="6"/>
      <c r="C3651" s="7"/>
      <c r="D3651" s="6"/>
      <c r="E3651" s="6"/>
      <c r="F3651" s="6"/>
      <c r="G3651" s="2"/>
      <c r="H3651" s="3"/>
      <c r="I3651" s="22"/>
    </row>
    <row r="3652">
      <c r="A3652" s="24"/>
      <c r="B3652" s="6"/>
      <c r="C3652" s="7"/>
      <c r="D3652" s="6"/>
      <c r="E3652" s="6"/>
      <c r="F3652" s="6"/>
      <c r="G3652" s="2"/>
      <c r="H3652" s="3"/>
      <c r="I3652" s="22"/>
    </row>
    <row r="3653">
      <c r="A3653" s="24"/>
      <c r="B3653" s="6"/>
      <c r="C3653" s="7"/>
      <c r="D3653" s="6"/>
      <c r="E3653" s="6"/>
      <c r="F3653" s="6"/>
      <c r="G3653" s="2"/>
      <c r="H3653" s="3"/>
      <c r="I3653" s="22"/>
    </row>
    <row r="3654">
      <c r="A3654" s="24"/>
      <c r="B3654" s="6"/>
      <c r="C3654" s="7"/>
      <c r="D3654" s="6"/>
      <c r="E3654" s="6"/>
      <c r="F3654" s="6"/>
      <c r="G3654" s="2"/>
      <c r="H3654" s="3"/>
      <c r="I3654" s="22"/>
    </row>
    <row r="3655">
      <c r="A3655" s="24"/>
      <c r="B3655" s="6"/>
      <c r="C3655" s="7"/>
      <c r="D3655" s="6"/>
      <c r="E3655" s="6"/>
      <c r="F3655" s="6"/>
      <c r="G3655" s="2"/>
      <c r="H3655" s="3"/>
      <c r="I3655" s="22"/>
    </row>
    <row r="3656">
      <c r="A3656" s="24"/>
      <c r="B3656" s="6"/>
      <c r="C3656" s="7"/>
      <c r="D3656" s="6"/>
      <c r="E3656" s="6"/>
      <c r="F3656" s="6"/>
      <c r="G3656" s="2"/>
      <c r="H3656" s="3"/>
      <c r="I3656" s="22"/>
    </row>
    <row r="3657">
      <c r="A3657" s="24"/>
      <c r="B3657" s="6"/>
      <c r="C3657" s="7"/>
      <c r="D3657" s="6"/>
      <c r="E3657" s="6"/>
      <c r="F3657" s="6"/>
      <c r="G3657" s="2"/>
      <c r="H3657" s="3"/>
      <c r="I3657" s="22"/>
    </row>
    <row r="3658">
      <c r="A3658" s="24"/>
      <c r="B3658" s="6"/>
      <c r="C3658" s="7"/>
      <c r="D3658" s="6"/>
      <c r="E3658" s="6"/>
      <c r="F3658" s="6"/>
      <c r="G3658" s="2"/>
      <c r="H3658" s="3"/>
      <c r="I3658" s="22"/>
    </row>
    <row r="3659">
      <c r="A3659" s="24"/>
      <c r="B3659" s="6"/>
      <c r="C3659" s="7"/>
      <c r="D3659" s="6"/>
      <c r="E3659" s="6"/>
      <c r="F3659" s="6"/>
      <c r="G3659" s="2"/>
      <c r="H3659" s="3"/>
      <c r="I3659" s="22"/>
    </row>
    <row r="3660">
      <c r="A3660" s="24"/>
      <c r="B3660" s="6"/>
      <c r="C3660" s="7"/>
      <c r="D3660" s="6"/>
      <c r="E3660" s="6"/>
      <c r="F3660" s="6"/>
      <c r="G3660" s="2"/>
      <c r="H3660" s="3"/>
      <c r="I3660" s="22"/>
    </row>
    <row r="3661">
      <c r="A3661" s="24"/>
      <c r="B3661" s="6"/>
      <c r="C3661" s="7"/>
      <c r="D3661" s="6"/>
      <c r="E3661" s="6"/>
      <c r="F3661" s="6"/>
      <c r="G3661" s="2"/>
      <c r="H3661" s="3"/>
      <c r="I3661" s="22"/>
    </row>
    <row r="3662">
      <c r="A3662" s="24"/>
      <c r="B3662" s="6"/>
      <c r="C3662" s="7"/>
      <c r="D3662" s="6"/>
      <c r="E3662" s="6"/>
      <c r="F3662" s="6"/>
      <c r="G3662" s="2"/>
      <c r="H3662" s="3"/>
      <c r="I3662" s="22"/>
    </row>
    <row r="3663">
      <c r="A3663" s="24"/>
      <c r="B3663" s="6"/>
      <c r="C3663" s="7"/>
      <c r="D3663" s="6"/>
      <c r="E3663" s="6"/>
      <c r="F3663" s="6"/>
      <c r="G3663" s="2"/>
      <c r="H3663" s="3"/>
      <c r="I3663" s="22"/>
    </row>
    <row r="3664">
      <c r="A3664" s="24"/>
      <c r="B3664" s="6"/>
      <c r="C3664" s="7"/>
      <c r="D3664" s="6"/>
      <c r="E3664" s="6"/>
      <c r="F3664" s="6"/>
      <c r="G3664" s="2"/>
      <c r="H3664" s="3"/>
      <c r="I3664" s="22"/>
    </row>
    <row r="3665">
      <c r="A3665" s="24"/>
      <c r="B3665" s="6"/>
      <c r="C3665" s="7"/>
      <c r="D3665" s="6"/>
      <c r="E3665" s="6"/>
      <c r="F3665" s="6"/>
      <c r="G3665" s="2"/>
      <c r="H3665" s="3"/>
      <c r="I3665" s="22"/>
    </row>
    <row r="3666">
      <c r="A3666" s="24"/>
      <c r="B3666" s="6"/>
      <c r="C3666" s="7"/>
      <c r="D3666" s="6"/>
      <c r="E3666" s="6"/>
      <c r="F3666" s="6"/>
      <c r="G3666" s="2"/>
      <c r="H3666" s="3"/>
      <c r="I3666" s="22"/>
    </row>
    <row r="3667">
      <c r="A3667" s="24"/>
      <c r="B3667" s="6"/>
      <c r="C3667" s="7"/>
      <c r="D3667" s="6"/>
      <c r="E3667" s="6"/>
      <c r="F3667" s="6"/>
      <c r="G3667" s="2"/>
      <c r="H3667" s="3"/>
      <c r="I3667" s="22"/>
    </row>
    <row r="3668">
      <c r="A3668" s="24"/>
      <c r="B3668" s="6"/>
      <c r="C3668" s="7"/>
      <c r="D3668" s="6"/>
      <c r="E3668" s="6"/>
      <c r="F3668" s="6"/>
      <c r="G3668" s="2"/>
      <c r="H3668" s="3"/>
      <c r="I3668" s="22"/>
    </row>
    <row r="3669">
      <c r="A3669" s="24"/>
      <c r="B3669" s="6"/>
      <c r="C3669" s="7"/>
      <c r="D3669" s="6"/>
      <c r="E3669" s="6"/>
      <c r="F3669" s="6"/>
      <c r="G3669" s="2"/>
      <c r="H3669" s="3"/>
      <c r="I3669" s="22"/>
    </row>
    <row r="3670">
      <c r="A3670" s="24"/>
      <c r="B3670" s="6"/>
      <c r="C3670" s="7"/>
      <c r="D3670" s="6"/>
      <c r="E3670" s="6"/>
      <c r="F3670" s="6"/>
      <c r="G3670" s="2"/>
      <c r="H3670" s="3"/>
      <c r="I3670" s="22"/>
    </row>
    <row r="3671">
      <c r="A3671" s="24"/>
      <c r="B3671" s="6"/>
      <c r="C3671" s="7"/>
      <c r="D3671" s="6"/>
      <c r="E3671" s="6"/>
      <c r="F3671" s="6"/>
      <c r="G3671" s="2"/>
      <c r="H3671" s="3"/>
      <c r="I3671" s="22"/>
    </row>
    <row r="3672">
      <c r="A3672" s="24"/>
      <c r="B3672" s="6"/>
      <c r="C3672" s="7"/>
      <c r="D3672" s="6"/>
      <c r="E3672" s="6"/>
      <c r="F3672" s="6"/>
      <c r="G3672" s="2"/>
      <c r="H3672" s="3"/>
      <c r="I3672" s="22"/>
    </row>
    <row r="3673">
      <c r="A3673" s="24"/>
      <c r="B3673" s="6"/>
      <c r="C3673" s="7"/>
      <c r="D3673" s="6"/>
      <c r="E3673" s="6"/>
      <c r="F3673" s="6"/>
      <c r="G3673" s="2"/>
      <c r="H3673" s="3"/>
      <c r="I3673" s="22"/>
    </row>
    <row r="3674">
      <c r="A3674" s="24"/>
      <c r="B3674" s="6"/>
      <c r="C3674" s="7"/>
      <c r="D3674" s="6"/>
      <c r="E3674" s="6"/>
      <c r="F3674" s="6"/>
      <c r="G3674" s="2"/>
      <c r="H3674" s="3"/>
      <c r="I3674" s="22"/>
    </row>
    <row r="3675">
      <c r="A3675" s="24"/>
      <c r="B3675" s="6"/>
      <c r="C3675" s="7"/>
      <c r="D3675" s="6"/>
      <c r="E3675" s="6"/>
      <c r="F3675" s="6"/>
      <c r="G3675" s="2"/>
      <c r="H3675" s="3"/>
      <c r="I3675" s="22"/>
    </row>
    <row r="3676">
      <c r="A3676" s="24"/>
      <c r="B3676" s="6"/>
      <c r="C3676" s="7"/>
      <c r="D3676" s="6"/>
      <c r="E3676" s="6"/>
      <c r="F3676" s="6"/>
      <c r="G3676" s="2"/>
      <c r="H3676" s="3"/>
      <c r="I3676" s="22"/>
    </row>
    <row r="3677">
      <c r="A3677" s="24"/>
      <c r="B3677" s="6"/>
      <c r="C3677" s="7"/>
      <c r="D3677" s="6"/>
      <c r="E3677" s="6"/>
      <c r="F3677" s="6"/>
      <c r="G3677" s="2"/>
      <c r="H3677" s="3"/>
      <c r="I3677" s="22"/>
    </row>
    <row r="3678">
      <c r="A3678" s="24"/>
      <c r="B3678" s="6"/>
      <c r="C3678" s="7"/>
      <c r="D3678" s="6"/>
      <c r="E3678" s="6"/>
      <c r="F3678" s="6"/>
      <c r="G3678" s="2"/>
      <c r="H3678" s="3"/>
      <c r="I3678" s="22"/>
    </row>
    <row r="3679">
      <c r="A3679" s="24"/>
      <c r="B3679" s="6"/>
      <c r="C3679" s="7"/>
      <c r="D3679" s="6"/>
      <c r="E3679" s="6"/>
      <c r="F3679" s="6"/>
      <c r="G3679" s="2"/>
      <c r="H3679" s="3"/>
      <c r="I3679" s="22"/>
    </row>
    <row r="3680">
      <c r="A3680" s="24"/>
      <c r="B3680" s="6"/>
      <c r="C3680" s="7"/>
      <c r="D3680" s="6"/>
      <c r="E3680" s="6"/>
      <c r="F3680" s="6"/>
      <c r="G3680" s="2"/>
      <c r="H3680" s="3"/>
      <c r="I3680" s="22"/>
    </row>
    <row r="3681">
      <c r="A3681" s="24"/>
      <c r="B3681" s="6"/>
      <c r="C3681" s="7"/>
      <c r="D3681" s="6"/>
      <c r="E3681" s="6"/>
      <c r="F3681" s="6"/>
      <c r="G3681" s="2"/>
      <c r="H3681" s="3"/>
      <c r="I3681" s="22"/>
    </row>
    <row r="3682">
      <c r="A3682" s="24"/>
      <c r="B3682" s="6"/>
      <c r="C3682" s="7"/>
      <c r="D3682" s="6"/>
      <c r="E3682" s="6"/>
      <c r="F3682" s="6"/>
      <c r="G3682" s="2"/>
      <c r="H3682" s="3"/>
      <c r="I3682" s="22"/>
    </row>
    <row r="3683">
      <c r="A3683" s="24"/>
      <c r="B3683" s="6"/>
      <c r="C3683" s="7"/>
      <c r="D3683" s="6"/>
      <c r="E3683" s="6"/>
      <c r="F3683" s="6"/>
      <c r="G3683" s="2"/>
      <c r="H3683" s="3"/>
      <c r="I3683" s="22"/>
    </row>
    <row r="3684">
      <c r="A3684" s="24"/>
      <c r="B3684" s="6"/>
      <c r="C3684" s="7"/>
      <c r="D3684" s="6"/>
      <c r="E3684" s="6"/>
      <c r="F3684" s="6"/>
      <c r="G3684" s="2"/>
      <c r="H3684" s="3"/>
      <c r="I3684" s="22"/>
    </row>
    <row r="3685">
      <c r="A3685" s="24"/>
      <c r="B3685" s="6"/>
      <c r="C3685" s="7"/>
      <c r="D3685" s="6"/>
      <c r="E3685" s="6"/>
      <c r="F3685" s="6"/>
      <c r="G3685" s="2"/>
      <c r="H3685" s="3"/>
      <c r="I3685" s="22"/>
    </row>
    <row r="3686">
      <c r="A3686" s="24"/>
      <c r="B3686" s="6"/>
      <c r="C3686" s="7"/>
      <c r="D3686" s="6"/>
      <c r="E3686" s="6"/>
      <c r="F3686" s="6"/>
      <c r="G3686" s="2"/>
      <c r="H3686" s="3"/>
      <c r="I3686" s="22"/>
    </row>
  </sheetData>
  <autoFilter ref="$A$1:$AF$3246">
    <sortState ref="A1:AF3246">
      <sortCondition ref="A1:A3246"/>
      <sortCondition descending="1" ref="G1:G3246"/>
    </sortState>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17.13"/>
    <col customWidth="1" min="6" max="6" width="75.5"/>
  </cols>
  <sheetData>
    <row r="1">
      <c r="A1" s="1" t="s">
        <v>0</v>
      </c>
      <c r="B1" s="1" t="s">
        <v>1</v>
      </c>
      <c r="C1" s="1" t="s">
        <v>2</v>
      </c>
      <c r="D1" s="1" t="s">
        <v>4</v>
      </c>
      <c r="E1" s="2" t="s">
        <v>6</v>
      </c>
      <c r="F1" s="4" t="s">
        <v>8</v>
      </c>
    </row>
    <row r="2">
      <c r="A2" s="5" t="s">
        <v>3166</v>
      </c>
      <c r="B2" s="6">
        <v>6.0</v>
      </c>
      <c r="C2" s="7">
        <v>150.0</v>
      </c>
      <c r="D2" s="6" t="s">
        <v>3167</v>
      </c>
      <c r="E2" s="8">
        <v>5.0</v>
      </c>
      <c r="F2" s="10" t="s">
        <v>9</v>
      </c>
    </row>
    <row r="3">
      <c r="A3" s="5" t="s">
        <v>3168</v>
      </c>
      <c r="B3" s="6">
        <v>1.0</v>
      </c>
      <c r="C3" s="7">
        <v>51.0</v>
      </c>
      <c r="D3" s="6" t="s">
        <v>3169</v>
      </c>
      <c r="E3" s="8">
        <v>5.0</v>
      </c>
      <c r="F3" s="10" t="s">
        <v>10</v>
      </c>
    </row>
    <row r="4">
      <c r="A4" s="5" t="s">
        <v>3170</v>
      </c>
      <c r="B4" s="6">
        <v>1.0</v>
      </c>
      <c r="C4" s="7">
        <v>72.0</v>
      </c>
      <c r="D4" s="6" t="s">
        <v>3171</v>
      </c>
      <c r="E4" s="8">
        <v>5.0</v>
      </c>
      <c r="F4" s="10" t="s">
        <v>11</v>
      </c>
    </row>
    <row r="5">
      <c r="A5" s="5" t="s">
        <v>3172</v>
      </c>
      <c r="B5" s="6">
        <v>1.0</v>
      </c>
      <c r="C5" s="7">
        <v>73.0</v>
      </c>
      <c r="D5" s="6" t="s">
        <v>3173</v>
      </c>
      <c r="E5" s="8">
        <v>5.0</v>
      </c>
      <c r="F5" s="10" t="s">
        <v>12</v>
      </c>
    </row>
    <row r="6">
      <c r="A6" s="5" t="s">
        <v>3174</v>
      </c>
      <c r="B6" s="6">
        <v>1.0</v>
      </c>
      <c r="C6" s="7">
        <v>184.0</v>
      </c>
      <c r="D6" s="6" t="s">
        <v>3169</v>
      </c>
      <c r="E6" s="8">
        <v>5.0</v>
      </c>
      <c r="F6" s="10" t="s">
        <v>13</v>
      </c>
    </row>
    <row r="7">
      <c r="A7" s="5" t="s">
        <v>3175</v>
      </c>
      <c r="B7" s="6">
        <v>5.0</v>
      </c>
      <c r="C7" s="7">
        <v>71.0</v>
      </c>
      <c r="D7" s="6" t="s">
        <v>3176</v>
      </c>
      <c r="E7" s="8">
        <v>5.0</v>
      </c>
      <c r="F7" s="10" t="s">
        <v>14</v>
      </c>
    </row>
    <row r="8">
      <c r="A8" s="5" t="s">
        <v>3177</v>
      </c>
      <c r="B8" s="6">
        <v>5.0</v>
      </c>
      <c r="C8" s="7">
        <v>102.0</v>
      </c>
      <c r="D8" s="6" t="s">
        <v>3178</v>
      </c>
      <c r="E8" s="8">
        <v>5.0</v>
      </c>
      <c r="F8" s="10" t="s">
        <v>15</v>
      </c>
    </row>
    <row r="9">
      <c r="A9" s="5" t="s">
        <v>3179</v>
      </c>
      <c r="B9" s="6">
        <v>1.0</v>
      </c>
      <c r="C9" s="7">
        <v>7.0</v>
      </c>
      <c r="D9" s="6" t="s">
        <v>3180</v>
      </c>
      <c r="E9" s="8">
        <v>5.0</v>
      </c>
      <c r="F9" s="10" t="s">
        <v>16</v>
      </c>
    </row>
    <row r="10">
      <c r="A10" s="5" t="s">
        <v>3181</v>
      </c>
      <c r="B10" s="6">
        <v>1.0</v>
      </c>
      <c r="C10" s="7">
        <v>183.0</v>
      </c>
      <c r="D10" s="6" t="s">
        <v>3182</v>
      </c>
      <c r="E10" s="8">
        <v>5.0</v>
      </c>
      <c r="F10" s="10" t="s">
        <v>17</v>
      </c>
    </row>
    <row r="11">
      <c r="A11" s="5" t="s">
        <v>3183</v>
      </c>
      <c r="B11" s="6">
        <v>6.0</v>
      </c>
      <c r="C11" s="7">
        <v>143.0</v>
      </c>
      <c r="D11" s="6" t="s">
        <v>3176</v>
      </c>
      <c r="E11" s="8">
        <v>5.0</v>
      </c>
      <c r="F11" s="10" t="s">
        <v>18</v>
      </c>
      <c r="I11" s="25" t="s">
        <v>3184</v>
      </c>
    </row>
    <row r="12">
      <c r="A12" s="5" t="s">
        <v>3185</v>
      </c>
      <c r="B12" s="6">
        <v>1.0</v>
      </c>
      <c r="C12" s="7">
        <v>56.0</v>
      </c>
      <c r="D12" s="6" t="s">
        <v>3186</v>
      </c>
      <c r="E12" s="8">
        <v>5.0</v>
      </c>
      <c r="F12" s="10" t="s">
        <v>19</v>
      </c>
    </row>
    <row r="13">
      <c r="A13" s="5" t="s">
        <v>3187</v>
      </c>
      <c r="B13" s="6">
        <v>4.0</v>
      </c>
      <c r="C13" s="7">
        <v>28.0</v>
      </c>
      <c r="D13" s="6" t="s">
        <v>3188</v>
      </c>
      <c r="E13" s="8">
        <v>5.0</v>
      </c>
      <c r="F13" s="10" t="s">
        <v>20</v>
      </c>
    </row>
    <row r="14">
      <c r="A14" s="5" t="s">
        <v>3189</v>
      </c>
      <c r="B14" s="6">
        <v>6.0</v>
      </c>
      <c r="C14" s="7">
        <v>96.0</v>
      </c>
      <c r="D14" s="6" t="s">
        <v>3190</v>
      </c>
      <c r="E14" s="8">
        <v>5.0</v>
      </c>
      <c r="F14" s="10" t="s">
        <v>21</v>
      </c>
    </row>
    <row r="15">
      <c r="A15" s="5" t="s">
        <v>3191</v>
      </c>
      <c r="B15" s="6">
        <v>5.0</v>
      </c>
      <c r="C15" s="7">
        <v>123.0</v>
      </c>
      <c r="D15" s="6" t="s">
        <v>3192</v>
      </c>
      <c r="E15" s="8">
        <v>5.0</v>
      </c>
      <c r="F15" s="10" t="s">
        <v>22</v>
      </c>
    </row>
    <row r="16">
      <c r="A16" s="5" t="s">
        <v>3193</v>
      </c>
      <c r="B16" s="6">
        <v>5.0</v>
      </c>
      <c r="C16" s="7">
        <v>168.0</v>
      </c>
      <c r="D16" s="6" t="s">
        <v>3194</v>
      </c>
      <c r="E16" s="8">
        <v>4.0</v>
      </c>
      <c r="F16" s="10" t="s">
        <v>23</v>
      </c>
    </row>
    <row r="17">
      <c r="A17" s="5" t="s">
        <v>3195</v>
      </c>
      <c r="B17" s="6">
        <v>4.0</v>
      </c>
      <c r="C17" s="7">
        <v>165.0</v>
      </c>
      <c r="D17" s="6" t="s">
        <v>3196</v>
      </c>
      <c r="E17" s="8">
        <v>4.0</v>
      </c>
      <c r="F17" s="10" t="s">
        <v>24</v>
      </c>
    </row>
    <row r="18">
      <c r="A18" s="5" t="s">
        <v>3197</v>
      </c>
      <c r="B18" s="6">
        <v>1.0</v>
      </c>
      <c r="C18" s="7">
        <v>108.0</v>
      </c>
      <c r="D18" s="6" t="s">
        <v>3198</v>
      </c>
      <c r="E18" s="8">
        <v>4.0</v>
      </c>
      <c r="F18" s="10" t="s">
        <v>25</v>
      </c>
    </row>
    <row r="19">
      <c r="A19" s="5" t="s">
        <v>3199</v>
      </c>
      <c r="B19" s="6">
        <v>3.0</v>
      </c>
      <c r="C19" s="7">
        <v>3.0</v>
      </c>
      <c r="D19" s="6" t="s">
        <v>3200</v>
      </c>
      <c r="E19" s="8">
        <v>4.0</v>
      </c>
      <c r="F19" s="10" t="s">
        <v>26</v>
      </c>
    </row>
    <row r="20">
      <c r="A20" s="5" t="s">
        <v>3201</v>
      </c>
      <c r="B20" s="6">
        <v>5.0</v>
      </c>
      <c r="C20" s="7">
        <v>14.0</v>
      </c>
      <c r="D20" s="6" t="s">
        <v>3196</v>
      </c>
      <c r="E20" s="8">
        <v>4.0</v>
      </c>
      <c r="F20" s="10" t="s">
        <v>27</v>
      </c>
    </row>
    <row r="21">
      <c r="A21" s="5" t="s">
        <v>3189</v>
      </c>
      <c r="B21" s="6">
        <v>6.0</v>
      </c>
      <c r="C21" s="7">
        <v>173.0</v>
      </c>
      <c r="D21" s="6" t="s">
        <v>3167</v>
      </c>
      <c r="E21" s="8">
        <v>4.0</v>
      </c>
      <c r="F21" s="10" t="s">
        <v>28</v>
      </c>
    </row>
    <row r="22">
      <c r="A22" s="5" t="s">
        <v>3202</v>
      </c>
      <c r="B22" s="6">
        <v>4.0</v>
      </c>
      <c r="C22" s="7">
        <v>83.0</v>
      </c>
      <c r="D22" s="6" t="s">
        <v>3203</v>
      </c>
      <c r="E22" s="8">
        <v>4.0</v>
      </c>
      <c r="F22" s="10" t="s">
        <v>29</v>
      </c>
    </row>
    <row r="23">
      <c r="A23" s="5" t="s">
        <v>3204</v>
      </c>
      <c r="B23" s="6">
        <v>1.0</v>
      </c>
      <c r="C23" s="7">
        <v>32.0</v>
      </c>
      <c r="D23" s="6" t="s">
        <v>3173</v>
      </c>
      <c r="E23" s="8">
        <v>3.0</v>
      </c>
      <c r="F23" s="10" t="s">
        <v>30</v>
      </c>
    </row>
    <row r="24">
      <c r="A24" s="5" t="s">
        <v>3205</v>
      </c>
      <c r="B24" s="6">
        <v>1.0</v>
      </c>
      <c r="C24" s="7">
        <v>99.0</v>
      </c>
      <c r="D24" s="6" t="s">
        <v>3200</v>
      </c>
      <c r="E24" s="8">
        <v>3.0</v>
      </c>
      <c r="F24" s="10" t="s">
        <v>31</v>
      </c>
    </row>
    <row r="25">
      <c r="A25" s="5" t="s">
        <v>3206</v>
      </c>
      <c r="B25" s="6">
        <v>6.0</v>
      </c>
      <c r="C25" s="7">
        <v>113.0</v>
      </c>
      <c r="D25" s="6" t="s">
        <v>3207</v>
      </c>
      <c r="E25" s="8">
        <v>3.0</v>
      </c>
      <c r="F25" s="10" t="s">
        <v>32</v>
      </c>
    </row>
    <row r="26">
      <c r="A26" s="5" t="s">
        <v>3208</v>
      </c>
      <c r="B26" s="6">
        <v>4.0</v>
      </c>
      <c r="C26" s="7">
        <v>97.0</v>
      </c>
      <c r="D26" s="6" t="s">
        <v>3194</v>
      </c>
      <c r="E26" s="8">
        <v>3.0</v>
      </c>
      <c r="F26" s="10" t="s">
        <v>33</v>
      </c>
    </row>
    <row r="27">
      <c r="A27" s="5" t="s">
        <v>3209</v>
      </c>
      <c r="B27" s="6">
        <v>4.0</v>
      </c>
      <c r="C27" s="7">
        <v>32.0</v>
      </c>
      <c r="D27" s="6" t="s">
        <v>3173</v>
      </c>
      <c r="E27" s="8">
        <v>3.0</v>
      </c>
      <c r="F27" s="10" t="s">
        <v>34</v>
      </c>
    </row>
    <row r="28">
      <c r="A28" s="5" t="s">
        <v>3210</v>
      </c>
      <c r="B28" s="6">
        <v>1.0</v>
      </c>
      <c r="C28" s="7">
        <v>82.0</v>
      </c>
      <c r="D28" s="6" t="s">
        <v>3190</v>
      </c>
      <c r="E28" s="8">
        <v>2.0</v>
      </c>
      <c r="F28" s="10" t="s">
        <v>35</v>
      </c>
    </row>
    <row r="29">
      <c r="A29" s="5" t="s">
        <v>3170</v>
      </c>
      <c r="B29" s="6">
        <v>1.0</v>
      </c>
      <c r="C29" s="7">
        <v>128.0</v>
      </c>
      <c r="D29" s="6" t="s">
        <v>3211</v>
      </c>
      <c r="E29" s="8">
        <v>2.0</v>
      </c>
      <c r="F29" s="10" t="s">
        <v>36</v>
      </c>
    </row>
    <row r="30">
      <c r="A30" s="5" t="s">
        <v>3212</v>
      </c>
      <c r="B30" s="6">
        <v>6.0</v>
      </c>
      <c r="C30" s="7">
        <v>16.0</v>
      </c>
      <c r="D30" s="6" t="s">
        <v>3178</v>
      </c>
      <c r="E30" s="8">
        <v>2.0</v>
      </c>
      <c r="F30" s="10" t="s">
        <v>37</v>
      </c>
    </row>
    <row r="31">
      <c r="A31" s="5" t="s">
        <v>3213</v>
      </c>
      <c r="B31" s="6">
        <v>2.0</v>
      </c>
      <c r="C31" s="7">
        <v>179.0</v>
      </c>
      <c r="D31" s="6" t="s">
        <v>3214</v>
      </c>
      <c r="E31" s="8">
        <v>2.0</v>
      </c>
      <c r="F31" s="10" t="s">
        <v>38</v>
      </c>
    </row>
    <row r="32">
      <c r="A32" s="5" t="s">
        <v>3187</v>
      </c>
      <c r="B32" s="6">
        <v>4.0</v>
      </c>
      <c r="C32" s="7">
        <v>92.0</v>
      </c>
      <c r="D32" s="6" t="s">
        <v>3215</v>
      </c>
      <c r="E32" s="8">
        <v>2.0</v>
      </c>
      <c r="F32" s="10" t="s">
        <v>39</v>
      </c>
    </row>
    <row r="33">
      <c r="A33" s="5" t="s">
        <v>3216</v>
      </c>
      <c r="B33" s="6">
        <v>6.0</v>
      </c>
      <c r="C33" s="7">
        <v>85.0</v>
      </c>
      <c r="D33" s="6" t="s">
        <v>3192</v>
      </c>
      <c r="E33" s="8">
        <v>2.0</v>
      </c>
      <c r="F33" s="10" t="s">
        <v>40</v>
      </c>
    </row>
    <row r="34">
      <c r="A34" s="5" t="s">
        <v>3217</v>
      </c>
      <c r="B34" s="6">
        <v>5.0</v>
      </c>
      <c r="C34" s="7">
        <v>174.0</v>
      </c>
      <c r="D34" s="6" t="s">
        <v>3188</v>
      </c>
      <c r="E34" s="8">
        <v>2.0</v>
      </c>
      <c r="F34" s="10" t="s">
        <v>41</v>
      </c>
    </row>
    <row r="35">
      <c r="A35" s="5" t="s">
        <v>3199</v>
      </c>
      <c r="B35" s="6">
        <v>3.0</v>
      </c>
      <c r="C35" s="7">
        <v>115.0</v>
      </c>
      <c r="D35" s="6" t="s">
        <v>3173</v>
      </c>
      <c r="E35" s="8">
        <v>2.0</v>
      </c>
      <c r="F35" s="10" t="s">
        <v>42</v>
      </c>
    </row>
    <row r="36">
      <c r="A36" s="5" t="s">
        <v>3218</v>
      </c>
      <c r="B36" s="6">
        <v>5.0</v>
      </c>
      <c r="C36" s="7">
        <v>23.0</v>
      </c>
      <c r="D36" s="6" t="s">
        <v>3219</v>
      </c>
      <c r="E36" s="8">
        <v>2.0</v>
      </c>
      <c r="F36" s="10" t="s">
        <v>43</v>
      </c>
    </row>
    <row r="37">
      <c r="A37" s="5" t="s">
        <v>3220</v>
      </c>
      <c r="B37" s="6">
        <v>6.0</v>
      </c>
      <c r="C37" s="7">
        <v>74.0</v>
      </c>
      <c r="D37" s="6" t="s">
        <v>3190</v>
      </c>
      <c r="E37" s="8">
        <v>1.0</v>
      </c>
      <c r="F37" s="10" t="s">
        <v>44</v>
      </c>
    </row>
    <row r="38">
      <c r="A38" s="5" t="s">
        <v>3217</v>
      </c>
      <c r="B38" s="6">
        <v>5.0</v>
      </c>
      <c r="C38" s="7">
        <v>157.0</v>
      </c>
      <c r="D38" s="6" t="s">
        <v>3219</v>
      </c>
      <c r="E38" s="8">
        <v>1.0</v>
      </c>
      <c r="F38" s="10" t="s">
        <v>45</v>
      </c>
    </row>
    <row r="39">
      <c r="A39" s="5" t="s">
        <v>3197</v>
      </c>
      <c r="B39" s="6">
        <v>1.0</v>
      </c>
      <c r="C39" s="7">
        <v>40.0</v>
      </c>
      <c r="D39" s="6" t="s">
        <v>3221</v>
      </c>
      <c r="E39" s="8">
        <v>1.0</v>
      </c>
      <c r="F39" s="10" t="s">
        <v>46</v>
      </c>
    </row>
    <row r="40">
      <c r="A40" s="5" t="s">
        <v>3179</v>
      </c>
      <c r="B40" s="6">
        <v>1.0</v>
      </c>
      <c r="C40" s="7">
        <v>128.0</v>
      </c>
      <c r="D40" s="6" t="s">
        <v>3211</v>
      </c>
      <c r="E40" s="8">
        <v>1.0</v>
      </c>
      <c r="F40" s="10" t="s">
        <v>47</v>
      </c>
    </row>
    <row r="41">
      <c r="A41" s="5" t="s">
        <v>3179</v>
      </c>
      <c r="B41" s="6">
        <v>1.0</v>
      </c>
      <c r="C41" s="7">
        <v>70.0</v>
      </c>
      <c r="D41" s="6" t="s">
        <v>3222</v>
      </c>
      <c r="E41" s="8">
        <v>1.0</v>
      </c>
      <c r="F41" s="10" t="s">
        <v>48</v>
      </c>
    </row>
    <row r="42">
      <c r="A42" s="5" t="s">
        <v>3223</v>
      </c>
      <c r="B42" s="6">
        <v>3.0</v>
      </c>
      <c r="C42" s="7">
        <v>121.0</v>
      </c>
      <c r="D42" s="6" t="s">
        <v>3173</v>
      </c>
      <c r="E42" s="8">
        <v>1.0</v>
      </c>
      <c r="F42" s="10" t="s">
        <v>49</v>
      </c>
    </row>
    <row r="43">
      <c r="A43" s="5" t="s">
        <v>3224</v>
      </c>
      <c r="B43" s="6">
        <v>6.0</v>
      </c>
      <c r="C43" s="7">
        <v>189.0</v>
      </c>
      <c r="D43" s="6" t="s">
        <v>3225</v>
      </c>
      <c r="E43" s="8">
        <v>1.0</v>
      </c>
      <c r="F43" s="10" t="s">
        <v>50</v>
      </c>
    </row>
    <row r="44">
      <c r="A44" s="5" t="s">
        <v>3212</v>
      </c>
      <c r="B44" s="6">
        <v>6.0</v>
      </c>
      <c r="C44" s="7">
        <v>183.0</v>
      </c>
      <c r="D44" s="6" t="s">
        <v>3182</v>
      </c>
      <c r="E44" s="8">
        <v>1.0</v>
      </c>
      <c r="F44" s="10" t="s">
        <v>51</v>
      </c>
    </row>
    <row r="45">
      <c r="A45" s="5" t="s">
        <v>3226</v>
      </c>
      <c r="B45" s="6">
        <v>1.0</v>
      </c>
      <c r="C45" s="7">
        <v>131.0</v>
      </c>
      <c r="D45" s="6" t="s">
        <v>3227</v>
      </c>
      <c r="E45" s="8">
        <v>1.0</v>
      </c>
      <c r="F45" s="10" t="s">
        <v>52</v>
      </c>
    </row>
    <row r="46">
      <c r="A46" s="5" t="s">
        <v>3228</v>
      </c>
      <c r="B46" s="6">
        <v>6.0</v>
      </c>
      <c r="C46" s="7">
        <v>138.0</v>
      </c>
      <c r="D46" s="6" t="s">
        <v>3219</v>
      </c>
      <c r="E46" s="8">
        <v>1.0</v>
      </c>
      <c r="F46" s="10" t="s">
        <v>53</v>
      </c>
    </row>
    <row r="47">
      <c r="A47" s="5" t="s">
        <v>3229</v>
      </c>
      <c r="B47" s="6">
        <v>4.0</v>
      </c>
      <c r="C47" s="7">
        <v>112.0</v>
      </c>
      <c r="D47" s="6" t="s">
        <v>3227</v>
      </c>
      <c r="E47" s="8">
        <v>1.0</v>
      </c>
      <c r="F47" s="10" t="s">
        <v>54</v>
      </c>
    </row>
    <row r="48">
      <c r="A48" s="5" t="s">
        <v>3229</v>
      </c>
      <c r="B48" s="6">
        <v>4.0</v>
      </c>
      <c r="C48" s="7">
        <v>21.0</v>
      </c>
      <c r="D48" s="6" t="s">
        <v>3200</v>
      </c>
      <c r="E48" s="8">
        <v>1.0</v>
      </c>
      <c r="F48" s="10" t="s">
        <v>55</v>
      </c>
    </row>
    <row r="49">
      <c r="A49" s="5" t="s">
        <v>3230</v>
      </c>
      <c r="B49" s="6">
        <v>1.0</v>
      </c>
      <c r="C49" s="7">
        <v>84.0</v>
      </c>
      <c r="D49" s="6" t="s">
        <v>3203</v>
      </c>
      <c r="E49" s="8">
        <v>1.0</v>
      </c>
      <c r="F49" s="10" t="s">
        <v>56</v>
      </c>
    </row>
    <row r="50">
      <c r="A50" s="5" t="s">
        <v>3231</v>
      </c>
      <c r="B50" s="6">
        <v>4.0</v>
      </c>
      <c r="C50" s="7">
        <v>176.0</v>
      </c>
      <c r="D50" s="6" t="s">
        <v>3232</v>
      </c>
      <c r="E50" s="8">
        <v>5.0</v>
      </c>
      <c r="F50" s="10" t="s">
        <v>57</v>
      </c>
    </row>
    <row r="51">
      <c r="A51" s="5" t="s">
        <v>3233</v>
      </c>
      <c r="B51" s="6">
        <v>6.0</v>
      </c>
      <c r="C51" s="7">
        <v>163.0</v>
      </c>
      <c r="D51" s="6" t="s">
        <v>3173</v>
      </c>
      <c r="E51" s="8">
        <v>5.0</v>
      </c>
      <c r="F51" s="10" t="s">
        <v>58</v>
      </c>
    </row>
    <row r="52">
      <c r="A52" s="5" t="s">
        <v>3218</v>
      </c>
      <c r="B52" s="6">
        <v>5.0</v>
      </c>
      <c r="C52" s="7">
        <v>100.0</v>
      </c>
      <c r="D52" s="6" t="s">
        <v>3196</v>
      </c>
      <c r="E52" s="8">
        <v>5.0</v>
      </c>
      <c r="F52" s="10" t="s">
        <v>59</v>
      </c>
    </row>
    <row r="53">
      <c r="A53" s="5" t="s">
        <v>3234</v>
      </c>
      <c r="B53" s="6">
        <v>6.0</v>
      </c>
      <c r="C53" s="7">
        <v>111.0</v>
      </c>
      <c r="D53" s="6" t="s">
        <v>3235</v>
      </c>
      <c r="E53" s="8">
        <v>5.0</v>
      </c>
      <c r="F53" s="10" t="s">
        <v>60</v>
      </c>
    </row>
    <row r="54">
      <c r="A54" s="5" t="s">
        <v>3236</v>
      </c>
      <c r="B54" s="6">
        <v>6.0</v>
      </c>
      <c r="C54" s="7">
        <v>120.0</v>
      </c>
      <c r="D54" s="6" t="s">
        <v>3171</v>
      </c>
      <c r="E54" s="8">
        <v>5.0</v>
      </c>
      <c r="F54" s="10" t="s">
        <v>61</v>
      </c>
    </row>
    <row r="55">
      <c r="A55" s="5" t="s">
        <v>3237</v>
      </c>
      <c r="B55" s="6">
        <v>2.0</v>
      </c>
      <c r="C55" s="7">
        <v>2.0</v>
      </c>
      <c r="D55" s="6" t="s">
        <v>3214</v>
      </c>
      <c r="E55" s="8">
        <v>5.0</v>
      </c>
      <c r="F55" s="10" t="s">
        <v>62</v>
      </c>
    </row>
    <row r="56">
      <c r="A56" s="5" t="s">
        <v>3179</v>
      </c>
      <c r="B56" s="6">
        <v>1.0</v>
      </c>
      <c r="C56" s="7">
        <v>43.0</v>
      </c>
      <c r="D56" s="6" t="s">
        <v>3214</v>
      </c>
      <c r="E56" s="8">
        <v>5.0</v>
      </c>
      <c r="F56" s="10" t="s">
        <v>63</v>
      </c>
    </row>
    <row r="57">
      <c r="A57" s="5" t="s">
        <v>3229</v>
      </c>
      <c r="B57" s="6">
        <v>4.0</v>
      </c>
      <c r="C57" s="7">
        <v>41.0</v>
      </c>
      <c r="D57" s="6" t="s">
        <v>3238</v>
      </c>
      <c r="E57" s="8">
        <v>5.0</v>
      </c>
      <c r="F57" s="10" t="s">
        <v>64</v>
      </c>
    </row>
    <row r="58">
      <c r="A58" s="5" t="s">
        <v>3231</v>
      </c>
      <c r="B58" s="6">
        <v>4.0</v>
      </c>
      <c r="C58" s="7">
        <v>72.0</v>
      </c>
      <c r="D58" s="6" t="s">
        <v>3171</v>
      </c>
      <c r="E58" s="8">
        <v>5.0</v>
      </c>
      <c r="F58" s="10" t="s">
        <v>65</v>
      </c>
    </row>
    <row r="59">
      <c r="A59" s="5" t="s">
        <v>3179</v>
      </c>
      <c r="B59" s="6">
        <v>1.0</v>
      </c>
      <c r="C59" s="7">
        <v>134.0</v>
      </c>
      <c r="D59" s="6" t="s">
        <v>3239</v>
      </c>
      <c r="E59" s="8">
        <v>5.0</v>
      </c>
      <c r="F59" s="10" t="s">
        <v>66</v>
      </c>
    </row>
    <row r="60">
      <c r="A60" s="5" t="s">
        <v>3240</v>
      </c>
      <c r="B60" s="6">
        <v>2.0</v>
      </c>
      <c r="C60" s="7">
        <v>12.0</v>
      </c>
      <c r="D60" s="6" t="s">
        <v>3225</v>
      </c>
      <c r="E60" s="8">
        <v>5.0</v>
      </c>
      <c r="F60" s="10" t="s">
        <v>67</v>
      </c>
    </row>
    <row r="61">
      <c r="A61" s="5" t="s">
        <v>3189</v>
      </c>
      <c r="B61" s="6">
        <v>6.0</v>
      </c>
      <c r="C61" s="7">
        <v>17.0</v>
      </c>
      <c r="D61" s="6" t="s">
        <v>3241</v>
      </c>
      <c r="E61" s="8">
        <v>5.0</v>
      </c>
      <c r="F61" s="10" t="s">
        <v>68</v>
      </c>
    </row>
    <row r="62">
      <c r="A62" s="5" t="s">
        <v>3242</v>
      </c>
      <c r="B62" s="6">
        <v>1.0</v>
      </c>
      <c r="C62" s="7">
        <v>59.0</v>
      </c>
      <c r="D62" s="6" t="s">
        <v>3227</v>
      </c>
      <c r="E62" s="8">
        <v>5.0</v>
      </c>
      <c r="F62" s="10" t="s">
        <v>69</v>
      </c>
    </row>
    <row r="63">
      <c r="A63" s="5" t="s">
        <v>3213</v>
      </c>
      <c r="B63" s="6">
        <v>2.0</v>
      </c>
      <c r="C63" s="7">
        <v>94.0</v>
      </c>
      <c r="D63" s="6" t="s">
        <v>3239</v>
      </c>
      <c r="E63" s="8">
        <v>5.0</v>
      </c>
      <c r="F63" s="10" t="s">
        <v>70</v>
      </c>
    </row>
    <row r="64">
      <c r="A64" s="5" t="s">
        <v>3243</v>
      </c>
      <c r="B64" s="6">
        <v>4.0</v>
      </c>
      <c r="C64" s="7">
        <v>3.0</v>
      </c>
      <c r="D64" s="6" t="s">
        <v>3200</v>
      </c>
      <c r="E64" s="8">
        <v>5.0</v>
      </c>
      <c r="F64" s="10" t="s">
        <v>71</v>
      </c>
    </row>
    <row r="65">
      <c r="A65" s="5" t="s">
        <v>3244</v>
      </c>
      <c r="B65" s="6">
        <v>1.0</v>
      </c>
      <c r="C65" s="7">
        <v>40.0</v>
      </c>
      <c r="D65" s="6" t="s">
        <v>3221</v>
      </c>
      <c r="E65" s="8">
        <v>5.0</v>
      </c>
      <c r="F65" s="10" t="s">
        <v>72</v>
      </c>
    </row>
    <row r="66">
      <c r="A66" s="5" t="s">
        <v>3170</v>
      </c>
      <c r="B66" s="6">
        <v>1.0</v>
      </c>
      <c r="C66" s="7">
        <v>13.0</v>
      </c>
      <c r="D66" s="6" t="s">
        <v>3245</v>
      </c>
      <c r="E66" s="8">
        <v>5.0</v>
      </c>
      <c r="F66" s="10" t="s">
        <v>73</v>
      </c>
    </row>
    <row r="67">
      <c r="A67" s="5" t="s">
        <v>3246</v>
      </c>
      <c r="B67" s="6">
        <v>4.0</v>
      </c>
      <c r="C67" s="7">
        <v>157.0</v>
      </c>
      <c r="D67" s="6" t="s">
        <v>3219</v>
      </c>
      <c r="E67" s="8">
        <v>5.0</v>
      </c>
      <c r="F67" s="10" t="s">
        <v>74</v>
      </c>
    </row>
    <row r="68">
      <c r="A68" s="5" t="s">
        <v>3185</v>
      </c>
      <c r="B68" s="6">
        <v>1.0</v>
      </c>
      <c r="C68" s="7">
        <v>185.0</v>
      </c>
      <c r="D68" s="6" t="s">
        <v>3173</v>
      </c>
      <c r="E68" s="8">
        <v>4.0</v>
      </c>
      <c r="F68" s="10" t="s">
        <v>75</v>
      </c>
    </row>
    <row r="69">
      <c r="A69" s="5" t="s">
        <v>3185</v>
      </c>
      <c r="B69" s="6">
        <v>1.0</v>
      </c>
      <c r="C69" s="7">
        <v>133.0</v>
      </c>
      <c r="D69" s="6" t="s">
        <v>3192</v>
      </c>
      <c r="E69" s="8">
        <v>4.0</v>
      </c>
      <c r="F69" s="10" t="s">
        <v>76</v>
      </c>
    </row>
    <row r="70">
      <c r="A70" s="5" t="s">
        <v>3247</v>
      </c>
      <c r="B70" s="6">
        <v>6.0</v>
      </c>
      <c r="C70" s="7">
        <v>146.0</v>
      </c>
      <c r="D70" s="6" t="s">
        <v>3200</v>
      </c>
      <c r="E70" s="8">
        <v>4.0</v>
      </c>
      <c r="F70" s="10" t="s">
        <v>77</v>
      </c>
    </row>
    <row r="71">
      <c r="A71" s="5" t="s">
        <v>3175</v>
      </c>
      <c r="B71" s="6">
        <v>5.0</v>
      </c>
      <c r="C71" s="7">
        <v>28.0</v>
      </c>
      <c r="D71" s="6" t="s">
        <v>3188</v>
      </c>
      <c r="E71" s="8">
        <v>4.0</v>
      </c>
      <c r="F71" s="10" t="s">
        <v>78</v>
      </c>
    </row>
    <row r="72">
      <c r="A72" s="5" t="s">
        <v>3168</v>
      </c>
      <c r="B72" s="6">
        <v>1.0</v>
      </c>
      <c r="C72" s="7">
        <v>112.0</v>
      </c>
      <c r="D72" s="6" t="s">
        <v>3227</v>
      </c>
      <c r="E72" s="8">
        <v>4.0</v>
      </c>
      <c r="F72" s="10" t="s">
        <v>79</v>
      </c>
    </row>
    <row r="73">
      <c r="A73" s="5" t="s">
        <v>3172</v>
      </c>
      <c r="B73" s="6">
        <v>1.0</v>
      </c>
      <c r="C73" s="7">
        <v>136.0</v>
      </c>
      <c r="D73" s="6" t="s">
        <v>3221</v>
      </c>
      <c r="E73" s="8">
        <v>3.0</v>
      </c>
      <c r="F73" s="10" t="s">
        <v>80</v>
      </c>
    </row>
    <row r="74">
      <c r="A74" s="5" t="s">
        <v>3205</v>
      </c>
      <c r="B74" s="6">
        <v>1.0</v>
      </c>
      <c r="C74" s="7">
        <v>21.0</v>
      </c>
      <c r="D74" s="6" t="s">
        <v>3200</v>
      </c>
      <c r="E74" s="8">
        <v>3.0</v>
      </c>
      <c r="F74" s="10" t="s">
        <v>81</v>
      </c>
    </row>
    <row r="75">
      <c r="A75" s="5" t="s">
        <v>3166</v>
      </c>
      <c r="B75" s="6">
        <v>6.0</v>
      </c>
      <c r="C75" s="7">
        <v>23.0</v>
      </c>
      <c r="D75" s="6" t="s">
        <v>3219</v>
      </c>
      <c r="E75" s="8">
        <v>3.0</v>
      </c>
      <c r="F75" s="10" t="s">
        <v>82</v>
      </c>
    </row>
    <row r="76">
      <c r="A76" s="5" t="s">
        <v>3174</v>
      </c>
      <c r="B76" s="6">
        <v>1.0</v>
      </c>
      <c r="C76" s="7">
        <v>18.0</v>
      </c>
      <c r="D76" s="6" t="s">
        <v>3225</v>
      </c>
      <c r="E76" s="8">
        <v>3.0</v>
      </c>
      <c r="F76" s="10" t="s">
        <v>83</v>
      </c>
    </row>
    <row r="77">
      <c r="A77" s="5" t="s">
        <v>3191</v>
      </c>
      <c r="B77" s="6">
        <v>5.0</v>
      </c>
      <c r="C77" s="7">
        <v>198.0</v>
      </c>
      <c r="D77" s="6" t="s">
        <v>3180</v>
      </c>
      <c r="E77" s="8">
        <v>3.0</v>
      </c>
      <c r="F77" s="10" t="s">
        <v>84</v>
      </c>
    </row>
    <row r="78">
      <c r="A78" s="5" t="s">
        <v>3240</v>
      </c>
      <c r="B78" s="6">
        <v>2.0</v>
      </c>
      <c r="C78" s="7">
        <v>43.0</v>
      </c>
      <c r="D78" s="6" t="s">
        <v>3214</v>
      </c>
      <c r="E78" s="8">
        <v>3.0</v>
      </c>
      <c r="F78" s="10" t="s">
        <v>85</v>
      </c>
    </row>
    <row r="79">
      <c r="A79" s="5" t="s">
        <v>3230</v>
      </c>
      <c r="B79" s="6">
        <v>1.0</v>
      </c>
      <c r="C79" s="7">
        <v>111.0</v>
      </c>
      <c r="D79" s="6" t="s">
        <v>3235</v>
      </c>
      <c r="E79" s="8">
        <v>3.0</v>
      </c>
      <c r="F79" s="10" t="s">
        <v>86</v>
      </c>
    </row>
    <row r="80">
      <c r="A80" s="5" t="s">
        <v>3177</v>
      </c>
      <c r="B80" s="6">
        <v>5.0</v>
      </c>
      <c r="C80" s="7">
        <v>19.0</v>
      </c>
      <c r="D80" s="6" t="s">
        <v>3169</v>
      </c>
      <c r="E80" s="8">
        <v>2.0</v>
      </c>
      <c r="F80" s="10" t="s">
        <v>87</v>
      </c>
    </row>
    <row r="81">
      <c r="A81" s="5" t="s">
        <v>3191</v>
      </c>
      <c r="B81" s="6">
        <v>5.0</v>
      </c>
      <c r="C81" s="7">
        <v>95.0</v>
      </c>
      <c r="D81" s="6" t="s">
        <v>3227</v>
      </c>
      <c r="E81" s="8">
        <v>2.0</v>
      </c>
      <c r="F81" s="10" t="s">
        <v>88</v>
      </c>
    </row>
    <row r="82">
      <c r="A82" s="5" t="s">
        <v>3212</v>
      </c>
      <c r="B82" s="6">
        <v>6.0</v>
      </c>
      <c r="C82" s="7">
        <v>158.0</v>
      </c>
      <c r="D82" s="6" t="s">
        <v>3235</v>
      </c>
      <c r="E82" s="8">
        <v>2.0</v>
      </c>
      <c r="F82" s="10" t="s">
        <v>89</v>
      </c>
    </row>
    <row r="83">
      <c r="A83" s="5" t="s">
        <v>3240</v>
      </c>
      <c r="B83" s="6">
        <v>2.0</v>
      </c>
      <c r="C83" s="7">
        <v>178.0</v>
      </c>
      <c r="D83" s="6" t="s">
        <v>3190</v>
      </c>
      <c r="E83" s="8">
        <v>2.0</v>
      </c>
      <c r="F83" s="10" t="s">
        <v>90</v>
      </c>
    </row>
    <row r="84">
      <c r="A84" s="5" t="s">
        <v>3199</v>
      </c>
      <c r="B84" s="6">
        <v>3.0</v>
      </c>
      <c r="C84" s="7">
        <v>117.0</v>
      </c>
      <c r="D84" s="6" t="s">
        <v>3225</v>
      </c>
      <c r="E84" s="8">
        <v>2.0</v>
      </c>
      <c r="F84" s="10" t="s">
        <v>91</v>
      </c>
    </row>
    <row r="85">
      <c r="A85" s="5" t="s">
        <v>3242</v>
      </c>
      <c r="B85" s="6">
        <v>1.0</v>
      </c>
      <c r="C85" s="7">
        <v>191.0</v>
      </c>
      <c r="D85" s="6" t="s">
        <v>3221</v>
      </c>
      <c r="E85" s="8">
        <v>2.0</v>
      </c>
      <c r="F85" s="10" t="s">
        <v>92</v>
      </c>
    </row>
    <row r="86">
      <c r="A86" s="5" t="s">
        <v>3248</v>
      </c>
      <c r="B86" s="6">
        <v>3.0</v>
      </c>
      <c r="C86" s="7">
        <v>78.0</v>
      </c>
      <c r="D86" s="6" t="s">
        <v>3176</v>
      </c>
      <c r="E86" s="8">
        <v>2.0</v>
      </c>
      <c r="F86" s="10" t="s">
        <v>93</v>
      </c>
    </row>
    <row r="87">
      <c r="A87" s="5" t="s">
        <v>3175</v>
      </c>
      <c r="B87" s="6">
        <v>5.0</v>
      </c>
      <c r="C87" s="7">
        <v>193.0</v>
      </c>
      <c r="D87" s="6" t="s">
        <v>3249</v>
      </c>
      <c r="E87" s="8">
        <v>2.0</v>
      </c>
      <c r="F87" s="10" t="s">
        <v>94</v>
      </c>
    </row>
    <row r="88">
      <c r="A88" s="5" t="s">
        <v>3177</v>
      </c>
      <c r="B88" s="6">
        <v>5.0</v>
      </c>
      <c r="C88" s="7">
        <v>50.0</v>
      </c>
      <c r="D88" s="6" t="s">
        <v>3238</v>
      </c>
      <c r="E88" s="8">
        <v>1.0</v>
      </c>
      <c r="F88" s="10" t="s">
        <v>95</v>
      </c>
    </row>
    <row r="89">
      <c r="A89" s="5" t="s">
        <v>3187</v>
      </c>
      <c r="B89" s="6">
        <v>4.0</v>
      </c>
      <c r="C89" s="7">
        <v>113.0</v>
      </c>
      <c r="D89" s="6" t="s">
        <v>3207</v>
      </c>
      <c r="E89" s="8">
        <v>1.0</v>
      </c>
      <c r="F89" s="10" t="s">
        <v>96</v>
      </c>
    </row>
    <row r="90">
      <c r="A90" s="5" t="s">
        <v>3170</v>
      </c>
      <c r="B90" s="6">
        <v>1.0</v>
      </c>
      <c r="C90" s="7">
        <v>169.0</v>
      </c>
      <c r="D90" s="6" t="s">
        <v>3200</v>
      </c>
      <c r="E90" s="8">
        <v>1.0</v>
      </c>
      <c r="F90" s="10" t="s">
        <v>97</v>
      </c>
    </row>
    <row r="91">
      <c r="A91" s="5" t="s">
        <v>3170</v>
      </c>
      <c r="B91" s="6">
        <v>1.0</v>
      </c>
      <c r="C91" s="7">
        <v>159.0</v>
      </c>
      <c r="D91" s="6" t="s">
        <v>3188</v>
      </c>
      <c r="E91" s="8">
        <v>1.0</v>
      </c>
      <c r="F91" s="10" t="s">
        <v>98</v>
      </c>
    </row>
    <row r="92">
      <c r="A92" s="5" t="s">
        <v>3231</v>
      </c>
      <c r="B92" s="6">
        <v>4.0</v>
      </c>
      <c r="C92" s="7">
        <v>12.0</v>
      </c>
      <c r="D92" s="6" t="s">
        <v>3225</v>
      </c>
      <c r="E92" s="8">
        <v>1.0</v>
      </c>
      <c r="F92" s="10" t="s">
        <v>99</v>
      </c>
    </row>
    <row r="93">
      <c r="A93" s="5" t="s">
        <v>3185</v>
      </c>
      <c r="B93" s="6">
        <v>1.0</v>
      </c>
      <c r="C93" s="7">
        <v>132.0</v>
      </c>
      <c r="D93" s="6" t="s">
        <v>3186</v>
      </c>
      <c r="E93" s="8">
        <v>1.0</v>
      </c>
      <c r="F93" s="10" t="s">
        <v>100</v>
      </c>
    </row>
    <row r="94">
      <c r="A94" s="5" t="s">
        <v>3250</v>
      </c>
      <c r="B94" s="6">
        <v>4.0</v>
      </c>
      <c r="C94" s="7">
        <v>128.0</v>
      </c>
      <c r="D94" s="6" t="s">
        <v>3211</v>
      </c>
      <c r="E94" s="8">
        <v>1.0</v>
      </c>
      <c r="F94" s="10" t="s">
        <v>101</v>
      </c>
    </row>
    <row r="95">
      <c r="A95" s="5" t="s">
        <v>3217</v>
      </c>
      <c r="B95" s="6">
        <v>5.0</v>
      </c>
      <c r="C95" s="7">
        <v>20.0</v>
      </c>
      <c r="D95" s="6" t="s">
        <v>3173</v>
      </c>
      <c r="E95" s="8">
        <v>1.0</v>
      </c>
      <c r="F95" s="10" t="s">
        <v>102</v>
      </c>
    </row>
    <row r="96">
      <c r="A96" s="5" t="s">
        <v>3251</v>
      </c>
      <c r="B96" s="6">
        <v>6.0</v>
      </c>
      <c r="C96" s="7">
        <v>122.0</v>
      </c>
      <c r="D96" s="6" t="s">
        <v>3232</v>
      </c>
      <c r="E96" s="8">
        <v>1.0</v>
      </c>
      <c r="F96" s="10" t="s">
        <v>103</v>
      </c>
    </row>
    <row r="97">
      <c r="A97" s="5" t="s">
        <v>3197</v>
      </c>
      <c r="B97" s="6">
        <v>1.0</v>
      </c>
      <c r="C97" s="7">
        <v>97.0</v>
      </c>
      <c r="D97" s="6" t="s">
        <v>3194</v>
      </c>
      <c r="E97" s="8">
        <v>1.0</v>
      </c>
      <c r="F97" s="10" t="s">
        <v>104</v>
      </c>
    </row>
    <row r="98">
      <c r="A98" s="5" t="s">
        <v>3202</v>
      </c>
      <c r="B98" s="6">
        <v>4.0</v>
      </c>
      <c r="C98" s="7">
        <v>133.0</v>
      </c>
      <c r="D98" s="6" t="s">
        <v>3192</v>
      </c>
      <c r="E98" s="8">
        <v>1.0</v>
      </c>
      <c r="F98" s="10" t="s">
        <v>105</v>
      </c>
    </row>
    <row r="99">
      <c r="A99" s="5" t="s">
        <v>3248</v>
      </c>
      <c r="B99" s="6">
        <v>3.0</v>
      </c>
      <c r="C99" s="7">
        <v>178.0</v>
      </c>
      <c r="D99" s="6" t="s">
        <v>3190</v>
      </c>
      <c r="E99" s="8">
        <v>1.0</v>
      </c>
      <c r="F99" s="10" t="s">
        <v>106</v>
      </c>
    </row>
    <row r="100">
      <c r="A100" s="5" t="s">
        <v>3172</v>
      </c>
      <c r="B100" s="6">
        <v>1.0</v>
      </c>
      <c r="C100" s="7">
        <v>13.0</v>
      </c>
      <c r="D100" s="6" t="s">
        <v>3245</v>
      </c>
      <c r="E100" s="8">
        <v>1.0</v>
      </c>
      <c r="F100" s="10" t="s">
        <v>107</v>
      </c>
    </row>
    <row r="101">
      <c r="A101" s="5" t="s">
        <v>3230</v>
      </c>
      <c r="B101" s="6">
        <v>1.0</v>
      </c>
      <c r="C101" s="7">
        <v>112.0</v>
      </c>
      <c r="D101" s="6" t="s">
        <v>3227</v>
      </c>
      <c r="E101" s="8">
        <v>5.0</v>
      </c>
      <c r="F101" s="10" t="s">
        <v>108</v>
      </c>
    </row>
    <row r="102">
      <c r="A102" s="5" t="s">
        <v>3179</v>
      </c>
      <c r="B102" s="6">
        <v>1.0</v>
      </c>
      <c r="C102" s="7">
        <v>50.0</v>
      </c>
      <c r="D102" s="6" t="s">
        <v>3238</v>
      </c>
      <c r="E102" s="8">
        <v>5.0</v>
      </c>
      <c r="F102" s="10" t="s">
        <v>109</v>
      </c>
    </row>
    <row r="103">
      <c r="A103" s="5" t="s">
        <v>3252</v>
      </c>
      <c r="B103" s="6">
        <v>6.0</v>
      </c>
      <c r="C103" s="7">
        <v>110.0</v>
      </c>
      <c r="D103" s="6" t="s">
        <v>3211</v>
      </c>
      <c r="E103" s="8">
        <v>5.0</v>
      </c>
      <c r="F103" s="10" t="s">
        <v>110</v>
      </c>
    </row>
    <row r="104">
      <c r="A104" s="5" t="s">
        <v>3236</v>
      </c>
      <c r="B104" s="6">
        <v>6.0</v>
      </c>
      <c r="C104" s="7">
        <v>85.0</v>
      </c>
      <c r="D104" s="6" t="s">
        <v>3192</v>
      </c>
      <c r="E104" s="8">
        <v>5.0</v>
      </c>
      <c r="F104" s="10" t="s">
        <v>111</v>
      </c>
    </row>
    <row r="105">
      <c r="A105" s="5" t="s">
        <v>3226</v>
      </c>
      <c r="B105" s="6">
        <v>1.0</v>
      </c>
      <c r="C105" s="7">
        <v>185.0</v>
      </c>
      <c r="D105" s="6" t="s">
        <v>3173</v>
      </c>
      <c r="E105" s="8">
        <v>5.0</v>
      </c>
      <c r="F105" s="10" t="s">
        <v>112</v>
      </c>
    </row>
    <row r="106">
      <c r="A106" s="5" t="s">
        <v>3253</v>
      </c>
      <c r="B106" s="6">
        <v>1.0</v>
      </c>
      <c r="C106" s="7">
        <v>167.0</v>
      </c>
      <c r="D106" s="6" t="s">
        <v>3254</v>
      </c>
      <c r="E106" s="8">
        <v>5.0</v>
      </c>
      <c r="F106" s="10" t="s">
        <v>113</v>
      </c>
    </row>
    <row r="107">
      <c r="A107" s="5" t="s">
        <v>3255</v>
      </c>
      <c r="B107" s="6">
        <v>6.0</v>
      </c>
      <c r="C107" s="7">
        <v>115.0</v>
      </c>
      <c r="D107" s="6" t="s">
        <v>3173</v>
      </c>
      <c r="E107" s="8">
        <v>5.0</v>
      </c>
      <c r="F107" s="10" t="s">
        <v>114</v>
      </c>
    </row>
    <row r="108">
      <c r="A108" s="5" t="s">
        <v>3256</v>
      </c>
      <c r="B108" s="6">
        <v>6.0</v>
      </c>
      <c r="C108" s="7">
        <v>171.0</v>
      </c>
      <c r="D108" s="6" t="s">
        <v>3245</v>
      </c>
      <c r="E108" s="8">
        <v>5.0</v>
      </c>
      <c r="F108" s="10" t="s">
        <v>115</v>
      </c>
    </row>
    <row r="109">
      <c r="A109" s="5" t="s">
        <v>3250</v>
      </c>
      <c r="B109" s="6">
        <v>4.0</v>
      </c>
      <c r="C109" s="7">
        <v>75.0</v>
      </c>
      <c r="D109" s="6" t="s">
        <v>3257</v>
      </c>
      <c r="E109" s="8">
        <v>5.0</v>
      </c>
      <c r="F109" s="10" t="s">
        <v>116</v>
      </c>
    </row>
    <row r="110">
      <c r="A110" s="5" t="s">
        <v>3181</v>
      </c>
      <c r="B110" s="6">
        <v>1.0</v>
      </c>
      <c r="C110" s="7">
        <v>90.0</v>
      </c>
      <c r="D110" s="6" t="s">
        <v>3178</v>
      </c>
      <c r="E110" s="8">
        <v>5.0</v>
      </c>
      <c r="F110" s="10" t="s">
        <v>117</v>
      </c>
    </row>
    <row r="111">
      <c r="A111" s="5" t="s">
        <v>3166</v>
      </c>
      <c r="B111" s="6">
        <v>6.0</v>
      </c>
      <c r="C111" s="7">
        <v>50.0</v>
      </c>
      <c r="D111" s="6" t="s">
        <v>3238</v>
      </c>
      <c r="E111" s="8">
        <v>5.0</v>
      </c>
      <c r="F111" s="10" t="s">
        <v>118</v>
      </c>
    </row>
    <row r="112">
      <c r="A112" s="5" t="s">
        <v>3223</v>
      </c>
      <c r="B112" s="6">
        <v>3.0</v>
      </c>
      <c r="C112" s="7">
        <v>47.0</v>
      </c>
      <c r="D112" s="6" t="s">
        <v>3221</v>
      </c>
      <c r="E112" s="8">
        <v>4.0</v>
      </c>
      <c r="F112" s="10" t="s">
        <v>119</v>
      </c>
    </row>
    <row r="113">
      <c r="A113" s="5" t="s">
        <v>3234</v>
      </c>
      <c r="B113" s="6">
        <v>6.0</v>
      </c>
      <c r="C113" s="7">
        <v>1.0</v>
      </c>
      <c r="D113" s="6" t="s">
        <v>3221</v>
      </c>
      <c r="E113" s="8">
        <v>4.0</v>
      </c>
      <c r="F113" s="10" t="s">
        <v>120</v>
      </c>
    </row>
    <row r="114">
      <c r="A114" s="5" t="s">
        <v>3166</v>
      </c>
      <c r="B114" s="6">
        <v>6.0</v>
      </c>
      <c r="C114" s="7">
        <v>88.0</v>
      </c>
      <c r="D114" s="6" t="s">
        <v>3167</v>
      </c>
      <c r="E114" s="8">
        <v>4.0</v>
      </c>
      <c r="F114" s="10" t="s">
        <v>121</v>
      </c>
    </row>
    <row r="115">
      <c r="A115" s="5" t="s">
        <v>3195</v>
      </c>
      <c r="B115" s="6">
        <v>4.0</v>
      </c>
      <c r="C115" s="7">
        <v>62.0</v>
      </c>
      <c r="D115" s="6" t="s">
        <v>3200</v>
      </c>
      <c r="E115" s="8">
        <v>4.0</v>
      </c>
      <c r="F115" s="10" t="s">
        <v>122</v>
      </c>
    </row>
    <row r="116">
      <c r="A116" s="5" t="s">
        <v>3253</v>
      </c>
      <c r="B116" s="6">
        <v>1.0</v>
      </c>
      <c r="C116" s="7">
        <v>137.0</v>
      </c>
      <c r="D116" s="6" t="s">
        <v>3215</v>
      </c>
      <c r="E116" s="8">
        <v>4.0</v>
      </c>
      <c r="F116" s="10" t="s">
        <v>123</v>
      </c>
    </row>
    <row r="117">
      <c r="A117" s="5" t="s">
        <v>3258</v>
      </c>
      <c r="B117" s="6">
        <v>6.0</v>
      </c>
      <c r="C117" s="7">
        <v>51.0</v>
      </c>
      <c r="D117" s="6" t="s">
        <v>3169</v>
      </c>
      <c r="E117" s="8">
        <v>4.0</v>
      </c>
      <c r="F117" s="10" t="s">
        <v>124</v>
      </c>
    </row>
    <row r="118">
      <c r="A118" s="5" t="s">
        <v>3259</v>
      </c>
      <c r="B118" s="6">
        <v>6.0</v>
      </c>
      <c r="C118" s="7">
        <v>24.0</v>
      </c>
      <c r="D118" s="6" t="s">
        <v>3194</v>
      </c>
      <c r="E118" s="8">
        <v>4.0</v>
      </c>
      <c r="F118" s="10" t="s">
        <v>125</v>
      </c>
    </row>
    <row r="119">
      <c r="A119" s="5" t="s">
        <v>3187</v>
      </c>
      <c r="B119" s="6">
        <v>4.0</v>
      </c>
      <c r="C119" s="7">
        <v>180.0</v>
      </c>
      <c r="D119" s="6" t="s">
        <v>3192</v>
      </c>
      <c r="E119" s="8">
        <v>3.0</v>
      </c>
      <c r="F119" s="10" t="s">
        <v>126</v>
      </c>
    </row>
    <row r="120">
      <c r="A120" s="5" t="s">
        <v>3237</v>
      </c>
      <c r="B120" s="6">
        <v>2.0</v>
      </c>
      <c r="C120" s="7">
        <v>143.0</v>
      </c>
      <c r="D120" s="6" t="s">
        <v>3176</v>
      </c>
      <c r="E120" s="8">
        <v>3.0</v>
      </c>
      <c r="F120" s="10" t="s">
        <v>127</v>
      </c>
    </row>
    <row r="121">
      <c r="A121" s="5" t="s">
        <v>3260</v>
      </c>
      <c r="B121" s="6">
        <v>1.0</v>
      </c>
      <c r="C121" s="7">
        <v>33.0</v>
      </c>
      <c r="D121" s="6" t="s">
        <v>3225</v>
      </c>
      <c r="E121" s="8">
        <v>3.0</v>
      </c>
      <c r="F121" s="10" t="s">
        <v>128</v>
      </c>
    </row>
    <row r="122">
      <c r="A122" s="5" t="s">
        <v>3197</v>
      </c>
      <c r="B122" s="6">
        <v>1.0</v>
      </c>
      <c r="C122" s="7">
        <v>166.0</v>
      </c>
      <c r="D122" s="6" t="s">
        <v>3227</v>
      </c>
      <c r="E122" s="8">
        <v>3.0</v>
      </c>
      <c r="F122" s="10" t="s">
        <v>129</v>
      </c>
    </row>
    <row r="123">
      <c r="A123" s="5" t="s">
        <v>3183</v>
      </c>
      <c r="B123" s="6">
        <v>6.0</v>
      </c>
      <c r="C123" s="7">
        <v>184.0</v>
      </c>
      <c r="D123" s="6" t="s">
        <v>3169</v>
      </c>
      <c r="E123" s="8">
        <v>2.0</v>
      </c>
      <c r="F123" s="10" t="s">
        <v>130</v>
      </c>
    </row>
    <row r="124">
      <c r="A124" s="5" t="s">
        <v>3261</v>
      </c>
      <c r="B124" s="6">
        <v>4.0</v>
      </c>
      <c r="C124" s="7">
        <v>198.0</v>
      </c>
      <c r="D124" s="6" t="s">
        <v>3180</v>
      </c>
      <c r="E124" s="8">
        <v>2.0</v>
      </c>
      <c r="F124" s="10" t="s">
        <v>131</v>
      </c>
    </row>
    <row r="125">
      <c r="A125" s="5" t="s">
        <v>3191</v>
      </c>
      <c r="B125" s="6">
        <v>5.0</v>
      </c>
      <c r="C125" s="7">
        <v>64.0</v>
      </c>
      <c r="D125" s="6" t="s">
        <v>3180</v>
      </c>
      <c r="E125" s="8">
        <v>2.0</v>
      </c>
      <c r="F125" s="10" t="s">
        <v>132</v>
      </c>
    </row>
    <row r="126">
      <c r="A126" s="5" t="s">
        <v>3230</v>
      </c>
      <c r="B126" s="6">
        <v>1.0</v>
      </c>
      <c r="C126" s="7">
        <v>173.0</v>
      </c>
      <c r="D126" s="6" t="s">
        <v>3167</v>
      </c>
      <c r="E126" s="8">
        <v>2.0</v>
      </c>
      <c r="F126" s="10" t="s">
        <v>133</v>
      </c>
    </row>
    <row r="127">
      <c r="A127" s="5" t="s">
        <v>3204</v>
      </c>
      <c r="B127" s="6">
        <v>1.0</v>
      </c>
      <c r="C127" s="7">
        <v>39.0</v>
      </c>
      <c r="D127" s="6" t="s">
        <v>3254</v>
      </c>
      <c r="E127" s="8">
        <v>2.0</v>
      </c>
      <c r="F127" s="10" t="s">
        <v>134</v>
      </c>
    </row>
    <row r="128">
      <c r="A128" s="5" t="s">
        <v>3205</v>
      </c>
      <c r="B128" s="6">
        <v>1.0</v>
      </c>
      <c r="C128" s="7">
        <v>1.0</v>
      </c>
      <c r="D128" s="6" t="s">
        <v>3221</v>
      </c>
      <c r="E128" s="8">
        <v>2.0</v>
      </c>
      <c r="F128" s="10" t="s">
        <v>135</v>
      </c>
    </row>
    <row r="129">
      <c r="A129" s="5" t="s">
        <v>3260</v>
      </c>
      <c r="B129" s="6">
        <v>1.0</v>
      </c>
      <c r="C129" s="7">
        <v>120.0</v>
      </c>
      <c r="D129" s="6" t="s">
        <v>3171</v>
      </c>
      <c r="E129" s="8">
        <v>2.0</v>
      </c>
      <c r="F129" s="10" t="s">
        <v>136</v>
      </c>
    </row>
    <row r="130">
      <c r="A130" s="5" t="s">
        <v>3218</v>
      </c>
      <c r="B130" s="6">
        <v>5.0</v>
      </c>
      <c r="C130" s="7">
        <v>163.0</v>
      </c>
      <c r="D130" s="6" t="s">
        <v>3173</v>
      </c>
      <c r="E130" s="8">
        <v>1.0</v>
      </c>
      <c r="F130" s="10" t="s">
        <v>137</v>
      </c>
    </row>
    <row r="131">
      <c r="A131" s="5" t="s">
        <v>3172</v>
      </c>
      <c r="B131" s="6">
        <v>1.0</v>
      </c>
      <c r="C131" s="7">
        <v>129.0</v>
      </c>
      <c r="D131" s="6" t="s">
        <v>3182</v>
      </c>
      <c r="E131" s="8">
        <v>1.0</v>
      </c>
      <c r="F131" s="10" t="s">
        <v>138</v>
      </c>
    </row>
    <row r="132">
      <c r="A132" s="5" t="s">
        <v>3231</v>
      </c>
      <c r="B132" s="6">
        <v>4.0</v>
      </c>
      <c r="C132" s="7">
        <v>172.0</v>
      </c>
      <c r="D132" s="6" t="s">
        <v>3178</v>
      </c>
      <c r="E132" s="8">
        <v>1.0</v>
      </c>
      <c r="F132" s="10" t="s">
        <v>139</v>
      </c>
    </row>
    <row r="133">
      <c r="A133" s="5" t="s">
        <v>3255</v>
      </c>
      <c r="B133" s="6">
        <v>6.0</v>
      </c>
      <c r="C133" s="7">
        <v>127.0</v>
      </c>
      <c r="D133" s="6" t="s">
        <v>3262</v>
      </c>
      <c r="E133" s="8">
        <v>1.0</v>
      </c>
      <c r="F133" s="10" t="s">
        <v>140</v>
      </c>
    </row>
    <row r="134">
      <c r="A134" s="5" t="s">
        <v>3233</v>
      </c>
      <c r="B134" s="6">
        <v>6.0</v>
      </c>
      <c r="C134" s="7">
        <v>135.0</v>
      </c>
      <c r="D134" s="6" t="s">
        <v>3207</v>
      </c>
      <c r="E134" s="8">
        <v>1.0</v>
      </c>
      <c r="F134" s="10" t="s">
        <v>141</v>
      </c>
    </row>
    <row r="135">
      <c r="A135" s="5" t="s">
        <v>3234</v>
      </c>
      <c r="B135" s="6">
        <v>6.0</v>
      </c>
      <c r="C135" s="7">
        <v>51.0</v>
      </c>
      <c r="D135" s="6" t="s">
        <v>3169</v>
      </c>
      <c r="E135" s="8">
        <v>1.0</v>
      </c>
      <c r="F135" s="10" t="s">
        <v>142</v>
      </c>
    </row>
    <row r="136">
      <c r="A136" s="5" t="s">
        <v>3174</v>
      </c>
      <c r="B136" s="6">
        <v>1.0</v>
      </c>
      <c r="C136" s="7">
        <v>64.0</v>
      </c>
      <c r="D136" s="6" t="s">
        <v>3180</v>
      </c>
      <c r="E136" s="8">
        <v>1.0</v>
      </c>
      <c r="F136" s="10" t="s">
        <v>143</v>
      </c>
    </row>
    <row r="137">
      <c r="A137" s="5" t="s">
        <v>3251</v>
      </c>
      <c r="B137" s="6">
        <v>6.0</v>
      </c>
      <c r="C137" s="7">
        <v>131.0</v>
      </c>
      <c r="D137" s="6" t="s">
        <v>3227</v>
      </c>
      <c r="E137" s="8">
        <v>1.0</v>
      </c>
      <c r="F137" s="10" t="s">
        <v>144</v>
      </c>
    </row>
    <row r="138">
      <c r="A138" s="5" t="s">
        <v>3240</v>
      </c>
      <c r="B138" s="6">
        <v>2.0</v>
      </c>
      <c r="C138" s="7">
        <v>114.0</v>
      </c>
      <c r="D138" s="6" t="s">
        <v>3245</v>
      </c>
      <c r="E138" s="8">
        <v>1.0</v>
      </c>
      <c r="F138" s="10" t="s">
        <v>145</v>
      </c>
    </row>
    <row r="139">
      <c r="A139" s="5" t="s">
        <v>3229</v>
      </c>
      <c r="B139" s="6">
        <v>4.0</v>
      </c>
      <c r="C139" s="7">
        <v>50.0</v>
      </c>
      <c r="D139" s="6" t="s">
        <v>3238</v>
      </c>
      <c r="E139" s="8">
        <v>1.0</v>
      </c>
      <c r="F139" s="10" t="s">
        <v>146</v>
      </c>
    </row>
    <row r="140">
      <c r="A140" s="5" t="s">
        <v>3253</v>
      </c>
      <c r="B140" s="6">
        <v>1.0</v>
      </c>
      <c r="C140" s="7">
        <v>137.0</v>
      </c>
      <c r="D140" s="6" t="s">
        <v>3215</v>
      </c>
      <c r="E140" s="8">
        <v>1.0</v>
      </c>
      <c r="F140" s="10" t="s">
        <v>147</v>
      </c>
    </row>
    <row r="141">
      <c r="A141" s="5" t="s">
        <v>3181</v>
      </c>
      <c r="B141" s="6">
        <v>1.0</v>
      </c>
      <c r="C141" s="7">
        <v>29.0</v>
      </c>
      <c r="D141" s="6" t="s">
        <v>3235</v>
      </c>
      <c r="E141" s="8">
        <v>1.0</v>
      </c>
      <c r="F141" s="10" t="s">
        <v>148</v>
      </c>
    </row>
    <row r="142">
      <c r="A142" s="5" t="s">
        <v>3252</v>
      </c>
      <c r="B142" s="6">
        <v>6.0</v>
      </c>
      <c r="C142" s="7">
        <v>81.0</v>
      </c>
      <c r="D142" s="6" t="s">
        <v>3169</v>
      </c>
      <c r="E142" s="8">
        <v>1.0</v>
      </c>
      <c r="F142" s="10" t="s">
        <v>149</v>
      </c>
    </row>
    <row r="143">
      <c r="A143" s="5" t="s">
        <v>3251</v>
      </c>
      <c r="B143" s="6">
        <v>6.0</v>
      </c>
      <c r="C143" s="7">
        <v>127.0</v>
      </c>
      <c r="D143" s="6" t="s">
        <v>3262</v>
      </c>
      <c r="E143" s="8">
        <v>1.0</v>
      </c>
      <c r="F143" s="10" t="s">
        <v>150</v>
      </c>
    </row>
    <row r="144">
      <c r="A144" s="5" t="s">
        <v>3263</v>
      </c>
      <c r="B144" s="6">
        <v>1.0</v>
      </c>
      <c r="C144" s="7">
        <v>126.0</v>
      </c>
      <c r="D144" s="6" t="s">
        <v>3211</v>
      </c>
      <c r="E144" s="8">
        <v>1.0</v>
      </c>
      <c r="F144" s="10" t="s">
        <v>151</v>
      </c>
    </row>
    <row r="145">
      <c r="A145" s="5" t="s">
        <v>3189</v>
      </c>
      <c r="B145" s="6">
        <v>6.0</v>
      </c>
      <c r="C145" s="7">
        <v>141.0</v>
      </c>
      <c r="D145" s="6" t="s">
        <v>3171</v>
      </c>
      <c r="E145" s="8">
        <v>1.0</v>
      </c>
      <c r="F145" s="10" t="s">
        <v>152</v>
      </c>
    </row>
    <row r="146">
      <c r="A146" s="5" t="s">
        <v>3172</v>
      </c>
      <c r="B146" s="6">
        <v>1.0</v>
      </c>
      <c r="C146" s="7">
        <v>132.0</v>
      </c>
      <c r="D146" s="6" t="s">
        <v>3186</v>
      </c>
      <c r="E146" s="8">
        <v>5.0</v>
      </c>
      <c r="F146" s="10" t="s">
        <v>153</v>
      </c>
    </row>
    <row r="147">
      <c r="A147" s="5" t="s">
        <v>3228</v>
      </c>
      <c r="B147" s="6">
        <v>6.0</v>
      </c>
      <c r="C147" s="7">
        <v>188.0</v>
      </c>
      <c r="D147" s="6" t="s">
        <v>3198</v>
      </c>
      <c r="E147" s="8">
        <v>5.0</v>
      </c>
      <c r="F147" s="10" t="s">
        <v>154</v>
      </c>
    </row>
    <row r="148">
      <c r="A148" s="5" t="s">
        <v>3229</v>
      </c>
      <c r="B148" s="6">
        <v>4.0</v>
      </c>
      <c r="C148" s="7">
        <v>196.0</v>
      </c>
      <c r="D148" s="6" t="s">
        <v>3169</v>
      </c>
      <c r="E148" s="8">
        <v>5.0</v>
      </c>
      <c r="F148" s="10" t="s">
        <v>155</v>
      </c>
    </row>
    <row r="149">
      <c r="A149" s="5" t="s">
        <v>3204</v>
      </c>
      <c r="B149" s="6">
        <v>1.0</v>
      </c>
      <c r="C149" s="7">
        <v>41.0</v>
      </c>
      <c r="D149" s="6" t="s">
        <v>3238</v>
      </c>
      <c r="E149" s="8">
        <v>5.0</v>
      </c>
      <c r="F149" s="10" t="s">
        <v>156</v>
      </c>
    </row>
    <row r="150">
      <c r="A150" s="5" t="s">
        <v>3246</v>
      </c>
      <c r="B150" s="6">
        <v>4.0</v>
      </c>
      <c r="C150" s="7">
        <v>156.0</v>
      </c>
      <c r="D150" s="6" t="s">
        <v>3245</v>
      </c>
      <c r="E150" s="8">
        <v>5.0</v>
      </c>
      <c r="F150" s="10" t="s">
        <v>157</v>
      </c>
    </row>
    <row r="151">
      <c r="A151" s="5" t="s">
        <v>3250</v>
      </c>
      <c r="B151" s="6">
        <v>4.0</v>
      </c>
      <c r="C151" s="7">
        <v>160.0</v>
      </c>
      <c r="D151" s="6" t="s">
        <v>3239</v>
      </c>
      <c r="E151" s="8">
        <v>5.0</v>
      </c>
      <c r="F151" s="10" t="s">
        <v>158</v>
      </c>
    </row>
    <row r="152">
      <c r="A152" s="5" t="s">
        <v>3191</v>
      </c>
      <c r="B152" s="6">
        <v>5.0</v>
      </c>
      <c r="C152" s="7">
        <v>137.0</v>
      </c>
      <c r="D152" s="6" t="s">
        <v>3215</v>
      </c>
      <c r="E152" s="8">
        <v>5.0</v>
      </c>
      <c r="F152" s="10" t="s">
        <v>159</v>
      </c>
    </row>
    <row r="153">
      <c r="A153" s="5" t="s">
        <v>3264</v>
      </c>
      <c r="B153" s="6">
        <v>4.0</v>
      </c>
      <c r="C153" s="7">
        <v>71.0</v>
      </c>
      <c r="D153" s="6" t="s">
        <v>3176</v>
      </c>
      <c r="E153" s="8">
        <v>5.0</v>
      </c>
      <c r="F153" s="10" t="s">
        <v>160</v>
      </c>
    </row>
    <row r="154">
      <c r="A154" s="5" t="s">
        <v>3263</v>
      </c>
      <c r="B154" s="6">
        <v>1.0</v>
      </c>
      <c r="C154" s="7">
        <v>185.0</v>
      </c>
      <c r="D154" s="6" t="s">
        <v>3173</v>
      </c>
      <c r="E154" s="8">
        <v>5.0</v>
      </c>
      <c r="F154" s="10" t="s">
        <v>161</v>
      </c>
    </row>
    <row r="155">
      <c r="A155" s="5" t="s">
        <v>3237</v>
      </c>
      <c r="B155" s="6">
        <v>2.0</v>
      </c>
      <c r="C155" s="7">
        <v>166.0</v>
      </c>
      <c r="D155" s="6" t="s">
        <v>3227</v>
      </c>
      <c r="E155" s="8">
        <v>5.0</v>
      </c>
      <c r="F155" s="10" t="s">
        <v>162</v>
      </c>
    </row>
    <row r="156">
      <c r="A156" s="5" t="s">
        <v>3261</v>
      </c>
      <c r="B156" s="6">
        <v>4.0</v>
      </c>
      <c r="C156" s="7">
        <v>129.0</v>
      </c>
      <c r="D156" s="6" t="s">
        <v>3182</v>
      </c>
      <c r="E156" s="8">
        <v>5.0</v>
      </c>
      <c r="F156" s="10" t="s">
        <v>163</v>
      </c>
    </row>
    <row r="157">
      <c r="A157" s="5" t="s">
        <v>3218</v>
      </c>
      <c r="B157" s="6">
        <v>5.0</v>
      </c>
      <c r="C157" s="7">
        <v>140.0</v>
      </c>
      <c r="D157" s="6" t="s">
        <v>3190</v>
      </c>
      <c r="E157" s="8">
        <v>5.0</v>
      </c>
      <c r="F157" s="10" t="s">
        <v>164</v>
      </c>
    </row>
    <row r="158">
      <c r="A158" s="5" t="s">
        <v>3177</v>
      </c>
      <c r="B158" s="6">
        <v>5.0</v>
      </c>
      <c r="C158" s="7">
        <v>135.0</v>
      </c>
      <c r="D158" s="6" t="s">
        <v>3207</v>
      </c>
      <c r="E158" s="8">
        <v>5.0</v>
      </c>
      <c r="F158" s="10" t="s">
        <v>165</v>
      </c>
    </row>
    <row r="159">
      <c r="A159" s="5" t="s">
        <v>3205</v>
      </c>
      <c r="B159" s="6">
        <v>1.0</v>
      </c>
      <c r="C159" s="7">
        <v>186.0</v>
      </c>
      <c r="D159" s="6" t="s">
        <v>3222</v>
      </c>
      <c r="E159" s="8">
        <v>5.0</v>
      </c>
      <c r="F159" s="10" t="s">
        <v>166</v>
      </c>
    </row>
    <row r="160">
      <c r="A160" s="5" t="s">
        <v>3265</v>
      </c>
      <c r="B160" s="6">
        <v>1.0</v>
      </c>
      <c r="C160" s="7">
        <v>139.0</v>
      </c>
      <c r="D160" s="6" t="s">
        <v>3182</v>
      </c>
      <c r="E160" s="8">
        <v>5.0</v>
      </c>
      <c r="F160" s="10" t="s">
        <v>167</v>
      </c>
    </row>
    <row r="161">
      <c r="A161" s="5" t="s">
        <v>3193</v>
      </c>
      <c r="B161" s="6">
        <v>5.0</v>
      </c>
      <c r="C161" s="7">
        <v>196.0</v>
      </c>
      <c r="D161" s="6" t="s">
        <v>3169</v>
      </c>
      <c r="E161" s="8">
        <v>5.0</v>
      </c>
      <c r="F161" s="10" t="s">
        <v>168</v>
      </c>
    </row>
    <row r="162">
      <c r="A162" s="5" t="s">
        <v>3244</v>
      </c>
      <c r="B162" s="6">
        <v>1.0</v>
      </c>
      <c r="C162" s="7">
        <v>45.0</v>
      </c>
      <c r="D162" s="6" t="s">
        <v>3241</v>
      </c>
      <c r="E162" s="8">
        <v>5.0</v>
      </c>
      <c r="F162" s="10" t="s">
        <v>169</v>
      </c>
    </row>
    <row r="163">
      <c r="A163" s="5" t="s">
        <v>3250</v>
      </c>
      <c r="B163" s="6">
        <v>4.0</v>
      </c>
      <c r="C163" s="7">
        <v>40.0</v>
      </c>
      <c r="D163" s="6" t="s">
        <v>3221</v>
      </c>
      <c r="E163" s="8">
        <v>5.0</v>
      </c>
      <c r="F163" s="10" t="s">
        <v>170</v>
      </c>
    </row>
    <row r="164">
      <c r="A164" s="5" t="s">
        <v>3195</v>
      </c>
      <c r="B164" s="6">
        <v>4.0</v>
      </c>
      <c r="C164" s="7">
        <v>53.0</v>
      </c>
      <c r="D164" s="6" t="s">
        <v>3249</v>
      </c>
      <c r="E164" s="8">
        <v>4.0</v>
      </c>
      <c r="F164" s="10" t="s">
        <v>171</v>
      </c>
    </row>
    <row r="165">
      <c r="A165" s="5" t="s">
        <v>3265</v>
      </c>
      <c r="B165" s="6">
        <v>1.0</v>
      </c>
      <c r="C165" s="7">
        <v>175.0</v>
      </c>
      <c r="D165" s="6" t="s">
        <v>3257</v>
      </c>
      <c r="E165" s="8">
        <v>4.0</v>
      </c>
      <c r="F165" s="10" t="s">
        <v>172</v>
      </c>
    </row>
    <row r="166">
      <c r="A166" s="5" t="s">
        <v>3177</v>
      </c>
      <c r="B166" s="6">
        <v>5.0</v>
      </c>
      <c r="C166" s="7">
        <v>172.0</v>
      </c>
      <c r="D166" s="6" t="s">
        <v>3178</v>
      </c>
      <c r="E166" s="8">
        <v>4.0</v>
      </c>
      <c r="F166" s="10" t="s">
        <v>173</v>
      </c>
    </row>
    <row r="167">
      <c r="A167" s="5" t="s">
        <v>3202</v>
      </c>
      <c r="B167" s="6">
        <v>4.0</v>
      </c>
      <c r="C167" s="7">
        <v>82.0</v>
      </c>
      <c r="D167" s="6" t="s">
        <v>3190</v>
      </c>
      <c r="E167" s="8">
        <v>4.0</v>
      </c>
      <c r="F167" s="10" t="s">
        <v>174</v>
      </c>
    </row>
    <row r="168">
      <c r="A168" s="5" t="s">
        <v>3201</v>
      </c>
      <c r="B168" s="6">
        <v>5.0</v>
      </c>
      <c r="C168" s="7">
        <v>72.0</v>
      </c>
      <c r="D168" s="6" t="s">
        <v>3171</v>
      </c>
      <c r="E168" s="8">
        <v>4.0</v>
      </c>
      <c r="F168" s="10" t="s">
        <v>175</v>
      </c>
    </row>
    <row r="169">
      <c r="A169" s="5" t="s">
        <v>3208</v>
      </c>
      <c r="B169" s="6">
        <v>4.0</v>
      </c>
      <c r="C169" s="7">
        <v>2.0</v>
      </c>
      <c r="D169" s="6" t="s">
        <v>3214</v>
      </c>
      <c r="E169" s="8">
        <v>4.0</v>
      </c>
      <c r="F169" s="10" t="s">
        <v>176</v>
      </c>
    </row>
    <row r="170">
      <c r="A170" s="5" t="s">
        <v>3208</v>
      </c>
      <c r="B170" s="6">
        <v>4.0</v>
      </c>
      <c r="C170" s="7">
        <v>46.0</v>
      </c>
      <c r="D170" s="6" t="s">
        <v>3194</v>
      </c>
      <c r="E170" s="8">
        <v>4.0</v>
      </c>
      <c r="F170" s="10" t="s">
        <v>177</v>
      </c>
    </row>
    <row r="171">
      <c r="A171" s="5" t="s">
        <v>3206</v>
      </c>
      <c r="B171" s="6">
        <v>6.0</v>
      </c>
      <c r="C171" s="7">
        <v>169.0</v>
      </c>
      <c r="D171" s="6" t="s">
        <v>3200</v>
      </c>
      <c r="E171" s="8">
        <v>4.0</v>
      </c>
      <c r="F171" s="10" t="s">
        <v>178</v>
      </c>
    </row>
    <row r="172">
      <c r="A172" s="5" t="s">
        <v>3202</v>
      </c>
      <c r="B172" s="6">
        <v>4.0</v>
      </c>
      <c r="C172" s="7">
        <v>28.0</v>
      </c>
      <c r="D172" s="6" t="s">
        <v>3188</v>
      </c>
      <c r="E172" s="8">
        <v>4.0</v>
      </c>
      <c r="F172" s="10" t="s">
        <v>179</v>
      </c>
    </row>
    <row r="173">
      <c r="A173" s="5" t="s">
        <v>3205</v>
      </c>
      <c r="B173" s="6">
        <v>1.0</v>
      </c>
      <c r="C173" s="7">
        <v>84.0</v>
      </c>
      <c r="D173" s="6" t="s">
        <v>3203</v>
      </c>
      <c r="E173" s="8">
        <v>4.0</v>
      </c>
      <c r="F173" s="10" t="s">
        <v>180</v>
      </c>
    </row>
    <row r="174">
      <c r="A174" s="5" t="s">
        <v>3208</v>
      </c>
      <c r="B174" s="6">
        <v>4.0</v>
      </c>
      <c r="C174" s="7">
        <v>94.0</v>
      </c>
      <c r="D174" s="6" t="s">
        <v>3239</v>
      </c>
      <c r="E174" s="8">
        <v>3.0</v>
      </c>
      <c r="F174" s="10" t="s">
        <v>181</v>
      </c>
    </row>
    <row r="175">
      <c r="A175" s="5" t="s">
        <v>3266</v>
      </c>
      <c r="B175" s="6">
        <v>3.0</v>
      </c>
      <c r="C175" s="7">
        <v>96.0</v>
      </c>
      <c r="D175" s="6" t="s">
        <v>3190</v>
      </c>
      <c r="E175" s="8">
        <v>3.0</v>
      </c>
      <c r="F175" s="10" t="s">
        <v>182</v>
      </c>
    </row>
    <row r="176">
      <c r="A176" s="5" t="s">
        <v>3243</v>
      </c>
      <c r="B176" s="6">
        <v>4.0</v>
      </c>
      <c r="C176" s="7">
        <v>47.0</v>
      </c>
      <c r="D176" s="6" t="s">
        <v>3221</v>
      </c>
      <c r="E176" s="8">
        <v>3.0</v>
      </c>
      <c r="F176" s="10" t="s">
        <v>183</v>
      </c>
    </row>
    <row r="177">
      <c r="A177" s="5" t="s">
        <v>3170</v>
      </c>
      <c r="B177" s="6">
        <v>1.0</v>
      </c>
      <c r="C177" s="7">
        <v>86.0</v>
      </c>
      <c r="D177" s="6" t="s">
        <v>3245</v>
      </c>
      <c r="E177" s="8">
        <v>3.0</v>
      </c>
      <c r="F177" s="10" t="s">
        <v>184</v>
      </c>
    </row>
    <row r="178">
      <c r="A178" s="5" t="s">
        <v>3226</v>
      </c>
      <c r="B178" s="6">
        <v>1.0</v>
      </c>
      <c r="C178" s="7">
        <v>150.0</v>
      </c>
      <c r="D178" s="6" t="s">
        <v>3167</v>
      </c>
      <c r="E178" s="8">
        <v>3.0</v>
      </c>
      <c r="F178" s="10" t="s">
        <v>185</v>
      </c>
    </row>
    <row r="179">
      <c r="A179" s="5" t="s">
        <v>3172</v>
      </c>
      <c r="B179" s="6">
        <v>1.0</v>
      </c>
      <c r="C179" s="7">
        <v>35.0</v>
      </c>
      <c r="D179" s="6" t="s">
        <v>3196</v>
      </c>
      <c r="E179" s="8">
        <v>3.0</v>
      </c>
      <c r="F179" s="10" t="s">
        <v>186</v>
      </c>
    </row>
    <row r="180">
      <c r="A180" s="5" t="s">
        <v>3212</v>
      </c>
      <c r="B180" s="6">
        <v>6.0</v>
      </c>
      <c r="C180" s="7">
        <v>33.0</v>
      </c>
      <c r="D180" s="6" t="s">
        <v>3225</v>
      </c>
      <c r="E180" s="8">
        <v>2.0</v>
      </c>
      <c r="F180" s="10" t="s">
        <v>187</v>
      </c>
    </row>
    <row r="181">
      <c r="A181" s="5" t="s">
        <v>3266</v>
      </c>
      <c r="B181" s="6">
        <v>3.0</v>
      </c>
      <c r="C181" s="7">
        <v>74.0</v>
      </c>
      <c r="D181" s="6" t="s">
        <v>3190</v>
      </c>
      <c r="E181" s="8">
        <v>2.0</v>
      </c>
      <c r="F181" s="10" t="s">
        <v>188</v>
      </c>
    </row>
    <row r="182">
      <c r="A182" s="5" t="s">
        <v>3229</v>
      </c>
      <c r="B182" s="6">
        <v>4.0</v>
      </c>
      <c r="C182" s="7">
        <v>171.0</v>
      </c>
      <c r="D182" s="6" t="s">
        <v>3245</v>
      </c>
      <c r="E182" s="8">
        <v>2.0</v>
      </c>
      <c r="F182" s="10" t="s">
        <v>189</v>
      </c>
    </row>
    <row r="183">
      <c r="A183" s="5" t="s">
        <v>3181</v>
      </c>
      <c r="B183" s="6">
        <v>1.0</v>
      </c>
      <c r="C183" s="7">
        <v>157.0</v>
      </c>
      <c r="D183" s="6" t="s">
        <v>3219</v>
      </c>
      <c r="E183" s="8">
        <v>2.0</v>
      </c>
      <c r="F183" s="10" t="s">
        <v>190</v>
      </c>
    </row>
    <row r="184">
      <c r="A184" s="5" t="s">
        <v>3206</v>
      </c>
      <c r="B184" s="6">
        <v>6.0</v>
      </c>
      <c r="C184" s="7">
        <v>85.0</v>
      </c>
      <c r="D184" s="6" t="s">
        <v>3192</v>
      </c>
      <c r="E184" s="8">
        <v>2.0</v>
      </c>
      <c r="F184" s="10" t="s">
        <v>191</v>
      </c>
    </row>
    <row r="185">
      <c r="A185" s="5" t="s">
        <v>3209</v>
      </c>
      <c r="B185" s="6">
        <v>4.0</v>
      </c>
      <c r="C185" s="7">
        <v>72.0</v>
      </c>
      <c r="D185" s="6" t="s">
        <v>3171</v>
      </c>
      <c r="E185" s="8">
        <v>2.0</v>
      </c>
      <c r="F185" s="10" t="s">
        <v>192</v>
      </c>
    </row>
    <row r="186">
      <c r="A186" s="5" t="s">
        <v>3228</v>
      </c>
      <c r="B186" s="6">
        <v>6.0</v>
      </c>
      <c r="C186" s="7">
        <v>67.0</v>
      </c>
      <c r="D186" s="6" t="s">
        <v>3186</v>
      </c>
      <c r="E186" s="8">
        <v>2.0</v>
      </c>
      <c r="F186" s="10" t="s">
        <v>193</v>
      </c>
    </row>
    <row r="187">
      <c r="A187" s="5" t="s">
        <v>3231</v>
      </c>
      <c r="B187" s="6">
        <v>4.0</v>
      </c>
      <c r="C187" s="7">
        <v>198.0</v>
      </c>
      <c r="D187" s="6" t="s">
        <v>3180</v>
      </c>
      <c r="E187" s="8">
        <v>2.0</v>
      </c>
      <c r="F187" s="10" t="s">
        <v>194</v>
      </c>
    </row>
    <row r="188">
      <c r="A188" s="5" t="s">
        <v>3174</v>
      </c>
      <c r="B188" s="6">
        <v>1.0</v>
      </c>
      <c r="C188" s="7">
        <v>161.0</v>
      </c>
      <c r="D188" s="6" t="s">
        <v>3192</v>
      </c>
      <c r="E188" s="8">
        <v>1.0</v>
      </c>
      <c r="F188" s="10" t="s">
        <v>195</v>
      </c>
    </row>
    <row r="189">
      <c r="A189" s="5" t="s">
        <v>3195</v>
      </c>
      <c r="B189" s="6">
        <v>4.0</v>
      </c>
      <c r="C189" s="7">
        <v>178.0</v>
      </c>
      <c r="D189" s="6" t="s">
        <v>3190</v>
      </c>
      <c r="E189" s="8">
        <v>1.0</v>
      </c>
      <c r="F189" s="10" t="s">
        <v>196</v>
      </c>
    </row>
    <row r="190">
      <c r="A190" s="5" t="s">
        <v>3174</v>
      </c>
      <c r="B190" s="6">
        <v>1.0</v>
      </c>
      <c r="C190" s="7">
        <v>133.0</v>
      </c>
      <c r="D190" s="6" t="s">
        <v>3192</v>
      </c>
      <c r="E190" s="8">
        <v>1.0</v>
      </c>
      <c r="F190" s="10" t="s">
        <v>197</v>
      </c>
    </row>
    <row r="191">
      <c r="A191" s="5" t="s">
        <v>3240</v>
      </c>
      <c r="B191" s="6">
        <v>2.0</v>
      </c>
      <c r="C191" s="7">
        <v>168.0</v>
      </c>
      <c r="D191" s="6" t="s">
        <v>3194</v>
      </c>
      <c r="E191" s="8">
        <v>1.0</v>
      </c>
      <c r="F191" s="10" t="s">
        <v>198</v>
      </c>
    </row>
    <row r="192">
      <c r="A192" s="5" t="s">
        <v>3197</v>
      </c>
      <c r="B192" s="6">
        <v>1.0</v>
      </c>
      <c r="C192" s="7">
        <v>41.0</v>
      </c>
      <c r="D192" s="6" t="s">
        <v>3238</v>
      </c>
      <c r="E192" s="8">
        <v>1.0</v>
      </c>
      <c r="F192" s="10" t="s">
        <v>199</v>
      </c>
    </row>
    <row r="193">
      <c r="A193" s="5" t="s">
        <v>3166</v>
      </c>
      <c r="B193" s="6">
        <v>6.0</v>
      </c>
      <c r="C193" s="7">
        <v>164.0</v>
      </c>
      <c r="D193" s="6" t="s">
        <v>3232</v>
      </c>
      <c r="E193" s="8">
        <v>1.0</v>
      </c>
      <c r="F193" s="10" t="s">
        <v>200</v>
      </c>
    </row>
    <row r="194">
      <c r="A194" s="5" t="s">
        <v>3197</v>
      </c>
      <c r="B194" s="6">
        <v>1.0</v>
      </c>
      <c r="C194" s="7">
        <v>13.0</v>
      </c>
      <c r="D194" s="6" t="s">
        <v>3245</v>
      </c>
      <c r="E194" s="8">
        <v>1.0</v>
      </c>
      <c r="F194" s="10" t="s">
        <v>201</v>
      </c>
    </row>
    <row r="195">
      <c r="A195" s="5" t="s">
        <v>3201</v>
      </c>
      <c r="B195" s="6">
        <v>5.0</v>
      </c>
      <c r="C195" s="7">
        <v>191.0</v>
      </c>
      <c r="D195" s="6" t="s">
        <v>3221</v>
      </c>
      <c r="E195" s="8">
        <v>1.0</v>
      </c>
      <c r="F195" s="10" t="s">
        <v>202</v>
      </c>
    </row>
    <row r="196">
      <c r="A196" s="5" t="s">
        <v>3195</v>
      </c>
      <c r="B196" s="6">
        <v>4.0</v>
      </c>
      <c r="C196" s="7">
        <v>142.0</v>
      </c>
      <c r="D196" s="6" t="s">
        <v>3173</v>
      </c>
      <c r="E196" s="8">
        <v>1.0</v>
      </c>
      <c r="F196" s="10" t="s">
        <v>203</v>
      </c>
    </row>
    <row r="197">
      <c r="A197" s="5" t="s">
        <v>3248</v>
      </c>
      <c r="B197" s="6">
        <v>3.0</v>
      </c>
      <c r="C197" s="7">
        <v>8.0</v>
      </c>
      <c r="D197" s="6" t="s">
        <v>3169</v>
      </c>
      <c r="E197" s="8">
        <v>1.0</v>
      </c>
      <c r="F197" s="10" t="s">
        <v>204</v>
      </c>
    </row>
    <row r="198">
      <c r="A198" s="5" t="s">
        <v>3189</v>
      </c>
      <c r="B198" s="6">
        <v>6.0</v>
      </c>
      <c r="C198" s="7">
        <v>41.0</v>
      </c>
      <c r="D198" s="6" t="s">
        <v>3238</v>
      </c>
      <c r="E198" s="8">
        <v>1.0</v>
      </c>
      <c r="F198" s="10" t="s">
        <v>205</v>
      </c>
    </row>
    <row r="199">
      <c r="A199" s="5" t="s">
        <v>3223</v>
      </c>
      <c r="B199" s="6">
        <v>3.0</v>
      </c>
      <c r="C199" s="7">
        <v>130.0</v>
      </c>
      <c r="D199" s="6" t="s">
        <v>3232</v>
      </c>
      <c r="E199" s="8">
        <v>1.0</v>
      </c>
      <c r="F199" s="10" t="s">
        <v>206</v>
      </c>
    </row>
    <row r="200">
      <c r="A200" s="5" t="s">
        <v>3185</v>
      </c>
      <c r="B200" s="6">
        <v>1.0</v>
      </c>
      <c r="C200" s="7">
        <v>17.0</v>
      </c>
      <c r="D200" s="6" t="s">
        <v>3241</v>
      </c>
      <c r="E200" s="8">
        <v>5.0</v>
      </c>
      <c r="F200" s="10" t="s">
        <v>207</v>
      </c>
    </row>
    <row r="201">
      <c r="A201" s="5" t="s">
        <v>3213</v>
      </c>
      <c r="B201" s="6">
        <v>2.0</v>
      </c>
      <c r="C201" s="7">
        <v>176.0</v>
      </c>
      <c r="D201" s="6" t="s">
        <v>3232</v>
      </c>
      <c r="E201" s="8">
        <v>5.0</v>
      </c>
      <c r="F201" s="10" t="s">
        <v>208</v>
      </c>
    </row>
    <row r="202">
      <c r="A202" s="5" t="s">
        <v>3243</v>
      </c>
      <c r="B202" s="6">
        <v>4.0</v>
      </c>
      <c r="C202" s="7">
        <v>169.0</v>
      </c>
      <c r="D202" s="6" t="s">
        <v>3200</v>
      </c>
      <c r="E202" s="8">
        <v>5.0</v>
      </c>
      <c r="F202" s="10" t="s">
        <v>209</v>
      </c>
    </row>
    <row r="203">
      <c r="A203" s="5" t="s">
        <v>3226</v>
      </c>
      <c r="B203" s="6">
        <v>1.0</v>
      </c>
      <c r="C203" s="7">
        <v>47.0</v>
      </c>
      <c r="D203" s="6" t="s">
        <v>3221</v>
      </c>
      <c r="E203" s="8">
        <v>5.0</v>
      </c>
      <c r="F203" s="10" t="s">
        <v>210</v>
      </c>
    </row>
    <row r="204">
      <c r="A204" s="5" t="s">
        <v>3172</v>
      </c>
      <c r="B204" s="6">
        <v>1.0</v>
      </c>
      <c r="C204" s="7">
        <v>147.0</v>
      </c>
      <c r="D204" s="6" t="s">
        <v>3196</v>
      </c>
      <c r="E204" s="8">
        <v>5.0</v>
      </c>
      <c r="F204" s="10" t="s">
        <v>211</v>
      </c>
    </row>
    <row r="205">
      <c r="A205" s="5" t="s">
        <v>3193</v>
      </c>
      <c r="B205" s="6">
        <v>5.0</v>
      </c>
      <c r="C205" s="7">
        <v>7.0</v>
      </c>
      <c r="D205" s="6" t="s">
        <v>3180</v>
      </c>
      <c r="E205" s="8">
        <v>5.0</v>
      </c>
      <c r="F205" s="10" t="s">
        <v>212</v>
      </c>
    </row>
    <row r="206">
      <c r="A206" s="5" t="s">
        <v>3265</v>
      </c>
      <c r="B206" s="6">
        <v>1.0</v>
      </c>
      <c r="C206" s="7">
        <v>95.0</v>
      </c>
      <c r="D206" s="6" t="s">
        <v>3227</v>
      </c>
      <c r="E206" s="8">
        <v>5.0</v>
      </c>
      <c r="F206" s="10" t="s">
        <v>213</v>
      </c>
    </row>
    <row r="207">
      <c r="A207" s="5" t="s">
        <v>3247</v>
      </c>
      <c r="B207" s="6">
        <v>6.0</v>
      </c>
      <c r="C207" s="7">
        <v>8.0</v>
      </c>
      <c r="D207" s="6" t="s">
        <v>3169</v>
      </c>
      <c r="E207" s="8">
        <v>5.0</v>
      </c>
      <c r="F207" s="10" t="s">
        <v>214</v>
      </c>
    </row>
    <row r="208">
      <c r="A208" s="5" t="s">
        <v>3170</v>
      </c>
      <c r="B208" s="6">
        <v>1.0</v>
      </c>
      <c r="C208" s="7">
        <v>60.0</v>
      </c>
      <c r="D208" s="6" t="s">
        <v>3196</v>
      </c>
      <c r="E208" s="8">
        <v>5.0</v>
      </c>
      <c r="F208" s="10" t="s">
        <v>215</v>
      </c>
    </row>
    <row r="209">
      <c r="A209" s="5" t="s">
        <v>3201</v>
      </c>
      <c r="B209" s="6">
        <v>5.0</v>
      </c>
      <c r="C209" s="7">
        <v>179.0</v>
      </c>
      <c r="D209" s="6" t="s">
        <v>3214</v>
      </c>
      <c r="E209" s="8">
        <v>5.0</v>
      </c>
      <c r="F209" s="10" t="s">
        <v>216</v>
      </c>
    </row>
    <row r="210">
      <c r="A210" s="5" t="s">
        <v>3177</v>
      </c>
      <c r="B210" s="6">
        <v>5.0</v>
      </c>
      <c r="C210" s="7">
        <v>114.0</v>
      </c>
      <c r="D210" s="6" t="s">
        <v>3245</v>
      </c>
      <c r="E210" s="8">
        <v>5.0</v>
      </c>
      <c r="F210" s="10" t="s">
        <v>217</v>
      </c>
    </row>
    <row r="211">
      <c r="A211" s="5" t="s">
        <v>3168</v>
      </c>
      <c r="B211" s="6">
        <v>1.0</v>
      </c>
      <c r="C211" s="7">
        <v>187.0</v>
      </c>
      <c r="D211" s="6" t="s">
        <v>3254</v>
      </c>
      <c r="E211" s="8">
        <v>5.0</v>
      </c>
      <c r="F211" s="10" t="s">
        <v>218</v>
      </c>
    </row>
    <row r="212">
      <c r="A212" s="5" t="s">
        <v>3209</v>
      </c>
      <c r="B212" s="6">
        <v>4.0</v>
      </c>
      <c r="C212" s="7">
        <v>85.0</v>
      </c>
      <c r="D212" s="6" t="s">
        <v>3192</v>
      </c>
      <c r="E212" s="8">
        <v>5.0</v>
      </c>
      <c r="F212" s="10" t="s">
        <v>219</v>
      </c>
    </row>
    <row r="213">
      <c r="A213" s="5" t="s">
        <v>3218</v>
      </c>
      <c r="B213" s="6">
        <v>5.0</v>
      </c>
      <c r="C213" s="7">
        <v>122.0</v>
      </c>
      <c r="D213" s="6" t="s">
        <v>3232</v>
      </c>
      <c r="E213" s="8">
        <v>4.0</v>
      </c>
      <c r="F213" s="10" t="s">
        <v>220</v>
      </c>
    </row>
    <row r="214">
      <c r="A214" s="5" t="s">
        <v>3247</v>
      </c>
      <c r="B214" s="6">
        <v>6.0</v>
      </c>
      <c r="C214" s="7">
        <v>90.0</v>
      </c>
      <c r="D214" s="6" t="s">
        <v>3178</v>
      </c>
      <c r="E214" s="8">
        <v>4.0</v>
      </c>
      <c r="F214" s="10" t="s">
        <v>221</v>
      </c>
    </row>
    <row r="215">
      <c r="A215" s="5" t="s">
        <v>3199</v>
      </c>
      <c r="B215" s="6">
        <v>3.0</v>
      </c>
      <c r="C215" s="7">
        <v>71.0</v>
      </c>
      <c r="D215" s="6" t="s">
        <v>3176</v>
      </c>
      <c r="E215" s="8">
        <v>4.0</v>
      </c>
      <c r="F215" s="10" t="s">
        <v>222</v>
      </c>
    </row>
    <row r="216">
      <c r="A216" s="5" t="s">
        <v>3244</v>
      </c>
      <c r="B216" s="6">
        <v>1.0</v>
      </c>
      <c r="C216" s="7">
        <v>176.0</v>
      </c>
      <c r="D216" s="6" t="s">
        <v>3232</v>
      </c>
      <c r="E216" s="8">
        <v>4.0</v>
      </c>
      <c r="F216" s="10" t="s">
        <v>223</v>
      </c>
    </row>
    <row r="217">
      <c r="A217" s="5" t="s">
        <v>3253</v>
      </c>
      <c r="B217" s="6">
        <v>1.0</v>
      </c>
      <c r="C217" s="7">
        <v>113.0</v>
      </c>
      <c r="D217" s="6" t="s">
        <v>3207</v>
      </c>
      <c r="E217" s="8">
        <v>4.0</v>
      </c>
      <c r="F217" s="10" t="s">
        <v>224</v>
      </c>
    </row>
    <row r="218">
      <c r="A218" s="5" t="s">
        <v>3242</v>
      </c>
      <c r="B218" s="6">
        <v>1.0</v>
      </c>
      <c r="C218" s="7">
        <v>1.0</v>
      </c>
      <c r="D218" s="6" t="s">
        <v>3221</v>
      </c>
      <c r="E218" s="8">
        <v>4.0</v>
      </c>
      <c r="F218" s="10" t="s">
        <v>225</v>
      </c>
    </row>
    <row r="219">
      <c r="A219" s="5" t="s">
        <v>3206</v>
      </c>
      <c r="B219" s="6">
        <v>6.0</v>
      </c>
      <c r="C219" s="7">
        <v>23.0</v>
      </c>
      <c r="D219" s="6" t="s">
        <v>3219</v>
      </c>
      <c r="E219" s="8">
        <v>4.0</v>
      </c>
      <c r="F219" s="10" t="s">
        <v>226</v>
      </c>
    </row>
    <row r="220">
      <c r="A220" s="5" t="s">
        <v>3258</v>
      </c>
      <c r="B220" s="6">
        <v>6.0</v>
      </c>
      <c r="C220" s="7">
        <v>54.0</v>
      </c>
      <c r="D220" s="6" t="s">
        <v>3215</v>
      </c>
      <c r="E220" s="8">
        <v>4.0</v>
      </c>
      <c r="F220" s="10" t="s">
        <v>227</v>
      </c>
    </row>
    <row r="221">
      <c r="A221" s="5" t="s">
        <v>3228</v>
      </c>
      <c r="B221" s="6">
        <v>6.0</v>
      </c>
      <c r="C221" s="7">
        <v>104.0</v>
      </c>
      <c r="D221" s="6" t="s">
        <v>3257</v>
      </c>
      <c r="E221" s="8">
        <v>4.0</v>
      </c>
      <c r="F221" s="10" t="s">
        <v>228</v>
      </c>
    </row>
    <row r="222">
      <c r="A222" s="5" t="s">
        <v>3267</v>
      </c>
      <c r="B222" s="6">
        <v>3.0</v>
      </c>
      <c r="C222" s="7">
        <v>95.0</v>
      </c>
      <c r="D222" s="6" t="s">
        <v>3227</v>
      </c>
      <c r="E222" s="8">
        <v>3.0</v>
      </c>
      <c r="F222" s="10" t="s">
        <v>229</v>
      </c>
    </row>
    <row r="223">
      <c r="A223" s="5" t="s">
        <v>3236</v>
      </c>
      <c r="B223" s="6">
        <v>6.0</v>
      </c>
      <c r="C223" s="7">
        <v>129.0</v>
      </c>
      <c r="D223" s="6" t="s">
        <v>3182</v>
      </c>
      <c r="E223" s="8">
        <v>3.0</v>
      </c>
      <c r="F223" s="10" t="s">
        <v>230</v>
      </c>
    </row>
    <row r="224">
      <c r="A224" s="5" t="s">
        <v>3220</v>
      </c>
      <c r="B224" s="6">
        <v>6.0</v>
      </c>
      <c r="C224" s="7">
        <v>135.0</v>
      </c>
      <c r="D224" s="6" t="s">
        <v>3207</v>
      </c>
      <c r="E224" s="8">
        <v>3.0</v>
      </c>
      <c r="F224" s="10" t="s">
        <v>231</v>
      </c>
    </row>
    <row r="225">
      <c r="A225" s="5" t="s">
        <v>3197</v>
      </c>
      <c r="B225" s="6">
        <v>1.0</v>
      </c>
      <c r="C225" s="7">
        <v>174.0</v>
      </c>
      <c r="D225" s="6" t="s">
        <v>3188</v>
      </c>
      <c r="E225" s="8">
        <v>3.0</v>
      </c>
      <c r="F225" s="10" t="s">
        <v>232</v>
      </c>
    </row>
    <row r="226">
      <c r="A226" s="5" t="s">
        <v>3261</v>
      </c>
      <c r="B226" s="6">
        <v>4.0</v>
      </c>
      <c r="C226" s="7">
        <v>42.0</v>
      </c>
      <c r="D226" s="6" t="s">
        <v>3182</v>
      </c>
      <c r="E226" s="8">
        <v>3.0</v>
      </c>
      <c r="F226" s="10" t="s">
        <v>233</v>
      </c>
    </row>
    <row r="227">
      <c r="A227" s="5" t="s">
        <v>3216</v>
      </c>
      <c r="B227" s="6">
        <v>6.0</v>
      </c>
      <c r="C227" s="7">
        <v>129.0</v>
      </c>
      <c r="D227" s="6" t="s">
        <v>3182</v>
      </c>
      <c r="E227" s="8">
        <v>3.0</v>
      </c>
      <c r="F227" s="10" t="s">
        <v>234</v>
      </c>
    </row>
    <row r="228">
      <c r="A228" s="5" t="s">
        <v>3189</v>
      </c>
      <c r="B228" s="6">
        <v>6.0</v>
      </c>
      <c r="C228" s="7">
        <v>38.0</v>
      </c>
      <c r="D228" s="6" t="s">
        <v>3169</v>
      </c>
      <c r="E228" s="8">
        <v>2.0</v>
      </c>
      <c r="F228" s="10" t="s">
        <v>235</v>
      </c>
    </row>
    <row r="229">
      <c r="A229" s="5" t="s">
        <v>3228</v>
      </c>
      <c r="B229" s="6">
        <v>6.0</v>
      </c>
      <c r="C229" s="7">
        <v>59.0</v>
      </c>
      <c r="D229" s="6" t="s">
        <v>3227</v>
      </c>
      <c r="E229" s="8">
        <v>2.0</v>
      </c>
      <c r="F229" s="10" t="s">
        <v>236</v>
      </c>
    </row>
    <row r="230">
      <c r="A230" s="5" t="s">
        <v>3247</v>
      </c>
      <c r="B230" s="6">
        <v>6.0</v>
      </c>
      <c r="C230" s="7">
        <v>171.0</v>
      </c>
      <c r="D230" s="6" t="s">
        <v>3245</v>
      </c>
      <c r="E230" s="8">
        <v>2.0</v>
      </c>
      <c r="F230" s="10" t="s">
        <v>237</v>
      </c>
    </row>
    <row r="231">
      <c r="A231" s="5" t="s">
        <v>3261</v>
      </c>
      <c r="B231" s="6">
        <v>4.0</v>
      </c>
      <c r="C231" s="7">
        <v>97.0</v>
      </c>
      <c r="D231" s="6" t="s">
        <v>3194</v>
      </c>
      <c r="E231" s="8">
        <v>2.0</v>
      </c>
      <c r="F231" s="10" t="s">
        <v>238</v>
      </c>
    </row>
    <row r="232">
      <c r="A232" s="5" t="s">
        <v>3252</v>
      </c>
      <c r="B232" s="6">
        <v>6.0</v>
      </c>
      <c r="C232" s="7">
        <v>8.0</v>
      </c>
      <c r="D232" s="6" t="s">
        <v>3169</v>
      </c>
      <c r="E232" s="8">
        <v>2.0</v>
      </c>
      <c r="F232" s="11" t="s">
        <v>239</v>
      </c>
    </row>
    <row r="233">
      <c r="A233" s="5" t="s">
        <v>3217</v>
      </c>
      <c r="B233" s="6">
        <v>5.0</v>
      </c>
      <c r="C233" s="7">
        <v>54.0</v>
      </c>
      <c r="D233" s="6" t="s">
        <v>3215</v>
      </c>
      <c r="E233" s="8">
        <v>2.0</v>
      </c>
      <c r="F233" s="10" t="s">
        <v>240</v>
      </c>
    </row>
    <row r="234">
      <c r="A234" s="5" t="s">
        <v>3204</v>
      </c>
      <c r="B234" s="6">
        <v>1.0</v>
      </c>
      <c r="C234" s="7">
        <v>171.0</v>
      </c>
      <c r="D234" s="6" t="s">
        <v>3245</v>
      </c>
      <c r="E234" s="8">
        <v>2.0</v>
      </c>
      <c r="F234" s="10" t="s">
        <v>241</v>
      </c>
    </row>
    <row r="235">
      <c r="A235" s="5" t="s">
        <v>3242</v>
      </c>
      <c r="B235" s="6">
        <v>1.0</v>
      </c>
      <c r="C235" s="7">
        <v>33.0</v>
      </c>
      <c r="D235" s="6" t="s">
        <v>3225</v>
      </c>
      <c r="E235" s="8">
        <v>1.0</v>
      </c>
      <c r="F235" s="10" t="s">
        <v>242</v>
      </c>
    </row>
    <row r="236">
      <c r="A236" s="5" t="s">
        <v>3216</v>
      </c>
      <c r="B236" s="6">
        <v>6.0</v>
      </c>
      <c r="C236" s="7">
        <v>22.0</v>
      </c>
      <c r="D236" s="6" t="s">
        <v>3167</v>
      </c>
      <c r="E236" s="8">
        <v>1.0</v>
      </c>
      <c r="F236" s="10" t="s">
        <v>243</v>
      </c>
    </row>
    <row r="237">
      <c r="A237" s="5" t="s">
        <v>3193</v>
      </c>
      <c r="B237" s="6">
        <v>5.0</v>
      </c>
      <c r="C237" s="7">
        <v>149.0</v>
      </c>
      <c r="D237" s="6" t="s">
        <v>3239</v>
      </c>
      <c r="E237" s="8">
        <v>1.0</v>
      </c>
      <c r="F237" s="10" t="s">
        <v>244</v>
      </c>
    </row>
    <row r="238">
      <c r="A238" s="5" t="s">
        <v>3247</v>
      </c>
      <c r="B238" s="6">
        <v>6.0</v>
      </c>
      <c r="C238" s="7">
        <v>197.0</v>
      </c>
      <c r="D238" s="6" t="s">
        <v>3173</v>
      </c>
      <c r="E238" s="8">
        <v>1.0</v>
      </c>
      <c r="F238" s="10" t="s">
        <v>245</v>
      </c>
    </row>
    <row r="239">
      <c r="A239" s="5" t="s">
        <v>3265</v>
      </c>
      <c r="B239" s="6">
        <v>1.0</v>
      </c>
      <c r="C239" s="7">
        <v>4.0</v>
      </c>
      <c r="D239" s="6" t="s">
        <v>3196</v>
      </c>
      <c r="E239" s="8">
        <v>1.0</v>
      </c>
      <c r="F239" s="10" t="s">
        <v>246</v>
      </c>
    </row>
    <row r="240">
      <c r="A240" s="5" t="s">
        <v>3220</v>
      </c>
      <c r="B240" s="6">
        <v>6.0</v>
      </c>
      <c r="C240" s="7">
        <v>9.0</v>
      </c>
      <c r="D240" s="6" t="s">
        <v>3232</v>
      </c>
      <c r="E240" s="8">
        <v>1.0</v>
      </c>
      <c r="F240" s="10" t="s">
        <v>247</v>
      </c>
    </row>
    <row r="241">
      <c r="A241" s="5" t="s">
        <v>3181</v>
      </c>
      <c r="B241" s="6">
        <v>1.0</v>
      </c>
      <c r="C241" s="7">
        <v>135.0</v>
      </c>
      <c r="D241" s="6" t="s">
        <v>3207</v>
      </c>
      <c r="E241" s="8">
        <v>1.0</v>
      </c>
      <c r="F241" s="10" t="s">
        <v>248</v>
      </c>
    </row>
    <row r="242">
      <c r="A242" s="5" t="s">
        <v>3197</v>
      </c>
      <c r="B242" s="6">
        <v>1.0</v>
      </c>
      <c r="C242" s="7">
        <v>170.0</v>
      </c>
      <c r="D242" s="6" t="s">
        <v>3182</v>
      </c>
      <c r="E242" s="8">
        <v>5.0</v>
      </c>
      <c r="F242" s="10" t="s">
        <v>249</v>
      </c>
    </row>
    <row r="243">
      <c r="A243" s="5" t="s">
        <v>3268</v>
      </c>
      <c r="B243" s="6">
        <v>1.0</v>
      </c>
      <c r="C243" s="7">
        <v>176.0</v>
      </c>
      <c r="D243" s="6" t="s">
        <v>3232</v>
      </c>
      <c r="E243" s="8">
        <v>5.0</v>
      </c>
      <c r="F243" s="10" t="s">
        <v>250</v>
      </c>
    </row>
    <row r="244">
      <c r="A244" s="5" t="s">
        <v>3170</v>
      </c>
      <c r="B244" s="6">
        <v>1.0</v>
      </c>
      <c r="C244" s="7">
        <v>129.0</v>
      </c>
      <c r="D244" s="6" t="s">
        <v>3182</v>
      </c>
      <c r="E244" s="8">
        <v>5.0</v>
      </c>
      <c r="F244" s="10" t="s">
        <v>251</v>
      </c>
    </row>
    <row r="245">
      <c r="A245" s="5" t="s">
        <v>3231</v>
      </c>
      <c r="B245" s="6">
        <v>4.0</v>
      </c>
      <c r="C245" s="7">
        <v>172.0</v>
      </c>
      <c r="D245" s="6" t="s">
        <v>3178</v>
      </c>
      <c r="E245" s="8">
        <v>5.0</v>
      </c>
      <c r="F245" s="10" t="s">
        <v>252</v>
      </c>
    </row>
    <row r="246">
      <c r="A246" s="5" t="s">
        <v>3193</v>
      </c>
      <c r="B246" s="6">
        <v>5.0</v>
      </c>
      <c r="C246" s="7">
        <v>126.0</v>
      </c>
      <c r="D246" s="6" t="s">
        <v>3211</v>
      </c>
      <c r="E246" s="8">
        <v>5.0</v>
      </c>
      <c r="F246" s="10" t="s">
        <v>253</v>
      </c>
    </row>
    <row r="247">
      <c r="A247" s="5" t="s">
        <v>3250</v>
      </c>
      <c r="B247" s="6">
        <v>4.0</v>
      </c>
      <c r="C247" s="7">
        <v>185.0</v>
      </c>
      <c r="D247" s="6" t="s">
        <v>3173</v>
      </c>
      <c r="E247" s="8">
        <v>5.0</v>
      </c>
      <c r="F247" s="10" t="s">
        <v>254</v>
      </c>
    </row>
    <row r="248">
      <c r="A248" s="5" t="s">
        <v>3259</v>
      </c>
      <c r="B248" s="6">
        <v>6.0</v>
      </c>
      <c r="C248" s="7">
        <v>86.0</v>
      </c>
      <c r="D248" s="6" t="s">
        <v>3245</v>
      </c>
      <c r="E248" s="8">
        <v>5.0</v>
      </c>
      <c r="F248" s="10" t="s">
        <v>255</v>
      </c>
    </row>
    <row r="249">
      <c r="A249" s="5" t="s">
        <v>3179</v>
      </c>
      <c r="B249" s="6">
        <v>1.0</v>
      </c>
      <c r="C249" s="7">
        <v>7.0</v>
      </c>
      <c r="D249" s="6" t="s">
        <v>3180</v>
      </c>
      <c r="E249" s="8">
        <v>5.0</v>
      </c>
      <c r="F249" s="10" t="s">
        <v>256</v>
      </c>
    </row>
    <row r="250">
      <c r="A250" s="5" t="s">
        <v>3266</v>
      </c>
      <c r="B250" s="6">
        <v>3.0</v>
      </c>
      <c r="C250" s="7">
        <v>198.0</v>
      </c>
      <c r="D250" s="6" t="s">
        <v>3180</v>
      </c>
      <c r="E250" s="8">
        <v>5.0</v>
      </c>
      <c r="F250" s="10" t="s">
        <v>257</v>
      </c>
    </row>
    <row r="251">
      <c r="A251" s="5" t="s">
        <v>3230</v>
      </c>
      <c r="B251" s="6">
        <v>1.0</v>
      </c>
      <c r="C251" s="7">
        <v>190.0</v>
      </c>
      <c r="D251" s="6" t="s">
        <v>3186</v>
      </c>
      <c r="E251" s="8">
        <v>5.0</v>
      </c>
      <c r="F251" s="10" t="s">
        <v>258</v>
      </c>
    </row>
    <row r="252">
      <c r="A252" s="5" t="s">
        <v>3266</v>
      </c>
      <c r="B252" s="6">
        <v>3.0</v>
      </c>
      <c r="C252" s="7">
        <v>25.0</v>
      </c>
      <c r="D252" s="6" t="s">
        <v>3173</v>
      </c>
      <c r="E252" s="8">
        <v>5.0</v>
      </c>
      <c r="F252" s="10" t="s">
        <v>259</v>
      </c>
    </row>
    <row r="253">
      <c r="A253" s="5" t="s">
        <v>3217</v>
      </c>
      <c r="B253" s="6">
        <v>5.0</v>
      </c>
      <c r="C253" s="7">
        <v>15.0</v>
      </c>
      <c r="D253" s="6" t="s">
        <v>3254</v>
      </c>
      <c r="E253" s="8">
        <v>4.0</v>
      </c>
      <c r="F253" s="10" t="s">
        <v>260</v>
      </c>
    </row>
    <row r="254">
      <c r="A254" s="5" t="s">
        <v>3212</v>
      </c>
      <c r="B254" s="6">
        <v>6.0</v>
      </c>
      <c r="C254" s="7">
        <v>43.0</v>
      </c>
      <c r="D254" s="6" t="s">
        <v>3214</v>
      </c>
      <c r="E254" s="8">
        <v>4.0</v>
      </c>
      <c r="F254" s="10" t="s">
        <v>261</v>
      </c>
    </row>
    <row r="255">
      <c r="A255" s="5" t="s">
        <v>3220</v>
      </c>
      <c r="B255" s="6">
        <v>6.0</v>
      </c>
      <c r="C255" s="7">
        <v>67.0</v>
      </c>
      <c r="D255" s="6" t="s">
        <v>3186</v>
      </c>
      <c r="E255" s="8">
        <v>4.0</v>
      </c>
      <c r="F255" s="10" t="s">
        <v>262</v>
      </c>
    </row>
    <row r="256">
      <c r="A256" s="5" t="s">
        <v>3204</v>
      </c>
      <c r="B256" s="6">
        <v>1.0</v>
      </c>
      <c r="C256" s="7">
        <v>128.0</v>
      </c>
      <c r="D256" s="6" t="s">
        <v>3211</v>
      </c>
      <c r="E256" s="8">
        <v>3.0</v>
      </c>
      <c r="F256" s="10" t="s">
        <v>263</v>
      </c>
    </row>
    <row r="257">
      <c r="A257" s="5" t="s">
        <v>3255</v>
      </c>
      <c r="B257" s="6">
        <v>6.0</v>
      </c>
      <c r="C257" s="7">
        <v>112.0</v>
      </c>
      <c r="D257" s="6" t="s">
        <v>3227</v>
      </c>
      <c r="E257" s="8">
        <v>3.0</v>
      </c>
      <c r="F257" s="10" t="s">
        <v>264</v>
      </c>
    </row>
    <row r="258">
      <c r="A258" s="5" t="s">
        <v>3233</v>
      </c>
      <c r="B258" s="6">
        <v>6.0</v>
      </c>
      <c r="C258" s="7">
        <v>127.0</v>
      </c>
      <c r="D258" s="6" t="s">
        <v>3262</v>
      </c>
      <c r="E258" s="8">
        <v>3.0</v>
      </c>
      <c r="F258" s="10" t="s">
        <v>265</v>
      </c>
    </row>
    <row r="259">
      <c r="A259" s="5" t="s">
        <v>3208</v>
      </c>
      <c r="B259" s="6">
        <v>4.0</v>
      </c>
      <c r="C259" s="7">
        <v>146.0</v>
      </c>
      <c r="D259" s="6" t="s">
        <v>3200</v>
      </c>
      <c r="E259" s="8">
        <v>2.0</v>
      </c>
      <c r="F259" s="10" t="s">
        <v>266</v>
      </c>
    </row>
    <row r="260">
      <c r="A260" s="5" t="s">
        <v>3185</v>
      </c>
      <c r="B260" s="6">
        <v>1.0</v>
      </c>
      <c r="C260" s="7">
        <v>118.0</v>
      </c>
      <c r="D260" s="6" t="s">
        <v>3200</v>
      </c>
      <c r="E260" s="8">
        <v>2.0</v>
      </c>
      <c r="F260" s="10" t="s">
        <v>267</v>
      </c>
    </row>
    <row r="261">
      <c r="A261" s="5" t="s">
        <v>3170</v>
      </c>
      <c r="B261" s="6">
        <v>1.0</v>
      </c>
      <c r="C261" s="7">
        <v>16.0</v>
      </c>
      <c r="D261" s="6" t="s">
        <v>3178</v>
      </c>
      <c r="E261" s="8">
        <v>2.0</v>
      </c>
      <c r="F261" s="10" t="s">
        <v>268</v>
      </c>
    </row>
    <row r="262">
      <c r="A262" s="5" t="s">
        <v>3266</v>
      </c>
      <c r="B262" s="6">
        <v>3.0</v>
      </c>
      <c r="C262" s="7">
        <v>38.0</v>
      </c>
      <c r="D262" s="6" t="s">
        <v>3169</v>
      </c>
      <c r="E262" s="8">
        <v>2.0</v>
      </c>
      <c r="F262" s="10" t="s">
        <v>269</v>
      </c>
    </row>
    <row r="263">
      <c r="A263" s="5" t="s">
        <v>3199</v>
      </c>
      <c r="B263" s="6">
        <v>3.0</v>
      </c>
      <c r="C263" s="7">
        <v>185.0</v>
      </c>
      <c r="D263" s="6" t="s">
        <v>3173</v>
      </c>
      <c r="E263" s="8">
        <v>2.0</v>
      </c>
      <c r="F263" s="10" t="s">
        <v>270</v>
      </c>
    </row>
    <row r="264">
      <c r="A264" s="5" t="s">
        <v>3252</v>
      </c>
      <c r="B264" s="6">
        <v>6.0</v>
      </c>
      <c r="C264" s="7">
        <v>135.0</v>
      </c>
      <c r="D264" s="6" t="s">
        <v>3207</v>
      </c>
      <c r="E264" s="8">
        <v>2.0</v>
      </c>
      <c r="F264" s="10" t="s">
        <v>271</v>
      </c>
    </row>
    <row r="265">
      <c r="A265" s="5" t="s">
        <v>3231</v>
      </c>
      <c r="B265" s="6">
        <v>4.0</v>
      </c>
      <c r="C265" s="7">
        <v>200.0</v>
      </c>
      <c r="D265" s="6" t="s">
        <v>3238</v>
      </c>
      <c r="E265" s="8">
        <v>2.0</v>
      </c>
      <c r="F265" s="10" t="s">
        <v>272</v>
      </c>
    </row>
    <row r="266">
      <c r="A266" s="5" t="s">
        <v>3242</v>
      </c>
      <c r="B266" s="6">
        <v>1.0</v>
      </c>
      <c r="C266" s="7">
        <v>119.0</v>
      </c>
      <c r="D266" s="6" t="s">
        <v>3178</v>
      </c>
      <c r="E266" s="8">
        <v>2.0</v>
      </c>
      <c r="F266" s="10" t="s">
        <v>273</v>
      </c>
    </row>
    <row r="267">
      <c r="A267" s="5" t="s">
        <v>3230</v>
      </c>
      <c r="B267" s="6">
        <v>1.0</v>
      </c>
      <c r="C267" s="7">
        <v>31.0</v>
      </c>
      <c r="D267" s="6" t="s">
        <v>3227</v>
      </c>
      <c r="E267" s="8">
        <v>2.0</v>
      </c>
      <c r="F267" s="10" t="s">
        <v>274</v>
      </c>
    </row>
    <row r="268">
      <c r="A268" s="5" t="s">
        <v>3230</v>
      </c>
      <c r="B268" s="6">
        <v>1.0</v>
      </c>
      <c r="C268" s="7">
        <v>88.0</v>
      </c>
      <c r="D268" s="6" t="s">
        <v>3167</v>
      </c>
      <c r="E268" s="8">
        <v>2.0</v>
      </c>
      <c r="F268" s="10" t="s">
        <v>275</v>
      </c>
    </row>
    <row r="269">
      <c r="A269" s="5" t="s">
        <v>3193</v>
      </c>
      <c r="B269" s="6">
        <v>5.0</v>
      </c>
      <c r="C269" s="7">
        <v>130.0</v>
      </c>
      <c r="D269" s="6" t="s">
        <v>3232</v>
      </c>
      <c r="E269" s="8">
        <v>2.0</v>
      </c>
      <c r="F269" s="10" t="s">
        <v>276</v>
      </c>
    </row>
    <row r="270">
      <c r="A270" s="5" t="s">
        <v>3266</v>
      </c>
      <c r="B270" s="6">
        <v>3.0</v>
      </c>
      <c r="C270" s="7">
        <v>162.0</v>
      </c>
      <c r="D270" s="6" t="s">
        <v>3257</v>
      </c>
      <c r="E270" s="8">
        <v>2.0</v>
      </c>
      <c r="F270" s="10" t="s">
        <v>277</v>
      </c>
    </row>
    <row r="271">
      <c r="A271" s="5" t="s">
        <v>3217</v>
      </c>
      <c r="B271" s="6">
        <v>5.0</v>
      </c>
      <c r="C271" s="7">
        <v>154.0</v>
      </c>
      <c r="D271" s="6" t="s">
        <v>3171</v>
      </c>
      <c r="E271" s="8">
        <v>1.0</v>
      </c>
      <c r="F271" s="10" t="s">
        <v>278</v>
      </c>
    </row>
    <row r="272">
      <c r="A272" s="5" t="s">
        <v>3170</v>
      </c>
      <c r="B272" s="6">
        <v>1.0</v>
      </c>
      <c r="C272" s="7">
        <v>117.0</v>
      </c>
      <c r="D272" s="6" t="s">
        <v>3225</v>
      </c>
      <c r="E272" s="8">
        <v>1.0</v>
      </c>
      <c r="F272" s="10" t="s">
        <v>279</v>
      </c>
    </row>
    <row r="273">
      <c r="A273" s="5" t="s">
        <v>3267</v>
      </c>
      <c r="B273" s="6">
        <v>3.0</v>
      </c>
      <c r="C273" s="7">
        <v>80.0</v>
      </c>
      <c r="D273" s="6" t="s">
        <v>3180</v>
      </c>
      <c r="E273" s="8">
        <v>1.0</v>
      </c>
      <c r="F273" s="10" t="s">
        <v>280</v>
      </c>
    </row>
    <row r="274">
      <c r="A274" s="5" t="s">
        <v>3170</v>
      </c>
      <c r="B274" s="6">
        <v>1.0</v>
      </c>
      <c r="C274" s="7">
        <v>150.0</v>
      </c>
      <c r="D274" s="6" t="s">
        <v>3167</v>
      </c>
      <c r="E274" s="8">
        <v>1.0</v>
      </c>
      <c r="F274" s="10" t="s">
        <v>281</v>
      </c>
    </row>
    <row r="275">
      <c r="A275" s="5" t="s">
        <v>3236</v>
      </c>
      <c r="B275" s="6">
        <v>6.0</v>
      </c>
      <c r="C275" s="7">
        <v>183.0</v>
      </c>
      <c r="D275" s="6" t="s">
        <v>3182</v>
      </c>
      <c r="E275" s="8">
        <v>1.0</v>
      </c>
      <c r="F275" s="10" t="s">
        <v>282</v>
      </c>
    </row>
    <row r="276">
      <c r="A276" s="5" t="s">
        <v>3224</v>
      </c>
      <c r="B276" s="6">
        <v>6.0</v>
      </c>
      <c r="C276" s="7">
        <v>173.0</v>
      </c>
      <c r="D276" s="6" t="s">
        <v>3167</v>
      </c>
      <c r="E276" s="8">
        <v>1.0</v>
      </c>
      <c r="F276" s="10" t="s">
        <v>283</v>
      </c>
    </row>
    <row r="277">
      <c r="A277" s="5" t="s">
        <v>3216</v>
      </c>
      <c r="B277" s="6">
        <v>6.0</v>
      </c>
      <c r="C277" s="7">
        <v>22.0</v>
      </c>
      <c r="D277" s="6" t="s">
        <v>3167</v>
      </c>
      <c r="E277" s="8">
        <v>1.0</v>
      </c>
      <c r="F277" s="10" t="s">
        <v>284</v>
      </c>
    </row>
    <row r="278">
      <c r="A278" s="5" t="s">
        <v>3204</v>
      </c>
      <c r="B278" s="6">
        <v>1.0</v>
      </c>
      <c r="C278" s="7">
        <v>2.0</v>
      </c>
      <c r="D278" s="6" t="s">
        <v>3214</v>
      </c>
      <c r="E278" s="8">
        <v>1.0</v>
      </c>
      <c r="F278" s="10" t="s">
        <v>285</v>
      </c>
    </row>
    <row r="279">
      <c r="A279" s="5" t="s">
        <v>3217</v>
      </c>
      <c r="B279" s="6">
        <v>5.0</v>
      </c>
      <c r="C279" s="7">
        <v>118.0</v>
      </c>
      <c r="D279" s="6" t="s">
        <v>3200</v>
      </c>
      <c r="E279" s="8">
        <v>1.0</v>
      </c>
      <c r="F279" s="10" t="s">
        <v>286</v>
      </c>
    </row>
    <row r="280">
      <c r="A280" s="5" t="s">
        <v>3244</v>
      </c>
      <c r="B280" s="6">
        <v>1.0</v>
      </c>
      <c r="C280" s="7">
        <v>174.0</v>
      </c>
      <c r="D280" s="6" t="s">
        <v>3188</v>
      </c>
      <c r="E280" s="8">
        <v>1.0</v>
      </c>
      <c r="F280" s="10" t="s">
        <v>287</v>
      </c>
    </row>
    <row r="281">
      <c r="A281" s="5" t="s">
        <v>3269</v>
      </c>
      <c r="B281" s="6">
        <v>6.0</v>
      </c>
      <c r="C281" s="7">
        <v>62.0</v>
      </c>
      <c r="D281" s="6" t="s">
        <v>3200</v>
      </c>
      <c r="E281" s="8">
        <v>1.0</v>
      </c>
      <c r="F281" s="10" t="s">
        <v>288</v>
      </c>
    </row>
    <row r="282">
      <c r="A282" s="5" t="s">
        <v>3177</v>
      </c>
      <c r="B282" s="6">
        <v>5.0</v>
      </c>
      <c r="C282" s="7">
        <v>19.0</v>
      </c>
      <c r="D282" s="6" t="s">
        <v>3169</v>
      </c>
      <c r="E282" s="8">
        <v>1.0</v>
      </c>
      <c r="F282" s="10" t="s">
        <v>289</v>
      </c>
    </row>
    <row r="283">
      <c r="A283" s="5" t="s">
        <v>3253</v>
      </c>
      <c r="B283" s="6">
        <v>1.0</v>
      </c>
      <c r="C283" s="7">
        <v>65.0</v>
      </c>
      <c r="D283" s="6" t="s">
        <v>3221</v>
      </c>
      <c r="E283" s="8">
        <v>5.0</v>
      </c>
      <c r="F283" s="10" t="s">
        <v>290</v>
      </c>
    </row>
    <row r="284">
      <c r="A284" s="5" t="s">
        <v>3172</v>
      </c>
      <c r="B284" s="6">
        <v>1.0</v>
      </c>
      <c r="C284" s="7">
        <v>55.0</v>
      </c>
      <c r="D284" s="6" t="s">
        <v>3198</v>
      </c>
      <c r="E284" s="8">
        <v>5.0</v>
      </c>
      <c r="F284" s="10" t="s">
        <v>291</v>
      </c>
    </row>
    <row r="285">
      <c r="A285" s="5" t="s">
        <v>3172</v>
      </c>
      <c r="B285" s="6">
        <v>1.0</v>
      </c>
      <c r="C285" s="7">
        <v>89.0</v>
      </c>
      <c r="D285" s="6" t="s">
        <v>3262</v>
      </c>
      <c r="E285" s="8">
        <v>5.0</v>
      </c>
      <c r="F285" s="10" t="s">
        <v>292</v>
      </c>
    </row>
    <row r="286">
      <c r="A286" s="5" t="s">
        <v>3267</v>
      </c>
      <c r="B286" s="6">
        <v>3.0</v>
      </c>
      <c r="C286" s="7">
        <v>23.0</v>
      </c>
      <c r="D286" s="6" t="s">
        <v>3219</v>
      </c>
      <c r="E286" s="8">
        <v>5.0</v>
      </c>
      <c r="F286" s="10" t="s">
        <v>293</v>
      </c>
    </row>
    <row r="287">
      <c r="A287" s="5" t="s">
        <v>3250</v>
      </c>
      <c r="B287" s="6">
        <v>4.0</v>
      </c>
      <c r="C287" s="7">
        <v>97.0</v>
      </c>
      <c r="D287" s="6" t="s">
        <v>3194</v>
      </c>
      <c r="E287" s="8">
        <v>5.0</v>
      </c>
      <c r="F287" s="10" t="s">
        <v>294</v>
      </c>
    </row>
    <row r="288">
      <c r="A288" s="5" t="s">
        <v>3250</v>
      </c>
      <c r="B288" s="6">
        <v>4.0</v>
      </c>
      <c r="C288" s="7">
        <v>19.0</v>
      </c>
      <c r="D288" s="6" t="s">
        <v>3169</v>
      </c>
      <c r="E288" s="8">
        <v>5.0</v>
      </c>
      <c r="F288" s="10" t="s">
        <v>295</v>
      </c>
    </row>
    <row r="289">
      <c r="A289" s="5" t="s">
        <v>3209</v>
      </c>
      <c r="B289" s="6">
        <v>4.0</v>
      </c>
      <c r="C289" s="7">
        <v>69.0</v>
      </c>
      <c r="D289" s="6" t="s">
        <v>3203</v>
      </c>
      <c r="E289" s="8">
        <v>5.0</v>
      </c>
      <c r="F289" s="10" t="s">
        <v>296</v>
      </c>
    </row>
    <row r="290">
      <c r="A290" s="5" t="s">
        <v>3252</v>
      </c>
      <c r="B290" s="6">
        <v>6.0</v>
      </c>
      <c r="C290" s="7">
        <v>31.0</v>
      </c>
      <c r="D290" s="6" t="s">
        <v>3227</v>
      </c>
      <c r="E290" s="8">
        <v>5.0</v>
      </c>
      <c r="F290" s="10" t="s">
        <v>297</v>
      </c>
    </row>
    <row r="291">
      <c r="A291" s="5" t="s">
        <v>3205</v>
      </c>
      <c r="B291" s="6">
        <v>1.0</v>
      </c>
      <c r="C291" s="7">
        <v>199.0</v>
      </c>
      <c r="D291" s="6" t="s">
        <v>3169</v>
      </c>
      <c r="E291" s="8">
        <v>5.0</v>
      </c>
      <c r="F291" s="10" t="s">
        <v>298</v>
      </c>
    </row>
    <row r="292">
      <c r="A292" s="5" t="s">
        <v>3236</v>
      </c>
      <c r="B292" s="6">
        <v>6.0</v>
      </c>
      <c r="C292" s="7">
        <v>56.0</v>
      </c>
      <c r="D292" s="6" t="s">
        <v>3186</v>
      </c>
      <c r="E292" s="8">
        <v>5.0</v>
      </c>
      <c r="F292" s="10" t="s">
        <v>299</v>
      </c>
    </row>
    <row r="293">
      <c r="A293" s="5" t="s">
        <v>3193</v>
      </c>
      <c r="B293" s="6">
        <v>5.0</v>
      </c>
      <c r="C293" s="7">
        <v>50.0</v>
      </c>
      <c r="D293" s="6" t="s">
        <v>3238</v>
      </c>
      <c r="E293" s="8">
        <v>5.0</v>
      </c>
      <c r="F293" s="10" t="s">
        <v>300</v>
      </c>
    </row>
    <row r="294">
      <c r="A294" s="5" t="s">
        <v>3168</v>
      </c>
      <c r="B294" s="6">
        <v>1.0</v>
      </c>
      <c r="C294" s="7">
        <v>108.0</v>
      </c>
      <c r="D294" s="6" t="s">
        <v>3198</v>
      </c>
      <c r="E294" s="8">
        <v>5.0</v>
      </c>
      <c r="F294" s="10" t="s">
        <v>301</v>
      </c>
    </row>
    <row r="295">
      <c r="A295" s="5" t="s">
        <v>3212</v>
      </c>
      <c r="B295" s="6">
        <v>6.0</v>
      </c>
      <c r="C295" s="7">
        <v>78.0</v>
      </c>
      <c r="D295" s="6" t="s">
        <v>3176</v>
      </c>
      <c r="E295" s="8">
        <v>5.0</v>
      </c>
      <c r="F295" s="10" t="s">
        <v>302</v>
      </c>
    </row>
    <row r="296">
      <c r="A296" s="5" t="s">
        <v>3175</v>
      </c>
      <c r="B296" s="6">
        <v>5.0</v>
      </c>
      <c r="C296" s="7">
        <v>90.0</v>
      </c>
      <c r="D296" s="6" t="s">
        <v>3178</v>
      </c>
      <c r="E296" s="8">
        <v>5.0</v>
      </c>
      <c r="F296" s="10" t="s">
        <v>303</v>
      </c>
    </row>
    <row r="297">
      <c r="A297" s="5" t="s">
        <v>3217</v>
      </c>
      <c r="B297" s="6">
        <v>5.0</v>
      </c>
      <c r="C297" s="7">
        <v>117.0</v>
      </c>
      <c r="D297" s="6" t="s">
        <v>3225</v>
      </c>
      <c r="E297" s="8">
        <v>5.0</v>
      </c>
      <c r="F297" s="10" t="s">
        <v>304</v>
      </c>
    </row>
    <row r="298">
      <c r="A298" s="5" t="s">
        <v>3230</v>
      </c>
      <c r="B298" s="6">
        <v>1.0</v>
      </c>
      <c r="C298" s="7">
        <v>13.0</v>
      </c>
      <c r="D298" s="6" t="s">
        <v>3245</v>
      </c>
      <c r="E298" s="8">
        <v>5.0</v>
      </c>
      <c r="F298" s="10" t="s">
        <v>305</v>
      </c>
    </row>
    <row r="299">
      <c r="A299" s="5" t="s">
        <v>3252</v>
      </c>
      <c r="B299" s="6">
        <v>6.0</v>
      </c>
      <c r="C299" s="7">
        <v>134.0</v>
      </c>
      <c r="D299" s="6" t="s">
        <v>3239</v>
      </c>
      <c r="E299" s="8">
        <v>5.0</v>
      </c>
      <c r="F299" s="10" t="s">
        <v>306</v>
      </c>
    </row>
    <row r="300">
      <c r="A300" s="5" t="s">
        <v>3174</v>
      </c>
      <c r="B300" s="6">
        <v>1.0</v>
      </c>
      <c r="C300" s="7">
        <v>9.0</v>
      </c>
      <c r="D300" s="6" t="s">
        <v>3232</v>
      </c>
      <c r="E300" s="8">
        <v>4.0</v>
      </c>
      <c r="F300" s="10" t="s">
        <v>307</v>
      </c>
    </row>
    <row r="301">
      <c r="A301" s="5" t="s">
        <v>3172</v>
      </c>
      <c r="B301" s="6">
        <v>1.0</v>
      </c>
      <c r="C301" s="7">
        <v>179.0</v>
      </c>
      <c r="D301" s="6" t="s">
        <v>3214</v>
      </c>
      <c r="E301" s="8">
        <v>4.0</v>
      </c>
      <c r="F301" s="10" t="s">
        <v>308</v>
      </c>
    </row>
    <row r="302">
      <c r="A302" s="5" t="s">
        <v>3256</v>
      </c>
      <c r="B302" s="6">
        <v>6.0</v>
      </c>
      <c r="C302" s="7">
        <v>166.0</v>
      </c>
      <c r="D302" s="6" t="s">
        <v>3227</v>
      </c>
      <c r="E302" s="8">
        <v>4.0</v>
      </c>
      <c r="F302" s="10" t="s">
        <v>309</v>
      </c>
    </row>
    <row r="303">
      <c r="A303" s="5" t="s">
        <v>3269</v>
      </c>
      <c r="B303" s="6">
        <v>6.0</v>
      </c>
      <c r="C303" s="7">
        <v>149.0</v>
      </c>
      <c r="D303" s="6" t="s">
        <v>3239</v>
      </c>
      <c r="E303" s="8">
        <v>4.0</v>
      </c>
      <c r="F303" s="10" t="s">
        <v>310</v>
      </c>
    </row>
    <row r="304">
      <c r="A304" s="5" t="s">
        <v>3181</v>
      </c>
      <c r="B304" s="6">
        <v>1.0</v>
      </c>
      <c r="C304" s="7">
        <v>24.0</v>
      </c>
      <c r="D304" s="6" t="s">
        <v>3194</v>
      </c>
      <c r="E304" s="8">
        <v>4.0</v>
      </c>
      <c r="F304" s="10" t="s">
        <v>311</v>
      </c>
    </row>
    <row r="305">
      <c r="A305" s="5" t="s">
        <v>3270</v>
      </c>
      <c r="B305" s="6">
        <v>3.0</v>
      </c>
      <c r="C305" s="7">
        <v>46.0</v>
      </c>
      <c r="D305" s="6" t="s">
        <v>3194</v>
      </c>
      <c r="E305" s="8">
        <v>4.0</v>
      </c>
      <c r="F305" s="10" t="s">
        <v>312</v>
      </c>
    </row>
    <row r="306">
      <c r="A306" s="5" t="s">
        <v>3213</v>
      </c>
      <c r="B306" s="6">
        <v>2.0</v>
      </c>
      <c r="C306" s="7">
        <v>144.0</v>
      </c>
      <c r="D306" s="6" t="s">
        <v>3173</v>
      </c>
      <c r="E306" s="8">
        <v>4.0</v>
      </c>
      <c r="F306" s="10" t="s">
        <v>313</v>
      </c>
    </row>
    <row r="307">
      <c r="A307" s="5" t="s">
        <v>3202</v>
      </c>
      <c r="B307" s="6">
        <v>4.0</v>
      </c>
      <c r="C307" s="7">
        <v>184.0</v>
      </c>
      <c r="D307" s="6" t="s">
        <v>3169</v>
      </c>
      <c r="E307" s="8">
        <v>4.0</v>
      </c>
      <c r="F307" s="10" t="s">
        <v>314</v>
      </c>
    </row>
    <row r="308">
      <c r="A308" s="5" t="s">
        <v>3223</v>
      </c>
      <c r="B308" s="6">
        <v>3.0</v>
      </c>
      <c r="C308" s="7">
        <v>200.0</v>
      </c>
      <c r="D308" s="6" t="s">
        <v>3238</v>
      </c>
      <c r="E308" s="8">
        <v>4.0</v>
      </c>
      <c r="F308" s="10" t="s">
        <v>315</v>
      </c>
    </row>
    <row r="309">
      <c r="A309" s="5" t="s">
        <v>3263</v>
      </c>
      <c r="B309" s="6">
        <v>1.0</v>
      </c>
      <c r="C309" s="7">
        <v>132.0</v>
      </c>
      <c r="D309" s="6" t="s">
        <v>3186</v>
      </c>
      <c r="E309" s="8">
        <v>4.0</v>
      </c>
      <c r="F309" s="10" t="s">
        <v>316</v>
      </c>
    </row>
    <row r="310">
      <c r="A310" s="5" t="s">
        <v>3177</v>
      </c>
      <c r="B310" s="6">
        <v>5.0</v>
      </c>
      <c r="C310" s="7">
        <v>129.0</v>
      </c>
      <c r="D310" s="6" t="s">
        <v>3182</v>
      </c>
      <c r="E310" s="8">
        <v>4.0</v>
      </c>
      <c r="F310" s="10" t="s">
        <v>317</v>
      </c>
    </row>
    <row r="311">
      <c r="A311" s="5" t="s">
        <v>3213</v>
      </c>
      <c r="B311" s="6">
        <v>2.0</v>
      </c>
      <c r="C311" s="7">
        <v>24.0</v>
      </c>
      <c r="D311" s="6" t="s">
        <v>3194</v>
      </c>
      <c r="E311" s="8">
        <v>4.0</v>
      </c>
      <c r="F311" s="10" t="s">
        <v>318</v>
      </c>
    </row>
    <row r="312">
      <c r="A312" s="5" t="s">
        <v>3259</v>
      </c>
      <c r="B312" s="6">
        <v>6.0</v>
      </c>
      <c r="C312" s="7">
        <v>133.0</v>
      </c>
      <c r="D312" s="6" t="s">
        <v>3192</v>
      </c>
      <c r="E312" s="8">
        <v>4.0</v>
      </c>
      <c r="F312" s="10" t="s">
        <v>319</v>
      </c>
    </row>
    <row r="313">
      <c r="A313" s="5" t="s">
        <v>3204</v>
      </c>
      <c r="B313" s="6">
        <v>1.0</v>
      </c>
      <c r="C313" s="7">
        <v>85.0</v>
      </c>
      <c r="D313" s="6" t="s">
        <v>3192</v>
      </c>
      <c r="E313" s="8">
        <v>4.0</v>
      </c>
      <c r="F313" s="10" t="s">
        <v>320</v>
      </c>
    </row>
    <row r="314">
      <c r="A314" s="5" t="s">
        <v>3191</v>
      </c>
      <c r="B314" s="6">
        <v>5.0</v>
      </c>
      <c r="C314" s="7">
        <v>153.0</v>
      </c>
      <c r="D314" s="6" t="s">
        <v>3180</v>
      </c>
      <c r="E314" s="8">
        <v>4.0</v>
      </c>
      <c r="F314" s="10" t="s">
        <v>321</v>
      </c>
    </row>
    <row r="315">
      <c r="A315" s="5" t="s">
        <v>3268</v>
      </c>
      <c r="B315" s="6">
        <v>1.0</v>
      </c>
      <c r="C315" s="7">
        <v>93.0</v>
      </c>
      <c r="D315" s="6" t="s">
        <v>3221</v>
      </c>
      <c r="E315" s="8">
        <v>3.0</v>
      </c>
      <c r="F315" s="10" t="s">
        <v>322</v>
      </c>
    </row>
    <row r="316">
      <c r="A316" s="5" t="s">
        <v>3174</v>
      </c>
      <c r="B316" s="6">
        <v>1.0</v>
      </c>
      <c r="C316" s="7">
        <v>41.0</v>
      </c>
      <c r="D316" s="6" t="s">
        <v>3238</v>
      </c>
      <c r="E316" s="8">
        <v>3.0</v>
      </c>
      <c r="F316" s="10" t="s">
        <v>323</v>
      </c>
    </row>
    <row r="317">
      <c r="A317" s="5" t="s">
        <v>3206</v>
      </c>
      <c r="B317" s="6">
        <v>6.0</v>
      </c>
      <c r="C317" s="7">
        <v>152.0</v>
      </c>
      <c r="D317" s="6" t="s">
        <v>3203</v>
      </c>
      <c r="E317" s="8">
        <v>3.0</v>
      </c>
      <c r="F317" s="10" t="s">
        <v>324</v>
      </c>
    </row>
    <row r="318">
      <c r="A318" s="5" t="s">
        <v>3195</v>
      </c>
      <c r="B318" s="6">
        <v>4.0</v>
      </c>
      <c r="C318" s="7">
        <v>90.0</v>
      </c>
      <c r="D318" s="6" t="s">
        <v>3178</v>
      </c>
      <c r="E318" s="8">
        <v>3.0</v>
      </c>
      <c r="F318" s="10" t="s">
        <v>325</v>
      </c>
    </row>
    <row r="319">
      <c r="A319" s="5" t="s">
        <v>3217</v>
      </c>
      <c r="B319" s="6">
        <v>5.0</v>
      </c>
      <c r="C319" s="7">
        <v>169.0</v>
      </c>
      <c r="D319" s="6" t="s">
        <v>3200</v>
      </c>
      <c r="E319" s="8">
        <v>3.0</v>
      </c>
      <c r="F319" s="10" t="s">
        <v>326</v>
      </c>
    </row>
    <row r="320">
      <c r="A320" s="5" t="s">
        <v>3217</v>
      </c>
      <c r="B320" s="6">
        <v>5.0</v>
      </c>
      <c r="C320" s="7">
        <v>160.0</v>
      </c>
      <c r="D320" s="6" t="s">
        <v>3239</v>
      </c>
      <c r="E320" s="8">
        <v>3.0</v>
      </c>
      <c r="F320" s="10" t="s">
        <v>327</v>
      </c>
    </row>
    <row r="321">
      <c r="A321" s="5" t="s">
        <v>3226</v>
      </c>
      <c r="B321" s="6">
        <v>1.0</v>
      </c>
      <c r="C321" s="7">
        <v>56.0</v>
      </c>
      <c r="D321" s="6" t="s">
        <v>3186</v>
      </c>
      <c r="E321" s="8">
        <v>2.0</v>
      </c>
      <c r="F321" s="10" t="s">
        <v>328</v>
      </c>
    </row>
    <row r="322">
      <c r="A322" s="5" t="s">
        <v>3166</v>
      </c>
      <c r="B322" s="6">
        <v>6.0</v>
      </c>
      <c r="C322" s="7">
        <v>70.0</v>
      </c>
      <c r="D322" s="6" t="s">
        <v>3222</v>
      </c>
      <c r="E322" s="8">
        <v>2.0</v>
      </c>
      <c r="F322" s="10" t="s">
        <v>329</v>
      </c>
    </row>
    <row r="323">
      <c r="A323" s="5" t="s">
        <v>3268</v>
      </c>
      <c r="B323" s="6">
        <v>1.0</v>
      </c>
      <c r="C323" s="7">
        <v>82.0</v>
      </c>
      <c r="D323" s="6" t="s">
        <v>3190</v>
      </c>
      <c r="E323" s="8">
        <v>2.0</v>
      </c>
      <c r="F323" s="10" t="s">
        <v>330</v>
      </c>
    </row>
    <row r="324">
      <c r="A324" s="5" t="s">
        <v>3264</v>
      </c>
      <c r="B324" s="6">
        <v>4.0</v>
      </c>
      <c r="C324" s="7">
        <v>192.0</v>
      </c>
      <c r="D324" s="6" t="s">
        <v>3186</v>
      </c>
      <c r="E324" s="8">
        <v>2.0</v>
      </c>
      <c r="F324" s="10" t="s">
        <v>331</v>
      </c>
    </row>
    <row r="325">
      <c r="A325" s="5" t="s">
        <v>3229</v>
      </c>
      <c r="B325" s="6">
        <v>4.0</v>
      </c>
      <c r="C325" s="7">
        <v>87.0</v>
      </c>
      <c r="D325" s="6" t="s">
        <v>3227</v>
      </c>
      <c r="E325" s="8">
        <v>2.0</v>
      </c>
      <c r="F325" s="10" t="s">
        <v>332</v>
      </c>
    </row>
    <row r="326">
      <c r="A326" s="5" t="s">
        <v>3183</v>
      </c>
      <c r="B326" s="6">
        <v>6.0</v>
      </c>
      <c r="C326" s="7">
        <v>36.0</v>
      </c>
      <c r="D326" s="6" t="s">
        <v>3227</v>
      </c>
      <c r="E326" s="8">
        <v>2.0</v>
      </c>
      <c r="F326" s="10" t="s">
        <v>333</v>
      </c>
    </row>
    <row r="327">
      <c r="A327" s="5" t="s">
        <v>3209</v>
      </c>
      <c r="B327" s="6">
        <v>4.0</v>
      </c>
      <c r="C327" s="7">
        <v>168.0</v>
      </c>
      <c r="D327" s="6" t="s">
        <v>3194</v>
      </c>
      <c r="E327" s="8">
        <v>1.0</v>
      </c>
      <c r="F327" s="10" t="s">
        <v>334</v>
      </c>
    </row>
    <row r="328">
      <c r="A328" s="5" t="s">
        <v>3264</v>
      </c>
      <c r="B328" s="6">
        <v>4.0</v>
      </c>
      <c r="C328" s="7">
        <v>41.0</v>
      </c>
      <c r="D328" s="6" t="s">
        <v>3238</v>
      </c>
      <c r="E328" s="8">
        <v>1.0</v>
      </c>
      <c r="F328" s="10" t="s">
        <v>335</v>
      </c>
    </row>
    <row r="329">
      <c r="A329" s="5" t="s">
        <v>3265</v>
      </c>
      <c r="B329" s="6">
        <v>1.0</v>
      </c>
      <c r="C329" s="7">
        <v>83.0</v>
      </c>
      <c r="D329" s="6" t="s">
        <v>3203</v>
      </c>
      <c r="E329" s="8">
        <v>1.0</v>
      </c>
      <c r="F329" s="10" t="s">
        <v>336</v>
      </c>
    </row>
    <row r="330">
      <c r="A330" s="5" t="s">
        <v>3181</v>
      </c>
      <c r="B330" s="6">
        <v>1.0</v>
      </c>
      <c r="C330" s="7">
        <v>186.0</v>
      </c>
      <c r="D330" s="6" t="s">
        <v>3222</v>
      </c>
      <c r="E330" s="8">
        <v>1.0</v>
      </c>
      <c r="F330" s="10" t="s">
        <v>337</v>
      </c>
    </row>
    <row r="331">
      <c r="A331" s="5" t="s">
        <v>3181</v>
      </c>
      <c r="B331" s="6">
        <v>1.0</v>
      </c>
      <c r="C331" s="7">
        <v>114.0</v>
      </c>
      <c r="D331" s="6" t="s">
        <v>3245</v>
      </c>
      <c r="E331" s="8">
        <v>1.0</v>
      </c>
      <c r="F331" s="10" t="s">
        <v>338</v>
      </c>
    </row>
    <row r="332">
      <c r="A332" s="5" t="s">
        <v>3202</v>
      </c>
      <c r="B332" s="6">
        <v>4.0</v>
      </c>
      <c r="C332" s="7">
        <v>67.0</v>
      </c>
      <c r="D332" s="6" t="s">
        <v>3186</v>
      </c>
      <c r="E332" s="8">
        <v>1.0</v>
      </c>
      <c r="F332" s="10" t="s">
        <v>339</v>
      </c>
    </row>
    <row r="333">
      <c r="A333" s="5" t="s">
        <v>3242</v>
      </c>
      <c r="B333" s="6">
        <v>1.0</v>
      </c>
      <c r="C333" s="7">
        <v>119.0</v>
      </c>
      <c r="D333" s="6" t="s">
        <v>3178</v>
      </c>
      <c r="E333" s="8">
        <v>1.0</v>
      </c>
      <c r="F333" s="10" t="s">
        <v>340</v>
      </c>
    </row>
    <row r="334">
      <c r="A334" s="5" t="s">
        <v>3201</v>
      </c>
      <c r="B334" s="6">
        <v>5.0</v>
      </c>
      <c r="C334" s="7">
        <v>4.0</v>
      </c>
      <c r="D334" s="6" t="s">
        <v>3196</v>
      </c>
      <c r="E334" s="8">
        <v>1.0</v>
      </c>
      <c r="F334" s="10" t="s">
        <v>341</v>
      </c>
    </row>
    <row r="335">
      <c r="A335" s="5" t="s">
        <v>3228</v>
      </c>
      <c r="B335" s="6">
        <v>6.0</v>
      </c>
      <c r="C335" s="7">
        <v>40.0</v>
      </c>
      <c r="D335" s="6" t="s">
        <v>3221</v>
      </c>
      <c r="E335" s="8">
        <v>1.0</v>
      </c>
      <c r="F335" s="10" t="s">
        <v>342</v>
      </c>
    </row>
    <row r="336">
      <c r="A336" s="5" t="s">
        <v>3168</v>
      </c>
      <c r="B336" s="6">
        <v>1.0</v>
      </c>
      <c r="C336" s="7">
        <v>72.0</v>
      </c>
      <c r="D336" s="6" t="s">
        <v>3171</v>
      </c>
      <c r="E336" s="8">
        <v>1.0</v>
      </c>
      <c r="F336" s="10" t="s">
        <v>343</v>
      </c>
    </row>
    <row r="337">
      <c r="A337" s="5" t="s">
        <v>3179</v>
      </c>
      <c r="B337" s="6">
        <v>1.0</v>
      </c>
      <c r="C337" s="7">
        <v>117.0</v>
      </c>
      <c r="D337" s="6" t="s">
        <v>3225</v>
      </c>
      <c r="E337" s="8">
        <v>1.0</v>
      </c>
      <c r="F337" s="10" t="s">
        <v>344</v>
      </c>
    </row>
    <row r="338">
      <c r="A338" s="5" t="s">
        <v>3218</v>
      </c>
      <c r="B338" s="6">
        <v>5.0</v>
      </c>
      <c r="C338" s="7">
        <v>104.0</v>
      </c>
      <c r="D338" s="6" t="s">
        <v>3257</v>
      </c>
      <c r="E338" s="8">
        <v>1.0</v>
      </c>
      <c r="F338" s="10" t="s">
        <v>345</v>
      </c>
    </row>
    <row r="339">
      <c r="A339" s="5" t="s">
        <v>3202</v>
      </c>
      <c r="B339" s="6">
        <v>4.0</v>
      </c>
      <c r="C339" s="7">
        <v>144.0</v>
      </c>
      <c r="D339" s="6" t="s">
        <v>3173</v>
      </c>
      <c r="E339" s="8">
        <v>1.0</v>
      </c>
      <c r="F339" s="10" t="s">
        <v>346</v>
      </c>
    </row>
    <row r="340">
      <c r="A340" s="5" t="s">
        <v>3258</v>
      </c>
      <c r="B340" s="6">
        <v>6.0</v>
      </c>
      <c r="C340" s="7">
        <v>157.0</v>
      </c>
      <c r="D340" s="6" t="s">
        <v>3219</v>
      </c>
      <c r="E340" s="8">
        <v>5.0</v>
      </c>
      <c r="F340" s="10" t="s">
        <v>347</v>
      </c>
    </row>
    <row r="341">
      <c r="A341" s="5" t="s">
        <v>3216</v>
      </c>
      <c r="B341" s="6">
        <v>6.0</v>
      </c>
      <c r="C341" s="7">
        <v>126.0</v>
      </c>
      <c r="D341" s="6" t="s">
        <v>3211</v>
      </c>
      <c r="E341" s="8">
        <v>5.0</v>
      </c>
      <c r="F341" s="10" t="s">
        <v>348</v>
      </c>
    </row>
    <row r="342">
      <c r="A342" s="5" t="s">
        <v>3226</v>
      </c>
      <c r="B342" s="6">
        <v>1.0</v>
      </c>
      <c r="C342" s="7">
        <v>16.0</v>
      </c>
      <c r="D342" s="6" t="s">
        <v>3178</v>
      </c>
      <c r="E342" s="8">
        <v>5.0</v>
      </c>
      <c r="F342" s="10" t="s">
        <v>349</v>
      </c>
    </row>
    <row r="343">
      <c r="A343" s="5" t="s">
        <v>3197</v>
      </c>
      <c r="B343" s="6">
        <v>1.0</v>
      </c>
      <c r="C343" s="7">
        <v>53.0</v>
      </c>
      <c r="D343" s="6" t="s">
        <v>3249</v>
      </c>
      <c r="E343" s="8">
        <v>5.0</v>
      </c>
      <c r="F343" s="10" t="s">
        <v>350</v>
      </c>
    </row>
    <row r="344">
      <c r="A344" s="5" t="s">
        <v>3195</v>
      </c>
      <c r="B344" s="6">
        <v>4.0</v>
      </c>
      <c r="C344" s="7">
        <v>88.0</v>
      </c>
      <c r="D344" s="6" t="s">
        <v>3167</v>
      </c>
      <c r="E344" s="8">
        <v>5.0</v>
      </c>
      <c r="F344" s="10" t="s">
        <v>351</v>
      </c>
    </row>
    <row r="345">
      <c r="A345" s="5" t="s">
        <v>3233</v>
      </c>
      <c r="B345" s="6">
        <v>6.0</v>
      </c>
      <c r="C345" s="7">
        <v>42.0</v>
      </c>
      <c r="D345" s="6" t="s">
        <v>3182</v>
      </c>
      <c r="E345" s="8">
        <v>5.0</v>
      </c>
      <c r="F345" s="10" t="s">
        <v>352</v>
      </c>
    </row>
    <row r="346">
      <c r="A346" s="5" t="s">
        <v>3189</v>
      </c>
      <c r="B346" s="6">
        <v>6.0</v>
      </c>
      <c r="C346" s="7">
        <v>41.0</v>
      </c>
      <c r="D346" s="6" t="s">
        <v>3238</v>
      </c>
      <c r="E346" s="8">
        <v>5.0</v>
      </c>
      <c r="F346" s="10" t="s">
        <v>353</v>
      </c>
    </row>
    <row r="347">
      <c r="A347" s="5" t="s">
        <v>3195</v>
      </c>
      <c r="B347" s="6">
        <v>4.0</v>
      </c>
      <c r="C347" s="7">
        <v>103.0</v>
      </c>
      <c r="D347" s="6" t="s">
        <v>3254</v>
      </c>
      <c r="E347" s="8">
        <v>5.0</v>
      </c>
      <c r="F347" s="10" t="s">
        <v>354</v>
      </c>
    </row>
    <row r="348">
      <c r="A348" s="5" t="s">
        <v>3199</v>
      </c>
      <c r="B348" s="6">
        <v>3.0</v>
      </c>
      <c r="C348" s="7">
        <v>3.0</v>
      </c>
      <c r="D348" s="6" t="s">
        <v>3200</v>
      </c>
      <c r="E348" s="8">
        <v>5.0</v>
      </c>
      <c r="F348" s="10" t="s">
        <v>355</v>
      </c>
    </row>
    <row r="349">
      <c r="A349" s="5" t="s">
        <v>3228</v>
      </c>
      <c r="B349" s="6">
        <v>6.0</v>
      </c>
      <c r="C349" s="7">
        <v>85.0</v>
      </c>
      <c r="D349" s="6" t="s">
        <v>3192</v>
      </c>
      <c r="E349" s="8">
        <v>5.0</v>
      </c>
      <c r="F349" s="10" t="s">
        <v>356</v>
      </c>
    </row>
    <row r="350">
      <c r="A350" s="5" t="s">
        <v>3218</v>
      </c>
      <c r="B350" s="6">
        <v>5.0</v>
      </c>
      <c r="C350" s="7">
        <v>142.0</v>
      </c>
      <c r="D350" s="6" t="s">
        <v>3173</v>
      </c>
      <c r="E350" s="8">
        <v>5.0</v>
      </c>
      <c r="F350" s="10" t="s">
        <v>357</v>
      </c>
    </row>
    <row r="351">
      <c r="A351" s="5" t="s">
        <v>3174</v>
      </c>
      <c r="B351" s="6">
        <v>1.0</v>
      </c>
      <c r="C351" s="7">
        <v>35.0</v>
      </c>
      <c r="D351" s="6" t="s">
        <v>3196</v>
      </c>
      <c r="E351" s="8">
        <v>5.0</v>
      </c>
      <c r="F351" s="10" t="s">
        <v>358</v>
      </c>
    </row>
    <row r="352">
      <c r="A352" s="5" t="s">
        <v>3236</v>
      </c>
      <c r="B352" s="6">
        <v>6.0</v>
      </c>
      <c r="C352" s="7">
        <v>167.0</v>
      </c>
      <c r="D352" s="6" t="s">
        <v>3254</v>
      </c>
      <c r="E352" s="8">
        <v>5.0</v>
      </c>
      <c r="F352" s="10" t="s">
        <v>359</v>
      </c>
    </row>
    <row r="353">
      <c r="A353" s="5" t="s">
        <v>3185</v>
      </c>
      <c r="B353" s="6">
        <v>1.0</v>
      </c>
      <c r="C353" s="7">
        <v>176.0</v>
      </c>
      <c r="D353" s="6" t="s">
        <v>3232</v>
      </c>
      <c r="E353" s="8">
        <v>5.0</v>
      </c>
      <c r="F353" s="10" t="s">
        <v>360</v>
      </c>
    </row>
    <row r="354">
      <c r="A354" s="5" t="s">
        <v>3265</v>
      </c>
      <c r="B354" s="6">
        <v>1.0</v>
      </c>
      <c r="C354" s="7">
        <v>153.0</v>
      </c>
      <c r="D354" s="6" t="s">
        <v>3180</v>
      </c>
      <c r="E354" s="8">
        <v>5.0</v>
      </c>
      <c r="F354" s="10" t="s">
        <v>361</v>
      </c>
    </row>
    <row r="355">
      <c r="A355" s="5" t="s">
        <v>3201</v>
      </c>
      <c r="B355" s="6">
        <v>5.0</v>
      </c>
      <c r="C355" s="7">
        <v>46.0</v>
      </c>
      <c r="D355" s="6" t="s">
        <v>3194</v>
      </c>
      <c r="E355" s="8">
        <v>5.0</v>
      </c>
      <c r="F355" s="10" t="s">
        <v>362</v>
      </c>
    </row>
    <row r="356">
      <c r="A356" s="5" t="s">
        <v>3205</v>
      </c>
      <c r="B356" s="6">
        <v>1.0</v>
      </c>
      <c r="C356" s="7">
        <v>144.0</v>
      </c>
      <c r="D356" s="6" t="s">
        <v>3173</v>
      </c>
      <c r="E356" s="8">
        <v>5.0</v>
      </c>
      <c r="F356" s="10" t="s">
        <v>363</v>
      </c>
    </row>
    <row r="357">
      <c r="A357" s="5" t="s">
        <v>3252</v>
      </c>
      <c r="B357" s="6">
        <v>6.0</v>
      </c>
      <c r="C357" s="7">
        <v>135.0</v>
      </c>
      <c r="D357" s="6" t="s">
        <v>3207</v>
      </c>
      <c r="E357" s="8">
        <v>5.0</v>
      </c>
      <c r="F357" s="10" t="s">
        <v>364</v>
      </c>
    </row>
    <row r="358">
      <c r="A358" s="5" t="s">
        <v>3210</v>
      </c>
      <c r="B358" s="6">
        <v>1.0</v>
      </c>
      <c r="C358" s="7">
        <v>109.0</v>
      </c>
      <c r="D358" s="6" t="s">
        <v>3249</v>
      </c>
      <c r="E358" s="8">
        <v>4.0</v>
      </c>
      <c r="F358" s="10" t="s">
        <v>365</v>
      </c>
    </row>
    <row r="359">
      <c r="A359" s="5" t="s">
        <v>3247</v>
      </c>
      <c r="B359" s="6">
        <v>6.0</v>
      </c>
      <c r="C359" s="7">
        <v>34.0</v>
      </c>
      <c r="D359" s="6" t="s">
        <v>3227</v>
      </c>
      <c r="E359" s="8">
        <v>4.0</v>
      </c>
      <c r="F359" s="10" t="s">
        <v>366</v>
      </c>
    </row>
    <row r="360">
      <c r="A360" s="5" t="s">
        <v>3250</v>
      </c>
      <c r="B360" s="6">
        <v>4.0</v>
      </c>
      <c r="C360" s="7">
        <v>157.0</v>
      </c>
      <c r="D360" s="6" t="s">
        <v>3219</v>
      </c>
      <c r="E360" s="8">
        <v>4.0</v>
      </c>
      <c r="F360" s="10" t="s">
        <v>367</v>
      </c>
    </row>
    <row r="361">
      <c r="A361" s="5" t="s">
        <v>3261</v>
      </c>
      <c r="B361" s="6">
        <v>4.0</v>
      </c>
      <c r="C361" s="7">
        <v>27.0</v>
      </c>
      <c r="D361" s="6" t="s">
        <v>3182</v>
      </c>
      <c r="E361" s="8">
        <v>4.0</v>
      </c>
      <c r="F361" s="10" t="s">
        <v>368</v>
      </c>
    </row>
    <row r="362">
      <c r="A362" s="5" t="s">
        <v>3175</v>
      </c>
      <c r="B362" s="6">
        <v>5.0</v>
      </c>
      <c r="C362" s="7">
        <v>158.0</v>
      </c>
      <c r="D362" s="6" t="s">
        <v>3235</v>
      </c>
      <c r="E362" s="8">
        <v>4.0</v>
      </c>
      <c r="F362" s="10" t="s">
        <v>369</v>
      </c>
    </row>
    <row r="363">
      <c r="A363" s="5" t="s">
        <v>3209</v>
      </c>
      <c r="B363" s="6">
        <v>4.0</v>
      </c>
      <c r="C363" s="7">
        <v>148.0</v>
      </c>
      <c r="D363" s="6" t="s">
        <v>3262</v>
      </c>
      <c r="E363" s="8">
        <v>4.0</v>
      </c>
      <c r="F363" s="10" t="s">
        <v>370</v>
      </c>
    </row>
    <row r="364">
      <c r="A364" s="5" t="s">
        <v>3209</v>
      </c>
      <c r="B364" s="6">
        <v>4.0</v>
      </c>
      <c r="C364" s="7">
        <v>185.0</v>
      </c>
      <c r="D364" s="6" t="s">
        <v>3173</v>
      </c>
      <c r="E364" s="8">
        <v>4.0</v>
      </c>
      <c r="F364" s="10" t="s">
        <v>371</v>
      </c>
    </row>
    <row r="365">
      <c r="A365" s="5" t="s">
        <v>3250</v>
      </c>
      <c r="B365" s="6">
        <v>4.0</v>
      </c>
      <c r="C365" s="7">
        <v>6.0</v>
      </c>
      <c r="D365" s="6" t="s">
        <v>3180</v>
      </c>
      <c r="E365" s="8">
        <v>4.0</v>
      </c>
      <c r="F365" s="10" t="s">
        <v>372</v>
      </c>
    </row>
    <row r="366">
      <c r="A366" s="5" t="s">
        <v>3216</v>
      </c>
      <c r="B366" s="6">
        <v>6.0</v>
      </c>
      <c r="C366" s="7">
        <v>144.0</v>
      </c>
      <c r="D366" s="6" t="s">
        <v>3173</v>
      </c>
      <c r="E366" s="8">
        <v>4.0</v>
      </c>
      <c r="F366" s="10" t="s">
        <v>373</v>
      </c>
    </row>
    <row r="367">
      <c r="A367" s="5" t="s">
        <v>3247</v>
      </c>
      <c r="B367" s="6">
        <v>6.0</v>
      </c>
      <c r="C367" s="7">
        <v>31.0</v>
      </c>
      <c r="D367" s="6" t="s">
        <v>3227</v>
      </c>
      <c r="E367" s="8">
        <v>4.0</v>
      </c>
      <c r="F367" s="10" t="s">
        <v>374</v>
      </c>
    </row>
    <row r="368">
      <c r="A368" s="5" t="s">
        <v>3216</v>
      </c>
      <c r="B368" s="6">
        <v>6.0</v>
      </c>
      <c r="C368" s="7">
        <v>41.0</v>
      </c>
      <c r="D368" s="6" t="s">
        <v>3238</v>
      </c>
      <c r="E368" s="8">
        <v>4.0</v>
      </c>
      <c r="F368" s="10" t="s">
        <v>375</v>
      </c>
    </row>
    <row r="369">
      <c r="A369" s="5" t="s">
        <v>3181</v>
      </c>
      <c r="B369" s="6">
        <v>1.0</v>
      </c>
      <c r="C369" s="7">
        <v>20.0</v>
      </c>
      <c r="D369" s="6" t="s">
        <v>3173</v>
      </c>
      <c r="E369" s="8">
        <v>4.0</v>
      </c>
      <c r="F369" s="10" t="s">
        <v>376</v>
      </c>
    </row>
    <row r="370">
      <c r="A370" s="5" t="s">
        <v>3264</v>
      </c>
      <c r="B370" s="6">
        <v>4.0</v>
      </c>
      <c r="C370" s="7">
        <v>118.0</v>
      </c>
      <c r="D370" s="6" t="s">
        <v>3200</v>
      </c>
      <c r="E370" s="8">
        <v>4.0</v>
      </c>
      <c r="F370" s="10" t="s">
        <v>377</v>
      </c>
    </row>
    <row r="371">
      <c r="A371" s="5" t="s">
        <v>3263</v>
      </c>
      <c r="B371" s="6">
        <v>1.0</v>
      </c>
      <c r="C371" s="7">
        <v>71.0</v>
      </c>
      <c r="D371" s="6" t="s">
        <v>3176</v>
      </c>
      <c r="E371" s="8">
        <v>4.0</v>
      </c>
      <c r="F371" s="10" t="s">
        <v>378</v>
      </c>
    </row>
    <row r="372">
      <c r="A372" s="5" t="s">
        <v>3266</v>
      </c>
      <c r="B372" s="6">
        <v>3.0</v>
      </c>
      <c r="C372" s="7">
        <v>4.0</v>
      </c>
      <c r="D372" s="6" t="s">
        <v>3196</v>
      </c>
      <c r="E372" s="8">
        <v>4.0</v>
      </c>
      <c r="F372" s="10" t="s">
        <v>379</v>
      </c>
    </row>
    <row r="373">
      <c r="A373" s="5" t="s">
        <v>3230</v>
      </c>
      <c r="B373" s="6">
        <v>1.0</v>
      </c>
      <c r="C373" s="7">
        <v>140.0</v>
      </c>
      <c r="D373" s="6" t="s">
        <v>3190</v>
      </c>
      <c r="E373" s="8">
        <v>3.0</v>
      </c>
      <c r="F373" s="10" t="s">
        <v>380</v>
      </c>
    </row>
    <row r="374">
      <c r="A374" s="5" t="s">
        <v>3189</v>
      </c>
      <c r="B374" s="6">
        <v>6.0</v>
      </c>
      <c r="C374" s="7">
        <v>151.0</v>
      </c>
      <c r="D374" s="6" t="s">
        <v>3232</v>
      </c>
      <c r="E374" s="8">
        <v>3.0</v>
      </c>
      <c r="F374" s="10" t="s">
        <v>381</v>
      </c>
    </row>
    <row r="375">
      <c r="A375" s="5" t="s">
        <v>3247</v>
      </c>
      <c r="B375" s="6">
        <v>6.0</v>
      </c>
      <c r="C375" s="7">
        <v>47.0</v>
      </c>
      <c r="D375" s="6" t="s">
        <v>3221</v>
      </c>
      <c r="E375" s="8">
        <v>3.0</v>
      </c>
      <c r="F375" s="10" t="s">
        <v>382</v>
      </c>
    </row>
    <row r="376">
      <c r="A376" s="5" t="s">
        <v>3269</v>
      </c>
      <c r="B376" s="6">
        <v>6.0</v>
      </c>
      <c r="C376" s="7">
        <v>144.0</v>
      </c>
      <c r="D376" s="6" t="s">
        <v>3173</v>
      </c>
      <c r="E376" s="8">
        <v>2.0</v>
      </c>
      <c r="F376" s="10" t="s">
        <v>383</v>
      </c>
    </row>
    <row r="377">
      <c r="A377" s="5" t="s">
        <v>3229</v>
      </c>
      <c r="B377" s="6">
        <v>4.0</v>
      </c>
      <c r="C377" s="7">
        <v>161.0</v>
      </c>
      <c r="D377" s="6" t="s">
        <v>3192</v>
      </c>
      <c r="E377" s="8">
        <v>2.0</v>
      </c>
      <c r="F377" s="10" t="s">
        <v>384</v>
      </c>
    </row>
    <row r="378">
      <c r="A378" s="5" t="s">
        <v>3205</v>
      </c>
      <c r="B378" s="6">
        <v>1.0</v>
      </c>
      <c r="C378" s="7">
        <v>155.0</v>
      </c>
      <c r="D378" s="6" t="s">
        <v>3180</v>
      </c>
      <c r="E378" s="8">
        <v>2.0</v>
      </c>
      <c r="F378" s="10" t="s">
        <v>385</v>
      </c>
    </row>
    <row r="379">
      <c r="A379" s="5" t="s">
        <v>3218</v>
      </c>
      <c r="B379" s="6">
        <v>5.0</v>
      </c>
      <c r="C379" s="7">
        <v>71.0</v>
      </c>
      <c r="D379" s="6" t="s">
        <v>3176</v>
      </c>
      <c r="E379" s="8">
        <v>2.0</v>
      </c>
      <c r="F379" s="10" t="s">
        <v>386</v>
      </c>
    </row>
    <row r="380">
      <c r="A380" s="5" t="s">
        <v>3258</v>
      </c>
      <c r="B380" s="6">
        <v>6.0</v>
      </c>
      <c r="C380" s="7">
        <v>140.0</v>
      </c>
      <c r="D380" s="6" t="s">
        <v>3190</v>
      </c>
      <c r="E380" s="8">
        <v>2.0</v>
      </c>
      <c r="F380" s="10" t="s">
        <v>387</v>
      </c>
    </row>
    <row r="381">
      <c r="A381" s="5" t="s">
        <v>3230</v>
      </c>
      <c r="B381" s="6">
        <v>1.0</v>
      </c>
      <c r="C381" s="7">
        <v>91.0</v>
      </c>
      <c r="D381" s="6" t="s">
        <v>3178</v>
      </c>
      <c r="E381" s="8">
        <v>2.0</v>
      </c>
      <c r="F381" s="10" t="s">
        <v>388</v>
      </c>
    </row>
    <row r="382">
      <c r="A382" s="5" t="s">
        <v>3199</v>
      </c>
      <c r="B382" s="6">
        <v>3.0</v>
      </c>
      <c r="C382" s="7">
        <v>199.0</v>
      </c>
      <c r="D382" s="6" t="s">
        <v>3169</v>
      </c>
      <c r="E382" s="8">
        <v>2.0</v>
      </c>
      <c r="F382" s="10" t="s">
        <v>389</v>
      </c>
    </row>
    <row r="383">
      <c r="A383" s="5" t="s">
        <v>3199</v>
      </c>
      <c r="B383" s="6">
        <v>3.0</v>
      </c>
      <c r="C383" s="7">
        <v>61.0</v>
      </c>
      <c r="D383" s="6" t="s">
        <v>3249</v>
      </c>
      <c r="E383" s="8">
        <v>2.0</v>
      </c>
      <c r="F383" s="10" t="s">
        <v>390</v>
      </c>
    </row>
    <row r="384">
      <c r="A384" s="5" t="s">
        <v>3228</v>
      </c>
      <c r="B384" s="6">
        <v>6.0</v>
      </c>
      <c r="C384" s="7">
        <v>81.0</v>
      </c>
      <c r="D384" s="6" t="s">
        <v>3169</v>
      </c>
      <c r="E384" s="8">
        <v>2.0</v>
      </c>
      <c r="F384" s="10" t="s">
        <v>391</v>
      </c>
    </row>
    <row r="385">
      <c r="A385" s="5" t="s">
        <v>3263</v>
      </c>
      <c r="B385" s="6">
        <v>1.0</v>
      </c>
      <c r="C385" s="7">
        <v>43.0</v>
      </c>
      <c r="D385" s="6" t="s">
        <v>3214</v>
      </c>
      <c r="E385" s="8">
        <v>2.0</v>
      </c>
      <c r="F385" s="10" t="s">
        <v>392</v>
      </c>
    </row>
    <row r="386">
      <c r="A386" s="5" t="s">
        <v>3206</v>
      </c>
      <c r="B386" s="6">
        <v>6.0</v>
      </c>
      <c r="C386" s="7">
        <v>71.0</v>
      </c>
      <c r="D386" s="6" t="s">
        <v>3176</v>
      </c>
      <c r="E386" s="8">
        <v>2.0</v>
      </c>
      <c r="F386" s="10" t="s">
        <v>393</v>
      </c>
    </row>
    <row r="387">
      <c r="A387" s="5" t="s">
        <v>3230</v>
      </c>
      <c r="B387" s="6">
        <v>1.0</v>
      </c>
      <c r="C387" s="7">
        <v>75.0</v>
      </c>
      <c r="D387" s="6" t="s">
        <v>3257</v>
      </c>
      <c r="E387" s="8">
        <v>2.0</v>
      </c>
      <c r="F387" s="10" t="s">
        <v>394</v>
      </c>
    </row>
    <row r="388">
      <c r="A388" s="5" t="s">
        <v>3226</v>
      </c>
      <c r="B388" s="6">
        <v>1.0</v>
      </c>
      <c r="C388" s="7">
        <v>82.0</v>
      </c>
      <c r="D388" s="6" t="s">
        <v>3190</v>
      </c>
      <c r="E388" s="8">
        <v>1.0</v>
      </c>
      <c r="F388" s="10" t="s">
        <v>395</v>
      </c>
    </row>
    <row r="389">
      <c r="A389" s="5" t="s">
        <v>3264</v>
      </c>
      <c r="B389" s="6">
        <v>4.0</v>
      </c>
      <c r="C389" s="7">
        <v>57.0</v>
      </c>
      <c r="D389" s="6" t="s">
        <v>3239</v>
      </c>
      <c r="E389" s="8">
        <v>1.0</v>
      </c>
      <c r="F389" s="10" t="s">
        <v>396</v>
      </c>
    </row>
    <row r="390">
      <c r="A390" s="5" t="s">
        <v>3261</v>
      </c>
      <c r="B390" s="6">
        <v>4.0</v>
      </c>
      <c r="C390" s="7">
        <v>142.0</v>
      </c>
      <c r="D390" s="6" t="s">
        <v>3173</v>
      </c>
      <c r="E390" s="8">
        <v>1.0</v>
      </c>
      <c r="F390" s="10" t="s">
        <v>397</v>
      </c>
    </row>
    <row r="391">
      <c r="A391" s="5" t="s">
        <v>3252</v>
      </c>
      <c r="B391" s="6">
        <v>6.0</v>
      </c>
      <c r="C391" s="7">
        <v>172.0</v>
      </c>
      <c r="D391" s="6" t="s">
        <v>3178</v>
      </c>
      <c r="E391" s="8">
        <v>1.0</v>
      </c>
      <c r="F391" s="10" t="s">
        <v>398</v>
      </c>
    </row>
    <row r="392">
      <c r="A392" s="5" t="s">
        <v>3243</v>
      </c>
      <c r="B392" s="6">
        <v>4.0</v>
      </c>
      <c r="C392" s="7">
        <v>179.0</v>
      </c>
      <c r="D392" s="6" t="s">
        <v>3214</v>
      </c>
      <c r="E392" s="8">
        <v>1.0</v>
      </c>
      <c r="F392" s="10" t="s">
        <v>399</v>
      </c>
    </row>
    <row r="393">
      <c r="A393" s="5" t="s">
        <v>3175</v>
      </c>
      <c r="B393" s="6">
        <v>5.0</v>
      </c>
      <c r="C393" s="7">
        <v>64.0</v>
      </c>
      <c r="D393" s="6" t="s">
        <v>3180</v>
      </c>
      <c r="E393" s="8">
        <v>1.0</v>
      </c>
      <c r="F393" s="10" t="s">
        <v>400</v>
      </c>
    </row>
    <row r="394">
      <c r="A394" s="5" t="s">
        <v>3267</v>
      </c>
      <c r="B394" s="6">
        <v>3.0</v>
      </c>
      <c r="C394" s="7">
        <v>134.0</v>
      </c>
      <c r="D394" s="6" t="s">
        <v>3239</v>
      </c>
      <c r="E394" s="8">
        <v>1.0</v>
      </c>
      <c r="F394" s="10" t="s">
        <v>401</v>
      </c>
    </row>
    <row r="395">
      <c r="A395" s="5" t="s">
        <v>3175</v>
      </c>
      <c r="B395" s="6">
        <v>5.0</v>
      </c>
      <c r="C395" s="7">
        <v>11.0</v>
      </c>
      <c r="D395" s="6" t="s">
        <v>3180</v>
      </c>
      <c r="E395" s="8">
        <v>1.0</v>
      </c>
      <c r="F395" s="10" t="s">
        <v>402</v>
      </c>
    </row>
    <row r="396">
      <c r="A396" s="5" t="s">
        <v>3177</v>
      </c>
      <c r="B396" s="6">
        <v>5.0</v>
      </c>
      <c r="C396" s="7">
        <v>11.0</v>
      </c>
      <c r="D396" s="6" t="s">
        <v>3180</v>
      </c>
      <c r="E396" s="8">
        <v>1.0</v>
      </c>
      <c r="F396" s="10" t="s">
        <v>403</v>
      </c>
    </row>
    <row r="397">
      <c r="A397" s="5" t="s">
        <v>3268</v>
      </c>
      <c r="B397" s="6">
        <v>1.0</v>
      </c>
      <c r="C397" s="7">
        <v>19.0</v>
      </c>
      <c r="D397" s="6" t="s">
        <v>3169</v>
      </c>
      <c r="E397" s="8">
        <v>1.0</v>
      </c>
      <c r="F397" s="10" t="s">
        <v>404</v>
      </c>
    </row>
    <row r="398">
      <c r="A398" s="5" t="s">
        <v>3261</v>
      </c>
      <c r="B398" s="6">
        <v>4.0</v>
      </c>
      <c r="C398" s="7">
        <v>44.0</v>
      </c>
      <c r="D398" s="6" t="s">
        <v>3239</v>
      </c>
      <c r="E398" s="8">
        <v>5.0</v>
      </c>
      <c r="F398" s="10" t="s">
        <v>405</v>
      </c>
    </row>
    <row r="399">
      <c r="A399" s="5" t="s">
        <v>3206</v>
      </c>
      <c r="B399" s="6">
        <v>6.0</v>
      </c>
      <c r="C399" s="7">
        <v>118.0</v>
      </c>
      <c r="D399" s="6" t="s">
        <v>3200</v>
      </c>
      <c r="E399" s="8">
        <v>5.0</v>
      </c>
      <c r="F399" s="10" t="s">
        <v>406</v>
      </c>
    </row>
    <row r="400">
      <c r="A400" s="5" t="s">
        <v>3236</v>
      </c>
      <c r="B400" s="6">
        <v>6.0</v>
      </c>
      <c r="C400" s="7">
        <v>138.0</v>
      </c>
      <c r="D400" s="6" t="s">
        <v>3219</v>
      </c>
      <c r="E400" s="8">
        <v>5.0</v>
      </c>
      <c r="F400" s="10" t="s">
        <v>407</v>
      </c>
    </row>
    <row r="401">
      <c r="A401" s="5" t="s">
        <v>3255</v>
      </c>
      <c r="B401" s="6">
        <v>6.0</v>
      </c>
      <c r="C401" s="7">
        <v>172.0</v>
      </c>
      <c r="D401" s="6" t="s">
        <v>3178</v>
      </c>
      <c r="E401" s="8">
        <v>5.0</v>
      </c>
      <c r="F401" s="10" t="s">
        <v>408</v>
      </c>
    </row>
    <row r="402">
      <c r="A402" s="5" t="s">
        <v>3199</v>
      </c>
      <c r="B402" s="6">
        <v>3.0</v>
      </c>
      <c r="C402" s="7">
        <v>115.0</v>
      </c>
      <c r="D402" s="6" t="s">
        <v>3173</v>
      </c>
      <c r="E402" s="8">
        <v>5.0</v>
      </c>
      <c r="F402" s="10" t="s">
        <v>409</v>
      </c>
    </row>
    <row r="403">
      <c r="A403" s="5" t="s">
        <v>3231</v>
      </c>
      <c r="B403" s="6">
        <v>4.0</v>
      </c>
      <c r="C403" s="7">
        <v>106.0</v>
      </c>
      <c r="D403" s="6" t="s">
        <v>3167</v>
      </c>
      <c r="E403" s="8">
        <v>5.0</v>
      </c>
      <c r="F403" s="10" t="s">
        <v>410</v>
      </c>
    </row>
    <row r="404">
      <c r="A404" s="5" t="s">
        <v>3175</v>
      </c>
      <c r="B404" s="6">
        <v>5.0</v>
      </c>
      <c r="C404" s="7">
        <v>200.0</v>
      </c>
      <c r="D404" s="6" t="s">
        <v>3238</v>
      </c>
      <c r="E404" s="8">
        <v>5.0</v>
      </c>
      <c r="F404" s="10" t="s">
        <v>411</v>
      </c>
    </row>
    <row r="405">
      <c r="A405" s="5" t="s">
        <v>3223</v>
      </c>
      <c r="B405" s="6">
        <v>3.0</v>
      </c>
      <c r="C405" s="7">
        <v>23.0</v>
      </c>
      <c r="D405" s="6" t="s">
        <v>3219</v>
      </c>
      <c r="E405" s="8">
        <v>5.0</v>
      </c>
      <c r="F405" s="10" t="s">
        <v>412</v>
      </c>
    </row>
    <row r="406">
      <c r="A406" s="5" t="s">
        <v>3240</v>
      </c>
      <c r="B406" s="6">
        <v>2.0</v>
      </c>
      <c r="C406" s="7">
        <v>115.0</v>
      </c>
      <c r="D406" s="6" t="s">
        <v>3173</v>
      </c>
      <c r="E406" s="8">
        <v>5.0</v>
      </c>
      <c r="F406" s="10" t="s">
        <v>413</v>
      </c>
    </row>
    <row r="407">
      <c r="A407" s="5" t="s">
        <v>3261</v>
      </c>
      <c r="B407" s="6">
        <v>4.0</v>
      </c>
      <c r="C407" s="7">
        <v>97.0</v>
      </c>
      <c r="D407" s="6" t="s">
        <v>3194</v>
      </c>
      <c r="E407" s="8">
        <v>5.0</v>
      </c>
      <c r="F407" s="10" t="s">
        <v>414</v>
      </c>
    </row>
    <row r="408">
      <c r="A408" s="5" t="s">
        <v>3183</v>
      </c>
      <c r="B408" s="6">
        <v>6.0</v>
      </c>
      <c r="C408" s="7">
        <v>184.0</v>
      </c>
      <c r="D408" s="6" t="s">
        <v>3169</v>
      </c>
      <c r="E408" s="8">
        <v>5.0</v>
      </c>
      <c r="F408" s="10" t="s">
        <v>415</v>
      </c>
    </row>
    <row r="409">
      <c r="A409" s="5" t="s">
        <v>3267</v>
      </c>
      <c r="B409" s="6">
        <v>3.0</v>
      </c>
      <c r="C409" s="7">
        <v>90.0</v>
      </c>
      <c r="D409" s="6" t="s">
        <v>3178</v>
      </c>
      <c r="E409" s="8">
        <v>5.0</v>
      </c>
      <c r="F409" s="10" t="s">
        <v>416</v>
      </c>
    </row>
    <row r="410">
      <c r="A410" s="5" t="s">
        <v>3263</v>
      </c>
      <c r="B410" s="6">
        <v>1.0</v>
      </c>
      <c r="C410" s="7">
        <v>124.0</v>
      </c>
      <c r="D410" s="6" t="s">
        <v>3238</v>
      </c>
      <c r="E410" s="8">
        <v>5.0</v>
      </c>
      <c r="F410" s="10" t="s">
        <v>417</v>
      </c>
    </row>
    <row r="411">
      <c r="A411" s="5" t="s">
        <v>3170</v>
      </c>
      <c r="B411" s="6">
        <v>1.0</v>
      </c>
      <c r="C411" s="7">
        <v>126.0</v>
      </c>
      <c r="D411" s="6" t="s">
        <v>3211</v>
      </c>
      <c r="E411" s="8">
        <v>5.0</v>
      </c>
      <c r="F411" s="10" t="s">
        <v>418</v>
      </c>
    </row>
    <row r="412">
      <c r="A412" s="5" t="s">
        <v>3205</v>
      </c>
      <c r="B412" s="6">
        <v>1.0</v>
      </c>
      <c r="C412" s="7">
        <v>131.0</v>
      </c>
      <c r="D412" s="6" t="s">
        <v>3227</v>
      </c>
      <c r="E412" s="8">
        <v>5.0</v>
      </c>
      <c r="F412" s="10" t="s">
        <v>419</v>
      </c>
    </row>
    <row r="413">
      <c r="A413" s="5" t="s">
        <v>3187</v>
      </c>
      <c r="B413" s="6">
        <v>4.0</v>
      </c>
      <c r="C413" s="7">
        <v>7.0</v>
      </c>
      <c r="D413" s="6" t="s">
        <v>3180</v>
      </c>
      <c r="E413" s="8">
        <v>5.0</v>
      </c>
      <c r="F413" s="10" t="s">
        <v>420</v>
      </c>
    </row>
    <row r="414">
      <c r="A414" s="5" t="s">
        <v>3270</v>
      </c>
      <c r="B414" s="6">
        <v>3.0</v>
      </c>
      <c r="C414" s="7">
        <v>141.0</v>
      </c>
      <c r="D414" s="6" t="s">
        <v>3171</v>
      </c>
      <c r="E414" s="8">
        <v>5.0</v>
      </c>
      <c r="F414" s="10" t="s">
        <v>421</v>
      </c>
    </row>
    <row r="415">
      <c r="A415" s="5" t="s">
        <v>3197</v>
      </c>
      <c r="B415" s="6">
        <v>1.0</v>
      </c>
      <c r="C415" s="7">
        <v>96.0</v>
      </c>
      <c r="D415" s="6" t="s">
        <v>3190</v>
      </c>
      <c r="E415" s="8">
        <v>5.0</v>
      </c>
      <c r="F415" s="10" t="s">
        <v>422</v>
      </c>
    </row>
    <row r="416">
      <c r="A416" s="5" t="s">
        <v>3168</v>
      </c>
      <c r="B416" s="6">
        <v>1.0</v>
      </c>
      <c r="C416" s="7">
        <v>181.0</v>
      </c>
      <c r="D416" s="6" t="s">
        <v>3190</v>
      </c>
      <c r="E416" s="8">
        <v>5.0</v>
      </c>
      <c r="F416" s="10" t="s">
        <v>423</v>
      </c>
    </row>
    <row r="417">
      <c r="A417" s="5" t="s">
        <v>3246</v>
      </c>
      <c r="B417" s="6">
        <v>4.0</v>
      </c>
      <c r="C417" s="7">
        <v>48.0</v>
      </c>
      <c r="D417" s="6" t="s">
        <v>3232</v>
      </c>
      <c r="E417" s="8">
        <v>5.0</v>
      </c>
      <c r="F417" s="10" t="s">
        <v>424</v>
      </c>
    </row>
    <row r="418">
      <c r="A418" s="5" t="s">
        <v>3197</v>
      </c>
      <c r="B418" s="6">
        <v>1.0</v>
      </c>
      <c r="C418" s="7">
        <v>37.0</v>
      </c>
      <c r="D418" s="6" t="s">
        <v>3194</v>
      </c>
      <c r="E418" s="8">
        <v>5.0</v>
      </c>
      <c r="F418" s="10" t="s">
        <v>211</v>
      </c>
    </row>
    <row r="419">
      <c r="A419" s="5" t="s">
        <v>3206</v>
      </c>
      <c r="B419" s="6">
        <v>6.0</v>
      </c>
      <c r="C419" s="7">
        <v>5.0</v>
      </c>
      <c r="D419" s="6" t="s">
        <v>3207</v>
      </c>
      <c r="E419" s="8">
        <v>5.0</v>
      </c>
      <c r="F419" s="10" t="s">
        <v>425</v>
      </c>
    </row>
    <row r="420">
      <c r="A420" s="5" t="s">
        <v>3259</v>
      </c>
      <c r="B420" s="6">
        <v>6.0</v>
      </c>
      <c r="C420" s="7">
        <v>42.0</v>
      </c>
      <c r="D420" s="6" t="s">
        <v>3182</v>
      </c>
      <c r="E420" s="8">
        <v>5.0</v>
      </c>
      <c r="F420" s="10" t="s">
        <v>426</v>
      </c>
    </row>
    <row r="421">
      <c r="A421" s="5" t="s">
        <v>3183</v>
      </c>
      <c r="B421" s="6">
        <v>6.0</v>
      </c>
      <c r="C421" s="7">
        <v>2.0</v>
      </c>
      <c r="D421" s="6" t="s">
        <v>3214</v>
      </c>
      <c r="E421" s="8">
        <v>5.0</v>
      </c>
      <c r="F421" s="10" t="s">
        <v>427</v>
      </c>
    </row>
    <row r="422">
      <c r="A422" s="5" t="s">
        <v>3228</v>
      </c>
      <c r="B422" s="6">
        <v>6.0</v>
      </c>
      <c r="C422" s="7">
        <v>25.0</v>
      </c>
      <c r="D422" s="6" t="s">
        <v>3173</v>
      </c>
      <c r="E422" s="8">
        <v>5.0</v>
      </c>
      <c r="F422" s="10" t="s">
        <v>428</v>
      </c>
    </row>
    <row r="423">
      <c r="A423" s="5" t="s">
        <v>3213</v>
      </c>
      <c r="B423" s="6">
        <v>2.0</v>
      </c>
      <c r="C423" s="7">
        <v>169.0</v>
      </c>
      <c r="D423" s="6" t="s">
        <v>3200</v>
      </c>
      <c r="E423" s="8">
        <v>5.0</v>
      </c>
      <c r="F423" s="10" t="s">
        <v>429</v>
      </c>
    </row>
    <row r="424">
      <c r="A424" s="5" t="s">
        <v>3244</v>
      </c>
      <c r="B424" s="6">
        <v>1.0</v>
      </c>
      <c r="C424" s="7">
        <v>45.0</v>
      </c>
      <c r="D424" s="6" t="s">
        <v>3241</v>
      </c>
      <c r="E424" s="8">
        <v>4.0</v>
      </c>
      <c r="F424" s="10" t="s">
        <v>430</v>
      </c>
    </row>
    <row r="425">
      <c r="A425" s="5" t="s">
        <v>3191</v>
      </c>
      <c r="B425" s="6">
        <v>5.0</v>
      </c>
      <c r="C425" s="7">
        <v>76.0</v>
      </c>
      <c r="D425" s="6" t="s">
        <v>3190</v>
      </c>
      <c r="E425" s="8">
        <v>4.0</v>
      </c>
      <c r="F425" s="10" t="s">
        <v>431</v>
      </c>
    </row>
    <row r="426">
      <c r="A426" s="5" t="s">
        <v>3195</v>
      </c>
      <c r="B426" s="6">
        <v>4.0</v>
      </c>
      <c r="C426" s="7">
        <v>162.0</v>
      </c>
      <c r="D426" s="6" t="s">
        <v>3257</v>
      </c>
      <c r="E426" s="8">
        <v>4.0</v>
      </c>
      <c r="F426" s="10" t="s">
        <v>432</v>
      </c>
    </row>
    <row r="427">
      <c r="A427" s="5" t="s">
        <v>3166</v>
      </c>
      <c r="B427" s="6">
        <v>6.0</v>
      </c>
      <c r="C427" s="7">
        <v>106.0</v>
      </c>
      <c r="D427" s="6" t="s">
        <v>3167</v>
      </c>
      <c r="E427" s="8">
        <v>4.0</v>
      </c>
      <c r="F427" s="10" t="s">
        <v>433</v>
      </c>
    </row>
    <row r="428">
      <c r="A428" s="5" t="s">
        <v>3265</v>
      </c>
      <c r="B428" s="6">
        <v>1.0</v>
      </c>
      <c r="C428" s="7">
        <v>46.0</v>
      </c>
      <c r="D428" s="6" t="s">
        <v>3194</v>
      </c>
      <c r="E428" s="8">
        <v>4.0</v>
      </c>
      <c r="F428" s="10" t="s">
        <v>434</v>
      </c>
    </row>
    <row r="429">
      <c r="A429" s="5" t="s">
        <v>3246</v>
      </c>
      <c r="B429" s="6">
        <v>4.0</v>
      </c>
      <c r="C429" s="7">
        <v>193.0</v>
      </c>
      <c r="D429" s="6" t="s">
        <v>3249</v>
      </c>
      <c r="E429" s="8">
        <v>4.0</v>
      </c>
      <c r="F429" s="10" t="s">
        <v>435</v>
      </c>
    </row>
    <row r="430">
      <c r="A430" s="5" t="s">
        <v>3218</v>
      </c>
      <c r="B430" s="6">
        <v>5.0</v>
      </c>
      <c r="C430" s="7">
        <v>102.0</v>
      </c>
      <c r="D430" s="6" t="s">
        <v>3178</v>
      </c>
      <c r="E430" s="8">
        <v>4.0</v>
      </c>
      <c r="F430" s="10" t="s">
        <v>436</v>
      </c>
    </row>
    <row r="431">
      <c r="A431" s="5" t="s">
        <v>3175</v>
      </c>
      <c r="B431" s="6">
        <v>5.0</v>
      </c>
      <c r="C431" s="7">
        <v>181.0</v>
      </c>
      <c r="D431" s="6" t="s">
        <v>3190</v>
      </c>
      <c r="E431" s="8">
        <v>4.0</v>
      </c>
      <c r="F431" s="10" t="s">
        <v>437</v>
      </c>
    </row>
    <row r="432">
      <c r="A432" s="5" t="s">
        <v>3240</v>
      </c>
      <c r="B432" s="6">
        <v>2.0</v>
      </c>
      <c r="C432" s="7">
        <v>27.0</v>
      </c>
      <c r="D432" s="6" t="s">
        <v>3182</v>
      </c>
      <c r="E432" s="8">
        <v>3.0</v>
      </c>
      <c r="F432" s="10" t="s">
        <v>438</v>
      </c>
    </row>
    <row r="433">
      <c r="A433" s="5" t="s">
        <v>3170</v>
      </c>
      <c r="B433" s="6">
        <v>1.0</v>
      </c>
      <c r="C433" s="7">
        <v>170.0</v>
      </c>
      <c r="D433" s="6" t="s">
        <v>3182</v>
      </c>
      <c r="E433" s="8">
        <v>3.0</v>
      </c>
      <c r="F433" s="10" t="s">
        <v>439</v>
      </c>
    </row>
    <row r="434">
      <c r="A434" s="5" t="s">
        <v>3209</v>
      </c>
      <c r="B434" s="6">
        <v>4.0</v>
      </c>
      <c r="C434" s="7">
        <v>39.0</v>
      </c>
      <c r="D434" s="6" t="s">
        <v>3254</v>
      </c>
      <c r="E434" s="8">
        <v>3.0</v>
      </c>
      <c r="F434" s="10" t="s">
        <v>440</v>
      </c>
    </row>
    <row r="435">
      <c r="A435" s="5" t="s">
        <v>3218</v>
      </c>
      <c r="B435" s="6">
        <v>5.0</v>
      </c>
      <c r="C435" s="7">
        <v>72.0</v>
      </c>
      <c r="D435" s="6" t="s">
        <v>3171</v>
      </c>
      <c r="E435" s="8">
        <v>3.0</v>
      </c>
      <c r="F435" s="10" t="s">
        <v>441</v>
      </c>
    </row>
    <row r="436">
      <c r="A436" s="5" t="s">
        <v>3268</v>
      </c>
      <c r="B436" s="6">
        <v>1.0</v>
      </c>
      <c r="C436" s="7">
        <v>47.0</v>
      </c>
      <c r="D436" s="6" t="s">
        <v>3221</v>
      </c>
      <c r="E436" s="8">
        <v>3.0</v>
      </c>
      <c r="F436" s="10" t="s">
        <v>442</v>
      </c>
    </row>
    <row r="437">
      <c r="A437" s="5" t="s">
        <v>3244</v>
      </c>
      <c r="B437" s="6">
        <v>1.0</v>
      </c>
      <c r="C437" s="7">
        <v>187.0</v>
      </c>
      <c r="D437" s="6" t="s">
        <v>3254</v>
      </c>
      <c r="E437" s="8">
        <v>3.0</v>
      </c>
      <c r="F437" s="10" t="s">
        <v>443</v>
      </c>
    </row>
    <row r="438">
      <c r="A438" s="5" t="s">
        <v>3217</v>
      </c>
      <c r="B438" s="6">
        <v>5.0</v>
      </c>
      <c r="C438" s="7">
        <v>153.0</v>
      </c>
      <c r="D438" s="6" t="s">
        <v>3180</v>
      </c>
      <c r="E438" s="8">
        <v>2.0</v>
      </c>
      <c r="F438" s="10" t="s">
        <v>444</v>
      </c>
    </row>
    <row r="439">
      <c r="A439" s="5" t="s">
        <v>3177</v>
      </c>
      <c r="B439" s="6">
        <v>5.0</v>
      </c>
      <c r="C439" s="7">
        <v>146.0</v>
      </c>
      <c r="D439" s="6" t="s">
        <v>3200</v>
      </c>
      <c r="E439" s="8">
        <v>2.0</v>
      </c>
      <c r="F439" s="10" t="s">
        <v>445</v>
      </c>
    </row>
    <row r="440">
      <c r="A440" s="5" t="s">
        <v>3172</v>
      </c>
      <c r="B440" s="6">
        <v>1.0</v>
      </c>
      <c r="C440" s="7">
        <v>119.0</v>
      </c>
      <c r="D440" s="6" t="s">
        <v>3178</v>
      </c>
      <c r="E440" s="8">
        <v>2.0</v>
      </c>
      <c r="F440" s="10" t="s">
        <v>446</v>
      </c>
    </row>
    <row r="441">
      <c r="A441" s="5" t="s">
        <v>3195</v>
      </c>
      <c r="B441" s="6">
        <v>4.0</v>
      </c>
      <c r="C441" s="7">
        <v>102.0</v>
      </c>
      <c r="D441" s="6" t="s">
        <v>3178</v>
      </c>
      <c r="E441" s="8">
        <v>1.0</v>
      </c>
      <c r="F441" s="10" t="s">
        <v>447</v>
      </c>
    </row>
    <row r="442">
      <c r="A442" s="5" t="s">
        <v>3205</v>
      </c>
      <c r="B442" s="6">
        <v>1.0</v>
      </c>
      <c r="C442" s="7">
        <v>112.0</v>
      </c>
      <c r="D442" s="6" t="s">
        <v>3227</v>
      </c>
      <c r="E442" s="8">
        <v>1.0</v>
      </c>
      <c r="F442" s="10" t="s">
        <v>448</v>
      </c>
    </row>
    <row r="443">
      <c r="A443" s="5" t="s">
        <v>3172</v>
      </c>
      <c r="B443" s="6">
        <v>1.0</v>
      </c>
      <c r="C443" s="7">
        <v>16.0</v>
      </c>
      <c r="D443" s="6" t="s">
        <v>3178</v>
      </c>
      <c r="E443" s="8">
        <v>1.0</v>
      </c>
      <c r="F443" s="10" t="s">
        <v>449</v>
      </c>
    </row>
    <row r="444">
      <c r="A444" s="5" t="s">
        <v>3216</v>
      </c>
      <c r="B444" s="6">
        <v>6.0</v>
      </c>
      <c r="C444" s="7">
        <v>94.0</v>
      </c>
      <c r="D444" s="6" t="s">
        <v>3239</v>
      </c>
      <c r="E444" s="8">
        <v>1.0</v>
      </c>
      <c r="F444" s="10" t="s">
        <v>450</v>
      </c>
    </row>
    <row r="445">
      <c r="A445" s="5" t="s">
        <v>3247</v>
      </c>
      <c r="B445" s="6">
        <v>6.0</v>
      </c>
      <c r="C445" s="7">
        <v>65.0</v>
      </c>
      <c r="D445" s="6" t="s">
        <v>3221</v>
      </c>
      <c r="E445" s="8">
        <v>1.0</v>
      </c>
      <c r="F445" s="10" t="s">
        <v>451</v>
      </c>
    </row>
    <row r="446">
      <c r="A446" s="5" t="s">
        <v>3244</v>
      </c>
      <c r="B446" s="6">
        <v>1.0</v>
      </c>
      <c r="C446" s="7">
        <v>88.0</v>
      </c>
      <c r="D446" s="6" t="s">
        <v>3167</v>
      </c>
      <c r="E446" s="8">
        <v>1.0</v>
      </c>
      <c r="F446" s="10" t="s">
        <v>452</v>
      </c>
    </row>
    <row r="447">
      <c r="A447" s="5" t="s">
        <v>3259</v>
      </c>
      <c r="B447" s="6">
        <v>6.0</v>
      </c>
      <c r="C447" s="7">
        <v>185.0</v>
      </c>
      <c r="D447" s="6" t="s">
        <v>3173</v>
      </c>
      <c r="E447" s="8">
        <v>1.0</v>
      </c>
      <c r="F447" s="10" t="s">
        <v>453</v>
      </c>
    </row>
    <row r="448">
      <c r="A448" s="5" t="s">
        <v>3185</v>
      </c>
      <c r="B448" s="6">
        <v>1.0</v>
      </c>
      <c r="C448" s="7">
        <v>42.0</v>
      </c>
      <c r="D448" s="6" t="s">
        <v>3182</v>
      </c>
      <c r="E448" s="8">
        <v>1.0</v>
      </c>
      <c r="F448" s="10" t="s">
        <v>454</v>
      </c>
    </row>
    <row r="449">
      <c r="A449" s="5" t="s">
        <v>3170</v>
      </c>
      <c r="B449" s="6">
        <v>1.0</v>
      </c>
      <c r="C449" s="7">
        <v>84.0</v>
      </c>
      <c r="D449" s="6" t="s">
        <v>3203</v>
      </c>
      <c r="E449" s="8">
        <v>1.0</v>
      </c>
      <c r="F449" s="10" t="s">
        <v>455</v>
      </c>
    </row>
    <row r="450">
      <c r="A450" s="5" t="s">
        <v>3202</v>
      </c>
      <c r="B450" s="6">
        <v>4.0</v>
      </c>
      <c r="C450" s="7">
        <v>73.0</v>
      </c>
      <c r="D450" s="6" t="s">
        <v>3173</v>
      </c>
      <c r="E450" s="8">
        <v>1.0</v>
      </c>
      <c r="F450" s="10" t="s">
        <v>456</v>
      </c>
    </row>
    <row r="451">
      <c r="A451" s="5" t="s">
        <v>3237</v>
      </c>
      <c r="B451" s="6">
        <v>2.0</v>
      </c>
      <c r="C451" s="7">
        <v>98.0</v>
      </c>
      <c r="D451" s="6" t="s">
        <v>3211</v>
      </c>
      <c r="E451" s="8">
        <v>1.0</v>
      </c>
      <c r="F451" s="10" t="s">
        <v>457</v>
      </c>
    </row>
    <row r="452">
      <c r="A452" s="5" t="s">
        <v>3174</v>
      </c>
      <c r="B452" s="6">
        <v>1.0</v>
      </c>
      <c r="C452" s="7">
        <v>92.0</v>
      </c>
      <c r="D452" s="6" t="s">
        <v>3215</v>
      </c>
      <c r="E452" s="8">
        <v>1.0</v>
      </c>
      <c r="F452" s="10" t="s">
        <v>458</v>
      </c>
    </row>
    <row r="453">
      <c r="A453" s="5" t="s">
        <v>3263</v>
      </c>
      <c r="B453" s="6">
        <v>1.0</v>
      </c>
      <c r="C453" s="7">
        <v>71.0</v>
      </c>
      <c r="D453" s="6" t="s">
        <v>3176</v>
      </c>
      <c r="E453" s="8">
        <v>1.0</v>
      </c>
      <c r="F453" s="10" t="s">
        <v>459</v>
      </c>
    </row>
    <row r="454">
      <c r="A454" s="5" t="s">
        <v>3187</v>
      </c>
      <c r="B454" s="6">
        <v>4.0</v>
      </c>
      <c r="C454" s="7">
        <v>116.0</v>
      </c>
      <c r="D454" s="6" t="s">
        <v>3169</v>
      </c>
      <c r="E454" s="8">
        <v>5.0</v>
      </c>
      <c r="F454" s="10" t="s">
        <v>460</v>
      </c>
    </row>
    <row r="455">
      <c r="A455" s="5" t="s">
        <v>3213</v>
      </c>
      <c r="B455" s="6">
        <v>2.0</v>
      </c>
      <c r="C455" s="7">
        <v>137.0</v>
      </c>
      <c r="D455" s="6" t="s">
        <v>3215</v>
      </c>
      <c r="E455" s="8">
        <v>5.0</v>
      </c>
      <c r="F455" s="10" t="s">
        <v>461</v>
      </c>
    </row>
    <row r="456">
      <c r="A456" s="5" t="s">
        <v>3224</v>
      </c>
      <c r="B456" s="6">
        <v>6.0</v>
      </c>
      <c r="C456" s="7">
        <v>163.0</v>
      </c>
      <c r="D456" s="6" t="s">
        <v>3173</v>
      </c>
      <c r="E456" s="8">
        <v>5.0</v>
      </c>
      <c r="F456" s="10" t="s">
        <v>462</v>
      </c>
    </row>
    <row r="457">
      <c r="A457" s="5" t="s">
        <v>3268</v>
      </c>
      <c r="B457" s="6">
        <v>1.0</v>
      </c>
      <c r="C457" s="7">
        <v>145.0</v>
      </c>
      <c r="D457" s="6" t="s">
        <v>3222</v>
      </c>
      <c r="E457" s="8">
        <v>5.0</v>
      </c>
      <c r="F457" s="10" t="s">
        <v>463</v>
      </c>
    </row>
    <row r="458">
      <c r="A458" s="5" t="s">
        <v>3247</v>
      </c>
      <c r="B458" s="6">
        <v>6.0</v>
      </c>
      <c r="C458" s="7">
        <v>126.0</v>
      </c>
      <c r="D458" s="6" t="s">
        <v>3211</v>
      </c>
      <c r="E458" s="8">
        <v>5.0</v>
      </c>
      <c r="F458" s="10" t="s">
        <v>464</v>
      </c>
    </row>
    <row r="459">
      <c r="A459" s="5" t="s">
        <v>3264</v>
      </c>
      <c r="B459" s="6">
        <v>4.0</v>
      </c>
      <c r="C459" s="7">
        <v>149.0</v>
      </c>
      <c r="D459" s="6" t="s">
        <v>3239</v>
      </c>
      <c r="E459" s="8">
        <v>5.0</v>
      </c>
      <c r="F459" s="10" t="s">
        <v>465</v>
      </c>
    </row>
    <row r="460">
      <c r="A460" s="5" t="s">
        <v>3189</v>
      </c>
      <c r="B460" s="6">
        <v>6.0</v>
      </c>
      <c r="C460" s="7">
        <v>25.0</v>
      </c>
      <c r="D460" s="6" t="s">
        <v>3173</v>
      </c>
      <c r="E460" s="8">
        <v>5.0</v>
      </c>
      <c r="F460" s="10" t="s">
        <v>466</v>
      </c>
    </row>
    <row r="461">
      <c r="A461" s="5" t="s">
        <v>3199</v>
      </c>
      <c r="B461" s="6">
        <v>3.0</v>
      </c>
      <c r="C461" s="7">
        <v>11.0</v>
      </c>
      <c r="D461" s="6" t="s">
        <v>3180</v>
      </c>
      <c r="E461" s="8">
        <v>5.0</v>
      </c>
      <c r="F461" s="10" t="s">
        <v>467</v>
      </c>
    </row>
    <row r="462">
      <c r="A462" s="5" t="s">
        <v>3181</v>
      </c>
      <c r="B462" s="6">
        <v>1.0</v>
      </c>
      <c r="C462" s="7">
        <v>67.0</v>
      </c>
      <c r="D462" s="6" t="s">
        <v>3186</v>
      </c>
      <c r="E462" s="8">
        <v>5.0</v>
      </c>
      <c r="F462" s="10" t="s">
        <v>468</v>
      </c>
    </row>
    <row r="463">
      <c r="A463" s="5" t="s">
        <v>3172</v>
      </c>
      <c r="B463" s="6">
        <v>1.0</v>
      </c>
      <c r="C463" s="7">
        <v>125.0</v>
      </c>
      <c r="D463" s="6" t="s">
        <v>3180</v>
      </c>
      <c r="E463" s="8">
        <v>5.0</v>
      </c>
      <c r="F463" s="10" t="s">
        <v>469</v>
      </c>
    </row>
    <row r="464">
      <c r="A464" s="5" t="s">
        <v>3243</v>
      </c>
      <c r="B464" s="6">
        <v>4.0</v>
      </c>
      <c r="C464" s="7">
        <v>122.0</v>
      </c>
      <c r="D464" s="6" t="s">
        <v>3232</v>
      </c>
      <c r="E464" s="8">
        <v>5.0</v>
      </c>
      <c r="F464" s="10" t="s">
        <v>470</v>
      </c>
    </row>
    <row r="465">
      <c r="A465" s="5" t="s">
        <v>3233</v>
      </c>
      <c r="B465" s="6">
        <v>6.0</v>
      </c>
      <c r="C465" s="7">
        <v>140.0</v>
      </c>
      <c r="D465" s="6" t="s">
        <v>3190</v>
      </c>
      <c r="E465" s="8">
        <v>5.0</v>
      </c>
      <c r="F465" s="10" t="s">
        <v>471</v>
      </c>
    </row>
    <row r="466">
      <c r="A466" s="5" t="s">
        <v>3210</v>
      </c>
      <c r="B466" s="6">
        <v>1.0</v>
      </c>
      <c r="C466" s="7">
        <v>53.0</v>
      </c>
      <c r="D466" s="6" t="s">
        <v>3249</v>
      </c>
      <c r="E466" s="8">
        <v>5.0</v>
      </c>
      <c r="F466" s="10" t="s">
        <v>472</v>
      </c>
    </row>
    <row r="467">
      <c r="A467" s="5" t="s">
        <v>3234</v>
      </c>
      <c r="B467" s="6">
        <v>6.0</v>
      </c>
      <c r="C467" s="7">
        <v>74.0</v>
      </c>
      <c r="D467" s="6" t="s">
        <v>3190</v>
      </c>
      <c r="E467" s="8">
        <v>4.0</v>
      </c>
      <c r="F467" s="10" t="s">
        <v>473</v>
      </c>
    </row>
    <row r="468">
      <c r="A468" s="5" t="s">
        <v>3172</v>
      </c>
      <c r="B468" s="6">
        <v>1.0</v>
      </c>
      <c r="C468" s="7">
        <v>85.0</v>
      </c>
      <c r="D468" s="6" t="s">
        <v>3192</v>
      </c>
      <c r="E468" s="8">
        <v>4.0</v>
      </c>
      <c r="F468" s="10" t="s">
        <v>474</v>
      </c>
    </row>
    <row r="469">
      <c r="A469" s="5" t="s">
        <v>3256</v>
      </c>
      <c r="B469" s="6">
        <v>6.0</v>
      </c>
      <c r="C469" s="7">
        <v>109.0</v>
      </c>
      <c r="D469" s="6" t="s">
        <v>3249</v>
      </c>
      <c r="E469" s="8">
        <v>4.0</v>
      </c>
      <c r="F469" s="10" t="s">
        <v>475</v>
      </c>
    </row>
    <row r="470">
      <c r="A470" s="5" t="s">
        <v>3220</v>
      </c>
      <c r="B470" s="6">
        <v>6.0</v>
      </c>
      <c r="C470" s="7">
        <v>197.0</v>
      </c>
      <c r="D470" s="6" t="s">
        <v>3173</v>
      </c>
      <c r="E470" s="8">
        <v>4.0</v>
      </c>
      <c r="F470" s="10" t="s">
        <v>476</v>
      </c>
    </row>
    <row r="471">
      <c r="A471" s="5" t="s">
        <v>3197</v>
      </c>
      <c r="B471" s="6">
        <v>1.0</v>
      </c>
      <c r="C471" s="7">
        <v>42.0</v>
      </c>
      <c r="D471" s="6" t="s">
        <v>3182</v>
      </c>
      <c r="E471" s="8">
        <v>4.0</v>
      </c>
      <c r="F471" s="10" t="s">
        <v>477</v>
      </c>
    </row>
    <row r="472">
      <c r="A472" s="5" t="s">
        <v>3181</v>
      </c>
      <c r="B472" s="6">
        <v>1.0</v>
      </c>
      <c r="C472" s="7">
        <v>188.0</v>
      </c>
      <c r="D472" s="6" t="s">
        <v>3198</v>
      </c>
      <c r="E472" s="8">
        <v>4.0</v>
      </c>
      <c r="F472" s="10" t="s">
        <v>478</v>
      </c>
    </row>
    <row r="473">
      <c r="A473" s="5" t="s">
        <v>3256</v>
      </c>
      <c r="B473" s="6">
        <v>6.0</v>
      </c>
      <c r="C473" s="7">
        <v>154.0</v>
      </c>
      <c r="D473" s="6" t="s">
        <v>3171</v>
      </c>
      <c r="E473" s="8">
        <v>4.0</v>
      </c>
      <c r="F473" s="10" t="s">
        <v>479</v>
      </c>
    </row>
    <row r="474">
      <c r="A474" s="5" t="s">
        <v>3177</v>
      </c>
      <c r="B474" s="6">
        <v>5.0</v>
      </c>
      <c r="C474" s="7">
        <v>41.0</v>
      </c>
      <c r="D474" s="6" t="s">
        <v>3238</v>
      </c>
      <c r="E474" s="8">
        <v>4.0</v>
      </c>
      <c r="F474" s="10" t="s">
        <v>480</v>
      </c>
    </row>
    <row r="475">
      <c r="A475" s="5" t="s">
        <v>3193</v>
      </c>
      <c r="B475" s="6">
        <v>5.0</v>
      </c>
      <c r="C475" s="7">
        <v>10.0</v>
      </c>
      <c r="D475" s="6" t="s">
        <v>3249</v>
      </c>
      <c r="E475" s="8">
        <v>4.0</v>
      </c>
      <c r="F475" s="10" t="s">
        <v>481</v>
      </c>
    </row>
    <row r="476">
      <c r="A476" s="5" t="s">
        <v>3234</v>
      </c>
      <c r="B476" s="6">
        <v>6.0</v>
      </c>
      <c r="C476" s="7">
        <v>186.0</v>
      </c>
      <c r="D476" s="6" t="s">
        <v>3222</v>
      </c>
      <c r="E476" s="8">
        <v>4.0</v>
      </c>
      <c r="F476" s="10" t="s">
        <v>482</v>
      </c>
    </row>
    <row r="477">
      <c r="A477" s="5" t="s">
        <v>3243</v>
      </c>
      <c r="B477" s="6">
        <v>4.0</v>
      </c>
      <c r="C477" s="7">
        <v>108.0</v>
      </c>
      <c r="D477" s="6" t="s">
        <v>3198</v>
      </c>
      <c r="E477" s="8">
        <v>4.0</v>
      </c>
      <c r="F477" s="10" t="s">
        <v>483</v>
      </c>
    </row>
    <row r="478">
      <c r="A478" s="5" t="s">
        <v>3229</v>
      </c>
      <c r="B478" s="6">
        <v>4.0</v>
      </c>
      <c r="C478" s="7">
        <v>34.0</v>
      </c>
      <c r="D478" s="6" t="s">
        <v>3227</v>
      </c>
      <c r="E478" s="8">
        <v>3.0</v>
      </c>
      <c r="F478" s="10" t="s">
        <v>484</v>
      </c>
    </row>
    <row r="479">
      <c r="A479" s="5" t="s">
        <v>3216</v>
      </c>
      <c r="B479" s="6">
        <v>6.0</v>
      </c>
      <c r="C479" s="7">
        <v>141.0</v>
      </c>
      <c r="D479" s="6" t="s">
        <v>3171</v>
      </c>
      <c r="E479" s="8">
        <v>3.0</v>
      </c>
      <c r="F479" s="10" t="s">
        <v>485</v>
      </c>
    </row>
    <row r="480">
      <c r="A480" s="5" t="s">
        <v>3220</v>
      </c>
      <c r="B480" s="6">
        <v>6.0</v>
      </c>
      <c r="C480" s="7">
        <v>47.0</v>
      </c>
      <c r="D480" s="6" t="s">
        <v>3221</v>
      </c>
      <c r="E480" s="8">
        <v>3.0</v>
      </c>
      <c r="F480" s="10" t="s">
        <v>83</v>
      </c>
    </row>
    <row r="481">
      <c r="A481" s="5" t="s">
        <v>3189</v>
      </c>
      <c r="B481" s="6">
        <v>6.0</v>
      </c>
      <c r="C481" s="7">
        <v>106.0</v>
      </c>
      <c r="D481" s="6" t="s">
        <v>3167</v>
      </c>
      <c r="E481" s="8">
        <v>3.0</v>
      </c>
      <c r="F481" s="10" t="s">
        <v>486</v>
      </c>
    </row>
    <row r="482">
      <c r="A482" s="5" t="s">
        <v>3259</v>
      </c>
      <c r="B482" s="6">
        <v>6.0</v>
      </c>
      <c r="C482" s="7">
        <v>55.0</v>
      </c>
      <c r="D482" s="6" t="s">
        <v>3198</v>
      </c>
      <c r="E482" s="8">
        <v>2.0</v>
      </c>
      <c r="F482" s="10" t="s">
        <v>235</v>
      </c>
    </row>
    <row r="483">
      <c r="A483" s="5" t="s">
        <v>3168</v>
      </c>
      <c r="B483" s="6">
        <v>1.0</v>
      </c>
      <c r="C483" s="7">
        <v>63.0</v>
      </c>
      <c r="D483" s="6" t="s">
        <v>3257</v>
      </c>
      <c r="E483" s="8">
        <v>2.0</v>
      </c>
      <c r="F483" s="11" t="s">
        <v>487</v>
      </c>
    </row>
    <row r="484">
      <c r="A484" s="5" t="s">
        <v>3206</v>
      </c>
      <c r="B484" s="6">
        <v>6.0</v>
      </c>
      <c r="C484" s="7">
        <v>152.0</v>
      </c>
      <c r="D484" s="6" t="s">
        <v>3203</v>
      </c>
      <c r="E484" s="8">
        <v>2.0</v>
      </c>
      <c r="F484" s="10" t="s">
        <v>488</v>
      </c>
    </row>
    <row r="485">
      <c r="A485" s="5" t="s">
        <v>3231</v>
      </c>
      <c r="B485" s="6">
        <v>4.0</v>
      </c>
      <c r="C485" s="7">
        <v>52.0</v>
      </c>
      <c r="D485" s="6" t="s">
        <v>3194</v>
      </c>
      <c r="E485" s="8">
        <v>2.0</v>
      </c>
      <c r="F485" s="10" t="s">
        <v>489</v>
      </c>
    </row>
    <row r="486">
      <c r="A486" s="5" t="s">
        <v>3202</v>
      </c>
      <c r="B486" s="6">
        <v>4.0</v>
      </c>
      <c r="C486" s="7">
        <v>87.0</v>
      </c>
      <c r="D486" s="6" t="s">
        <v>3227</v>
      </c>
      <c r="E486" s="8">
        <v>2.0</v>
      </c>
      <c r="F486" s="10" t="s">
        <v>490</v>
      </c>
    </row>
    <row r="487">
      <c r="A487" s="5" t="s">
        <v>3217</v>
      </c>
      <c r="B487" s="6">
        <v>5.0</v>
      </c>
      <c r="C487" s="7">
        <v>185.0</v>
      </c>
      <c r="D487" s="6" t="s">
        <v>3173</v>
      </c>
      <c r="E487" s="8">
        <v>2.0</v>
      </c>
      <c r="F487" s="10" t="s">
        <v>491</v>
      </c>
    </row>
    <row r="488">
      <c r="A488" s="5" t="s">
        <v>3220</v>
      </c>
      <c r="B488" s="6">
        <v>6.0</v>
      </c>
      <c r="C488" s="7">
        <v>138.0</v>
      </c>
      <c r="D488" s="6" t="s">
        <v>3219</v>
      </c>
      <c r="E488" s="8">
        <v>2.0</v>
      </c>
      <c r="F488" s="10" t="s">
        <v>492</v>
      </c>
    </row>
    <row r="489">
      <c r="A489" s="5" t="s">
        <v>3242</v>
      </c>
      <c r="B489" s="6">
        <v>1.0</v>
      </c>
      <c r="C489" s="7">
        <v>28.0</v>
      </c>
      <c r="D489" s="6" t="s">
        <v>3188</v>
      </c>
      <c r="E489" s="8">
        <v>1.0</v>
      </c>
      <c r="F489" s="10" t="s">
        <v>493</v>
      </c>
    </row>
    <row r="490">
      <c r="A490" s="5" t="s">
        <v>3246</v>
      </c>
      <c r="B490" s="6">
        <v>4.0</v>
      </c>
      <c r="C490" s="7">
        <v>8.0</v>
      </c>
      <c r="D490" s="6" t="s">
        <v>3169</v>
      </c>
      <c r="E490" s="8">
        <v>1.0</v>
      </c>
      <c r="F490" s="10" t="s">
        <v>494</v>
      </c>
    </row>
    <row r="491">
      <c r="A491" s="5" t="s">
        <v>3185</v>
      </c>
      <c r="B491" s="6">
        <v>1.0</v>
      </c>
      <c r="C491" s="7">
        <v>104.0</v>
      </c>
      <c r="D491" s="6" t="s">
        <v>3257</v>
      </c>
      <c r="E491" s="8">
        <v>1.0</v>
      </c>
      <c r="F491" s="10" t="s">
        <v>495</v>
      </c>
    </row>
    <row r="492">
      <c r="A492" s="5" t="s">
        <v>3223</v>
      </c>
      <c r="B492" s="6">
        <v>3.0</v>
      </c>
      <c r="C492" s="7">
        <v>144.0</v>
      </c>
      <c r="D492" s="6" t="s">
        <v>3173</v>
      </c>
      <c r="E492" s="8">
        <v>1.0</v>
      </c>
      <c r="F492" s="10" t="s">
        <v>496</v>
      </c>
    </row>
    <row r="493">
      <c r="A493" s="5" t="s">
        <v>3204</v>
      </c>
      <c r="B493" s="6">
        <v>1.0</v>
      </c>
      <c r="C493" s="7">
        <v>39.0</v>
      </c>
      <c r="D493" s="6" t="s">
        <v>3254</v>
      </c>
      <c r="E493" s="8">
        <v>1.0</v>
      </c>
      <c r="F493" s="10" t="s">
        <v>497</v>
      </c>
    </row>
    <row r="494">
      <c r="A494" s="5" t="s">
        <v>3204</v>
      </c>
      <c r="B494" s="6">
        <v>1.0</v>
      </c>
      <c r="C494" s="7">
        <v>98.0</v>
      </c>
      <c r="D494" s="6" t="s">
        <v>3211</v>
      </c>
      <c r="E494" s="8">
        <v>1.0</v>
      </c>
      <c r="F494" s="10" t="s">
        <v>498</v>
      </c>
    </row>
    <row r="495">
      <c r="A495" s="5" t="s">
        <v>3230</v>
      </c>
      <c r="B495" s="6">
        <v>1.0</v>
      </c>
      <c r="C495" s="7">
        <v>69.0</v>
      </c>
      <c r="D495" s="6" t="s">
        <v>3203</v>
      </c>
      <c r="E495" s="8">
        <v>1.0</v>
      </c>
      <c r="F495" s="10" t="s">
        <v>499</v>
      </c>
    </row>
    <row r="496">
      <c r="A496" s="5" t="s">
        <v>3236</v>
      </c>
      <c r="B496" s="6">
        <v>6.0</v>
      </c>
      <c r="C496" s="7">
        <v>117.0</v>
      </c>
      <c r="D496" s="6" t="s">
        <v>3225</v>
      </c>
      <c r="E496" s="8">
        <v>1.0</v>
      </c>
      <c r="F496" s="10" t="s">
        <v>500</v>
      </c>
    </row>
    <row r="497">
      <c r="A497" s="5" t="s">
        <v>3246</v>
      </c>
      <c r="B497" s="6">
        <v>4.0</v>
      </c>
      <c r="C497" s="7">
        <v>127.0</v>
      </c>
      <c r="D497" s="6" t="s">
        <v>3262</v>
      </c>
      <c r="E497" s="8">
        <v>1.0</v>
      </c>
      <c r="F497" s="10" t="s">
        <v>501</v>
      </c>
    </row>
    <row r="498">
      <c r="A498" s="5" t="s">
        <v>3267</v>
      </c>
      <c r="B498" s="6">
        <v>3.0</v>
      </c>
      <c r="C498" s="7">
        <v>13.0</v>
      </c>
      <c r="D498" s="6" t="s">
        <v>3245</v>
      </c>
      <c r="E498" s="8">
        <v>1.0</v>
      </c>
      <c r="F498" s="10" t="s">
        <v>502</v>
      </c>
    </row>
    <row r="499">
      <c r="A499" s="5" t="s">
        <v>3259</v>
      </c>
      <c r="B499" s="6">
        <v>6.0</v>
      </c>
      <c r="C499" s="7">
        <v>144.0</v>
      </c>
      <c r="D499" s="6" t="s">
        <v>3173</v>
      </c>
      <c r="E499" s="8">
        <v>1.0</v>
      </c>
      <c r="F499" s="10" t="s">
        <v>503</v>
      </c>
    </row>
    <row r="500">
      <c r="A500" s="5" t="s">
        <v>3236</v>
      </c>
      <c r="B500" s="6">
        <v>6.0</v>
      </c>
      <c r="C500" s="7">
        <v>132.0</v>
      </c>
      <c r="D500" s="6" t="s">
        <v>3186</v>
      </c>
      <c r="E500" s="8">
        <v>1.0</v>
      </c>
      <c r="F500" s="10" t="s">
        <v>504</v>
      </c>
    </row>
    <row r="501">
      <c r="A501" s="5" t="s">
        <v>3270</v>
      </c>
      <c r="B501" s="6">
        <v>3.0</v>
      </c>
      <c r="C501" s="7">
        <v>77.0</v>
      </c>
      <c r="D501" s="6" t="s">
        <v>3254</v>
      </c>
      <c r="E501" s="8">
        <v>1.0</v>
      </c>
      <c r="F501" s="10" t="s">
        <v>505</v>
      </c>
    </row>
    <row r="502">
      <c r="A502" s="5" t="s">
        <v>3229</v>
      </c>
      <c r="B502" s="6">
        <v>4.0</v>
      </c>
      <c r="C502" s="7">
        <v>136.0</v>
      </c>
      <c r="D502" s="6" t="s">
        <v>3221</v>
      </c>
      <c r="E502" s="8">
        <v>1.0</v>
      </c>
      <c r="F502" s="10" t="s">
        <v>506</v>
      </c>
    </row>
    <row r="503">
      <c r="A503" s="5" t="s">
        <v>3253</v>
      </c>
      <c r="B503" s="6">
        <v>1.0</v>
      </c>
      <c r="C503" s="7">
        <v>41.0</v>
      </c>
      <c r="D503" s="6" t="s">
        <v>3238</v>
      </c>
      <c r="E503" s="8">
        <v>1.0</v>
      </c>
      <c r="F503" s="10" t="s">
        <v>507</v>
      </c>
    </row>
    <row r="504">
      <c r="A504" s="5" t="s">
        <v>3264</v>
      </c>
      <c r="B504" s="6">
        <v>4.0</v>
      </c>
      <c r="C504" s="7">
        <v>101.0</v>
      </c>
      <c r="D504" s="6" t="s">
        <v>3238</v>
      </c>
      <c r="E504" s="8">
        <v>1.0</v>
      </c>
      <c r="F504" s="10" t="s">
        <v>508</v>
      </c>
    </row>
    <row r="505">
      <c r="A505" s="5" t="s">
        <v>3233</v>
      </c>
      <c r="B505" s="6">
        <v>6.0</v>
      </c>
      <c r="C505" s="7">
        <v>193.0</v>
      </c>
      <c r="D505" s="6" t="s">
        <v>3249</v>
      </c>
      <c r="E505" s="8">
        <v>5.0</v>
      </c>
      <c r="F505" s="10" t="s">
        <v>509</v>
      </c>
    </row>
    <row r="506">
      <c r="A506" s="5" t="s">
        <v>3246</v>
      </c>
      <c r="B506" s="6">
        <v>4.0</v>
      </c>
      <c r="C506" s="7">
        <v>72.0</v>
      </c>
      <c r="D506" s="6" t="s">
        <v>3171</v>
      </c>
      <c r="E506" s="8">
        <v>5.0</v>
      </c>
      <c r="F506" s="10" t="s">
        <v>510</v>
      </c>
    </row>
    <row r="507">
      <c r="A507" s="5" t="s">
        <v>3255</v>
      </c>
      <c r="B507" s="6">
        <v>6.0</v>
      </c>
      <c r="C507" s="7">
        <v>62.0</v>
      </c>
      <c r="D507" s="6" t="s">
        <v>3200</v>
      </c>
      <c r="E507" s="8">
        <v>5.0</v>
      </c>
      <c r="F507" s="10" t="s">
        <v>511</v>
      </c>
    </row>
    <row r="508">
      <c r="A508" s="5" t="s">
        <v>3179</v>
      </c>
      <c r="B508" s="6">
        <v>1.0</v>
      </c>
      <c r="C508" s="7">
        <v>65.0</v>
      </c>
      <c r="D508" s="6" t="s">
        <v>3221</v>
      </c>
      <c r="E508" s="8">
        <v>5.0</v>
      </c>
      <c r="F508" s="10" t="s">
        <v>512</v>
      </c>
    </row>
    <row r="509">
      <c r="A509" s="5" t="s">
        <v>3170</v>
      </c>
      <c r="B509" s="6">
        <v>1.0</v>
      </c>
      <c r="C509" s="7">
        <v>46.0</v>
      </c>
      <c r="D509" s="6" t="s">
        <v>3194</v>
      </c>
      <c r="E509" s="8">
        <v>5.0</v>
      </c>
      <c r="F509" s="10" t="s">
        <v>513</v>
      </c>
    </row>
    <row r="510">
      <c r="A510" s="5" t="s">
        <v>3234</v>
      </c>
      <c r="B510" s="6">
        <v>6.0</v>
      </c>
      <c r="C510" s="7">
        <v>128.0</v>
      </c>
      <c r="D510" s="6" t="s">
        <v>3211</v>
      </c>
      <c r="E510" s="8">
        <v>5.0</v>
      </c>
      <c r="F510" s="10" t="s">
        <v>514</v>
      </c>
    </row>
    <row r="511">
      <c r="A511" s="5" t="s">
        <v>3266</v>
      </c>
      <c r="B511" s="6">
        <v>3.0</v>
      </c>
      <c r="C511" s="7">
        <v>151.0</v>
      </c>
      <c r="D511" s="6" t="s">
        <v>3232</v>
      </c>
      <c r="E511" s="8">
        <v>5.0</v>
      </c>
      <c r="F511" s="10" t="s">
        <v>515</v>
      </c>
    </row>
    <row r="512">
      <c r="A512" s="5" t="s">
        <v>3266</v>
      </c>
      <c r="B512" s="6">
        <v>3.0</v>
      </c>
      <c r="C512" s="7">
        <v>151.0</v>
      </c>
      <c r="D512" s="6" t="s">
        <v>3232</v>
      </c>
      <c r="E512" s="8">
        <v>5.0</v>
      </c>
      <c r="F512" s="10" t="s">
        <v>516</v>
      </c>
    </row>
    <row r="513">
      <c r="A513" s="5" t="s">
        <v>3208</v>
      </c>
      <c r="B513" s="6">
        <v>4.0</v>
      </c>
      <c r="C513" s="7">
        <v>159.0</v>
      </c>
      <c r="D513" s="6" t="s">
        <v>3188</v>
      </c>
      <c r="E513" s="8">
        <v>5.0</v>
      </c>
      <c r="F513" s="10" t="s">
        <v>517</v>
      </c>
    </row>
    <row r="514">
      <c r="A514" s="5" t="s">
        <v>3212</v>
      </c>
      <c r="B514" s="6">
        <v>6.0</v>
      </c>
      <c r="C514" s="7">
        <v>195.0</v>
      </c>
      <c r="D514" s="6" t="s">
        <v>3239</v>
      </c>
      <c r="E514" s="8">
        <v>5.0</v>
      </c>
      <c r="F514" s="10" t="s">
        <v>518</v>
      </c>
    </row>
    <row r="515">
      <c r="A515" s="5" t="s">
        <v>3259</v>
      </c>
      <c r="B515" s="6">
        <v>6.0</v>
      </c>
      <c r="C515" s="7">
        <v>127.0</v>
      </c>
      <c r="D515" s="6" t="s">
        <v>3262</v>
      </c>
      <c r="E515" s="8">
        <v>5.0</v>
      </c>
      <c r="F515" s="10" t="s">
        <v>519</v>
      </c>
    </row>
    <row r="516">
      <c r="A516" s="5" t="s">
        <v>3240</v>
      </c>
      <c r="B516" s="6">
        <v>2.0</v>
      </c>
      <c r="C516" s="7">
        <v>61.0</v>
      </c>
      <c r="D516" s="6" t="s">
        <v>3249</v>
      </c>
      <c r="E516" s="8">
        <v>5.0</v>
      </c>
      <c r="F516" s="10" t="s">
        <v>520</v>
      </c>
    </row>
    <row r="517">
      <c r="A517" s="5" t="s">
        <v>3179</v>
      </c>
      <c r="B517" s="6">
        <v>1.0</v>
      </c>
      <c r="C517" s="7">
        <v>187.0</v>
      </c>
      <c r="D517" s="6" t="s">
        <v>3254</v>
      </c>
      <c r="E517" s="8">
        <v>5.0</v>
      </c>
      <c r="F517" s="10" t="s">
        <v>521</v>
      </c>
    </row>
    <row r="518">
      <c r="A518" s="5" t="s">
        <v>3268</v>
      </c>
      <c r="B518" s="6">
        <v>1.0</v>
      </c>
      <c r="C518" s="7">
        <v>23.0</v>
      </c>
      <c r="D518" s="6" t="s">
        <v>3219</v>
      </c>
      <c r="E518" s="8">
        <v>5.0</v>
      </c>
      <c r="F518" s="10" t="s">
        <v>522</v>
      </c>
    </row>
    <row r="519">
      <c r="A519" s="5" t="s">
        <v>3265</v>
      </c>
      <c r="B519" s="6">
        <v>1.0</v>
      </c>
      <c r="C519" s="7">
        <v>154.0</v>
      </c>
      <c r="D519" s="6" t="s">
        <v>3171</v>
      </c>
      <c r="E519" s="8">
        <v>5.0</v>
      </c>
      <c r="F519" s="10" t="s">
        <v>523</v>
      </c>
    </row>
    <row r="520">
      <c r="A520" s="5" t="s">
        <v>3261</v>
      </c>
      <c r="B520" s="6">
        <v>4.0</v>
      </c>
      <c r="C520" s="7">
        <v>139.0</v>
      </c>
      <c r="D520" s="6" t="s">
        <v>3182</v>
      </c>
      <c r="E520" s="8">
        <v>5.0</v>
      </c>
      <c r="F520" s="10" t="s">
        <v>524</v>
      </c>
    </row>
    <row r="521">
      <c r="A521" s="5" t="s">
        <v>3223</v>
      </c>
      <c r="B521" s="6">
        <v>3.0</v>
      </c>
      <c r="C521" s="7">
        <v>97.0</v>
      </c>
      <c r="D521" s="6" t="s">
        <v>3194</v>
      </c>
      <c r="E521" s="8">
        <v>5.0</v>
      </c>
      <c r="F521" s="10" t="s">
        <v>525</v>
      </c>
    </row>
    <row r="522">
      <c r="A522" s="5" t="s">
        <v>3250</v>
      </c>
      <c r="B522" s="6">
        <v>4.0</v>
      </c>
      <c r="C522" s="7">
        <v>180.0</v>
      </c>
      <c r="D522" s="6" t="s">
        <v>3192</v>
      </c>
      <c r="E522" s="8">
        <v>4.0</v>
      </c>
      <c r="F522" s="10" t="s">
        <v>526</v>
      </c>
    </row>
    <row r="523">
      <c r="A523" s="5" t="s">
        <v>3179</v>
      </c>
      <c r="B523" s="6">
        <v>1.0</v>
      </c>
      <c r="C523" s="7">
        <v>169.0</v>
      </c>
      <c r="D523" s="6" t="s">
        <v>3200</v>
      </c>
      <c r="E523" s="8">
        <v>4.0</v>
      </c>
      <c r="F523" s="10" t="s">
        <v>527</v>
      </c>
    </row>
    <row r="524">
      <c r="A524" s="5" t="s">
        <v>3265</v>
      </c>
      <c r="B524" s="6">
        <v>1.0</v>
      </c>
      <c r="C524" s="7">
        <v>145.0</v>
      </c>
      <c r="D524" s="6" t="s">
        <v>3222</v>
      </c>
      <c r="E524" s="8">
        <v>4.0</v>
      </c>
      <c r="F524" s="10" t="s">
        <v>528</v>
      </c>
    </row>
    <row r="525">
      <c r="A525" s="5" t="s">
        <v>3166</v>
      </c>
      <c r="B525" s="6">
        <v>6.0</v>
      </c>
      <c r="C525" s="7">
        <v>14.0</v>
      </c>
      <c r="D525" s="6" t="s">
        <v>3196</v>
      </c>
      <c r="E525" s="8">
        <v>4.0</v>
      </c>
      <c r="F525" s="10" t="s">
        <v>529</v>
      </c>
    </row>
    <row r="526">
      <c r="A526" s="5" t="s">
        <v>3270</v>
      </c>
      <c r="B526" s="6">
        <v>3.0</v>
      </c>
      <c r="C526" s="7">
        <v>69.0</v>
      </c>
      <c r="D526" s="6" t="s">
        <v>3203</v>
      </c>
      <c r="E526" s="8">
        <v>4.0</v>
      </c>
      <c r="F526" s="10" t="s">
        <v>530</v>
      </c>
    </row>
    <row r="527">
      <c r="A527" s="5" t="s">
        <v>3224</v>
      </c>
      <c r="B527" s="6">
        <v>6.0</v>
      </c>
      <c r="C527" s="7">
        <v>189.0</v>
      </c>
      <c r="D527" s="6" t="s">
        <v>3225</v>
      </c>
      <c r="E527" s="8">
        <v>4.0</v>
      </c>
      <c r="F527" s="10" t="s">
        <v>531</v>
      </c>
    </row>
    <row r="528">
      <c r="A528" s="5" t="s">
        <v>3259</v>
      </c>
      <c r="B528" s="6">
        <v>6.0</v>
      </c>
      <c r="C528" s="7">
        <v>178.0</v>
      </c>
      <c r="D528" s="6" t="s">
        <v>3190</v>
      </c>
      <c r="E528" s="8">
        <v>4.0</v>
      </c>
      <c r="F528" s="10" t="s">
        <v>532</v>
      </c>
    </row>
    <row r="529">
      <c r="A529" s="5" t="s">
        <v>3168</v>
      </c>
      <c r="B529" s="6">
        <v>1.0</v>
      </c>
      <c r="C529" s="7">
        <v>141.0</v>
      </c>
      <c r="D529" s="6" t="s">
        <v>3171</v>
      </c>
      <c r="E529" s="8">
        <v>4.0</v>
      </c>
      <c r="F529" s="10" t="s">
        <v>533</v>
      </c>
    </row>
    <row r="530">
      <c r="A530" s="5" t="s">
        <v>3187</v>
      </c>
      <c r="B530" s="6">
        <v>4.0</v>
      </c>
      <c r="C530" s="7">
        <v>174.0</v>
      </c>
      <c r="D530" s="6" t="s">
        <v>3188</v>
      </c>
      <c r="E530" s="8">
        <v>4.0</v>
      </c>
      <c r="F530" s="10" t="s">
        <v>534</v>
      </c>
    </row>
    <row r="531">
      <c r="A531" s="5" t="s">
        <v>3237</v>
      </c>
      <c r="B531" s="6">
        <v>2.0</v>
      </c>
      <c r="C531" s="7">
        <v>137.0</v>
      </c>
      <c r="D531" s="6" t="s">
        <v>3215</v>
      </c>
      <c r="E531" s="8">
        <v>4.0</v>
      </c>
      <c r="F531" s="10" t="s">
        <v>318</v>
      </c>
    </row>
    <row r="532">
      <c r="A532" s="5" t="s">
        <v>3236</v>
      </c>
      <c r="B532" s="6">
        <v>6.0</v>
      </c>
      <c r="C532" s="7">
        <v>175.0</v>
      </c>
      <c r="D532" s="6" t="s">
        <v>3257</v>
      </c>
      <c r="E532" s="8">
        <v>4.0</v>
      </c>
      <c r="F532" s="10" t="s">
        <v>535</v>
      </c>
    </row>
    <row r="533">
      <c r="A533" s="5" t="s">
        <v>3261</v>
      </c>
      <c r="B533" s="6">
        <v>4.0</v>
      </c>
      <c r="C533" s="7">
        <v>196.0</v>
      </c>
      <c r="D533" s="6" t="s">
        <v>3169</v>
      </c>
      <c r="E533" s="8">
        <v>3.0</v>
      </c>
      <c r="F533" s="10" t="s">
        <v>536</v>
      </c>
    </row>
    <row r="534">
      <c r="A534" s="5" t="s">
        <v>3252</v>
      </c>
      <c r="B534" s="6">
        <v>6.0</v>
      </c>
      <c r="C534" s="7">
        <v>134.0</v>
      </c>
      <c r="D534" s="6" t="s">
        <v>3239</v>
      </c>
      <c r="E534" s="8">
        <v>3.0</v>
      </c>
      <c r="F534" s="10" t="s">
        <v>537</v>
      </c>
    </row>
    <row r="535">
      <c r="A535" s="5" t="s">
        <v>3166</v>
      </c>
      <c r="B535" s="6">
        <v>6.0</v>
      </c>
      <c r="C535" s="7">
        <v>160.0</v>
      </c>
      <c r="D535" s="6" t="s">
        <v>3239</v>
      </c>
      <c r="E535" s="8">
        <v>3.0</v>
      </c>
      <c r="F535" s="10" t="s">
        <v>538</v>
      </c>
    </row>
    <row r="536">
      <c r="A536" s="5" t="s">
        <v>3216</v>
      </c>
      <c r="B536" s="6">
        <v>6.0</v>
      </c>
      <c r="C536" s="7">
        <v>46.0</v>
      </c>
      <c r="D536" s="6" t="s">
        <v>3194</v>
      </c>
      <c r="E536" s="8">
        <v>3.0</v>
      </c>
      <c r="F536" s="10" t="s">
        <v>539</v>
      </c>
    </row>
    <row r="537">
      <c r="A537" s="5" t="s">
        <v>3243</v>
      </c>
      <c r="B537" s="6">
        <v>4.0</v>
      </c>
      <c r="C537" s="7">
        <v>108.0</v>
      </c>
      <c r="D537" s="6" t="s">
        <v>3198</v>
      </c>
      <c r="E537" s="8">
        <v>3.0</v>
      </c>
      <c r="F537" s="10" t="s">
        <v>540</v>
      </c>
    </row>
    <row r="538">
      <c r="A538" s="5" t="s">
        <v>3218</v>
      </c>
      <c r="B538" s="6">
        <v>5.0</v>
      </c>
      <c r="C538" s="7">
        <v>131.0</v>
      </c>
      <c r="D538" s="6" t="s">
        <v>3227</v>
      </c>
      <c r="E538" s="8">
        <v>2.0</v>
      </c>
      <c r="F538" s="10" t="s">
        <v>541</v>
      </c>
    </row>
    <row r="539">
      <c r="A539" s="5" t="s">
        <v>3205</v>
      </c>
      <c r="B539" s="6">
        <v>1.0</v>
      </c>
      <c r="C539" s="7">
        <v>22.0</v>
      </c>
      <c r="D539" s="6" t="s">
        <v>3167</v>
      </c>
      <c r="E539" s="8">
        <v>2.0</v>
      </c>
      <c r="F539" s="10" t="s">
        <v>542</v>
      </c>
    </row>
    <row r="540">
      <c r="A540" s="5" t="s">
        <v>3206</v>
      </c>
      <c r="B540" s="6">
        <v>6.0</v>
      </c>
      <c r="C540" s="7">
        <v>189.0</v>
      </c>
      <c r="D540" s="6" t="s">
        <v>3225</v>
      </c>
      <c r="E540" s="8">
        <v>2.0</v>
      </c>
      <c r="F540" s="10" t="s">
        <v>543</v>
      </c>
    </row>
    <row r="541">
      <c r="A541" s="5" t="s">
        <v>3252</v>
      </c>
      <c r="B541" s="6">
        <v>6.0</v>
      </c>
      <c r="C541" s="7">
        <v>179.0</v>
      </c>
      <c r="D541" s="6" t="s">
        <v>3214</v>
      </c>
      <c r="E541" s="8">
        <v>2.0</v>
      </c>
      <c r="F541" s="10" t="s">
        <v>544</v>
      </c>
    </row>
    <row r="542">
      <c r="A542" s="5" t="s">
        <v>3230</v>
      </c>
      <c r="B542" s="6">
        <v>1.0</v>
      </c>
      <c r="C542" s="7">
        <v>12.0</v>
      </c>
      <c r="D542" s="6" t="s">
        <v>3225</v>
      </c>
      <c r="E542" s="8">
        <v>2.0</v>
      </c>
      <c r="F542" s="10" t="s">
        <v>545</v>
      </c>
    </row>
    <row r="543">
      <c r="A543" s="5" t="s">
        <v>3240</v>
      </c>
      <c r="B543" s="6">
        <v>2.0</v>
      </c>
      <c r="C543" s="7">
        <v>50.0</v>
      </c>
      <c r="D543" s="6" t="s">
        <v>3238</v>
      </c>
      <c r="E543" s="8">
        <v>2.0</v>
      </c>
      <c r="F543" s="10" t="s">
        <v>546</v>
      </c>
    </row>
    <row r="544">
      <c r="A544" s="5" t="s">
        <v>3248</v>
      </c>
      <c r="B544" s="6">
        <v>3.0</v>
      </c>
      <c r="C544" s="7">
        <v>89.0</v>
      </c>
      <c r="D544" s="6" t="s">
        <v>3262</v>
      </c>
      <c r="E544" s="8">
        <v>2.0</v>
      </c>
      <c r="F544" s="10" t="s">
        <v>547</v>
      </c>
    </row>
    <row r="545">
      <c r="A545" s="5" t="s">
        <v>3237</v>
      </c>
      <c r="B545" s="6">
        <v>2.0</v>
      </c>
      <c r="C545" s="7">
        <v>41.0</v>
      </c>
      <c r="D545" s="6" t="s">
        <v>3238</v>
      </c>
      <c r="E545" s="8">
        <v>2.0</v>
      </c>
      <c r="F545" s="10" t="s">
        <v>548</v>
      </c>
    </row>
    <row r="546">
      <c r="A546" s="5" t="s">
        <v>3209</v>
      </c>
      <c r="B546" s="6">
        <v>4.0</v>
      </c>
      <c r="C546" s="7">
        <v>184.0</v>
      </c>
      <c r="D546" s="6" t="s">
        <v>3169</v>
      </c>
      <c r="E546" s="8">
        <v>2.0</v>
      </c>
      <c r="F546" s="10" t="s">
        <v>549</v>
      </c>
    </row>
    <row r="547">
      <c r="A547" s="5" t="s">
        <v>3263</v>
      </c>
      <c r="B547" s="6">
        <v>1.0</v>
      </c>
      <c r="C547" s="7">
        <v>161.0</v>
      </c>
      <c r="D547" s="6" t="s">
        <v>3192</v>
      </c>
      <c r="E547" s="8">
        <v>2.0</v>
      </c>
      <c r="F547" s="10" t="s">
        <v>550</v>
      </c>
    </row>
    <row r="548">
      <c r="A548" s="5" t="s">
        <v>3260</v>
      </c>
      <c r="B548" s="6">
        <v>1.0</v>
      </c>
      <c r="C548" s="7">
        <v>93.0</v>
      </c>
      <c r="D548" s="6" t="s">
        <v>3221</v>
      </c>
      <c r="E548" s="8">
        <v>2.0</v>
      </c>
      <c r="F548" s="10" t="s">
        <v>551</v>
      </c>
    </row>
    <row r="549">
      <c r="A549" s="5" t="s">
        <v>3260</v>
      </c>
      <c r="B549" s="6">
        <v>1.0</v>
      </c>
      <c r="C549" s="7">
        <v>1.0</v>
      </c>
      <c r="D549" s="6" t="s">
        <v>3221</v>
      </c>
      <c r="E549" s="8">
        <v>2.0</v>
      </c>
      <c r="F549" s="10" t="s">
        <v>552</v>
      </c>
    </row>
    <row r="550">
      <c r="A550" s="5" t="s">
        <v>3202</v>
      </c>
      <c r="B550" s="6">
        <v>4.0</v>
      </c>
      <c r="C550" s="7">
        <v>161.0</v>
      </c>
      <c r="D550" s="6" t="s">
        <v>3192</v>
      </c>
      <c r="E550" s="8">
        <v>2.0</v>
      </c>
      <c r="F550" s="10" t="s">
        <v>553</v>
      </c>
    </row>
    <row r="551">
      <c r="A551" s="5" t="s">
        <v>3267</v>
      </c>
      <c r="B551" s="6">
        <v>3.0</v>
      </c>
      <c r="C551" s="7">
        <v>191.0</v>
      </c>
      <c r="D551" s="6" t="s">
        <v>3221</v>
      </c>
      <c r="E551" s="8">
        <v>1.0</v>
      </c>
      <c r="F551" s="10" t="s">
        <v>554</v>
      </c>
    </row>
    <row r="552">
      <c r="A552" s="5" t="s">
        <v>3231</v>
      </c>
      <c r="B552" s="6">
        <v>4.0</v>
      </c>
      <c r="C552" s="7">
        <v>131.0</v>
      </c>
      <c r="D552" s="6" t="s">
        <v>3227</v>
      </c>
      <c r="E552" s="8">
        <v>1.0</v>
      </c>
      <c r="F552" s="10" t="s">
        <v>555</v>
      </c>
    </row>
    <row r="553">
      <c r="A553" s="5" t="s">
        <v>3228</v>
      </c>
      <c r="B553" s="6">
        <v>6.0</v>
      </c>
      <c r="C553" s="7">
        <v>116.0</v>
      </c>
      <c r="D553" s="6" t="s">
        <v>3169</v>
      </c>
      <c r="E553" s="8">
        <v>1.0</v>
      </c>
      <c r="F553" s="10" t="s">
        <v>556</v>
      </c>
    </row>
    <row r="554">
      <c r="A554" s="5" t="s">
        <v>3242</v>
      </c>
      <c r="B554" s="6">
        <v>1.0</v>
      </c>
      <c r="C554" s="7">
        <v>164.0</v>
      </c>
      <c r="D554" s="6" t="s">
        <v>3232</v>
      </c>
      <c r="E554" s="8">
        <v>1.0</v>
      </c>
      <c r="F554" s="10" t="s">
        <v>557</v>
      </c>
    </row>
    <row r="555">
      <c r="A555" s="5" t="s">
        <v>3177</v>
      </c>
      <c r="B555" s="6">
        <v>5.0</v>
      </c>
      <c r="C555" s="7">
        <v>6.0</v>
      </c>
      <c r="D555" s="6" t="s">
        <v>3180</v>
      </c>
      <c r="E555" s="8">
        <v>1.0</v>
      </c>
      <c r="F555" s="10" t="s">
        <v>558</v>
      </c>
    </row>
    <row r="556">
      <c r="A556" s="5" t="s">
        <v>3226</v>
      </c>
      <c r="B556" s="6">
        <v>1.0</v>
      </c>
      <c r="C556" s="7">
        <v>42.0</v>
      </c>
      <c r="D556" s="6" t="s">
        <v>3182</v>
      </c>
      <c r="E556" s="8">
        <v>1.0</v>
      </c>
      <c r="F556" s="10" t="s">
        <v>559</v>
      </c>
    </row>
    <row r="557">
      <c r="A557" s="5" t="s">
        <v>3236</v>
      </c>
      <c r="B557" s="6">
        <v>6.0</v>
      </c>
      <c r="C557" s="7">
        <v>183.0</v>
      </c>
      <c r="D557" s="6" t="s">
        <v>3182</v>
      </c>
      <c r="E557" s="8">
        <v>1.0</v>
      </c>
      <c r="F557" s="10" t="s">
        <v>560</v>
      </c>
    </row>
    <row r="558">
      <c r="A558" s="5" t="s">
        <v>3224</v>
      </c>
      <c r="B558" s="6">
        <v>6.0</v>
      </c>
      <c r="C558" s="7">
        <v>132.0</v>
      </c>
      <c r="D558" s="6" t="s">
        <v>3186</v>
      </c>
      <c r="E558" s="8">
        <v>1.0</v>
      </c>
      <c r="F558" s="10" t="s">
        <v>561</v>
      </c>
    </row>
    <row r="559">
      <c r="A559" s="5" t="s">
        <v>3220</v>
      </c>
      <c r="B559" s="6">
        <v>6.0</v>
      </c>
      <c r="C559" s="7">
        <v>8.0</v>
      </c>
      <c r="D559" s="6" t="s">
        <v>3169</v>
      </c>
      <c r="E559" s="8">
        <v>1.0</v>
      </c>
      <c r="F559" s="10" t="s">
        <v>562</v>
      </c>
    </row>
    <row r="560">
      <c r="A560" s="5" t="s">
        <v>3228</v>
      </c>
      <c r="B560" s="6">
        <v>6.0</v>
      </c>
      <c r="C560" s="7">
        <v>175.0</v>
      </c>
      <c r="D560" s="6" t="s">
        <v>3257</v>
      </c>
      <c r="E560" s="8">
        <v>5.0</v>
      </c>
      <c r="F560" s="10" t="s">
        <v>563</v>
      </c>
    </row>
    <row r="561">
      <c r="A561" s="5" t="s">
        <v>3175</v>
      </c>
      <c r="B561" s="6">
        <v>5.0</v>
      </c>
      <c r="C561" s="7">
        <v>48.0</v>
      </c>
      <c r="D561" s="6" t="s">
        <v>3232</v>
      </c>
      <c r="E561" s="8">
        <v>5.0</v>
      </c>
      <c r="F561" s="10" t="s">
        <v>564</v>
      </c>
    </row>
    <row r="562">
      <c r="A562" s="5" t="s">
        <v>3172</v>
      </c>
      <c r="B562" s="6">
        <v>1.0</v>
      </c>
      <c r="C562" s="7">
        <v>162.0</v>
      </c>
      <c r="D562" s="6" t="s">
        <v>3257</v>
      </c>
      <c r="E562" s="8">
        <v>5.0</v>
      </c>
      <c r="F562" s="10" t="s">
        <v>565</v>
      </c>
    </row>
    <row r="563">
      <c r="A563" s="5" t="s">
        <v>3208</v>
      </c>
      <c r="B563" s="6">
        <v>4.0</v>
      </c>
      <c r="C563" s="7">
        <v>78.0</v>
      </c>
      <c r="D563" s="6" t="s">
        <v>3176</v>
      </c>
      <c r="E563" s="8">
        <v>5.0</v>
      </c>
      <c r="F563" s="10" t="s">
        <v>566</v>
      </c>
    </row>
    <row r="564">
      <c r="A564" s="5" t="s">
        <v>3229</v>
      </c>
      <c r="B564" s="6">
        <v>4.0</v>
      </c>
      <c r="C564" s="7">
        <v>118.0</v>
      </c>
      <c r="D564" s="6" t="s">
        <v>3200</v>
      </c>
      <c r="E564" s="8">
        <v>5.0</v>
      </c>
      <c r="F564" s="10" t="s">
        <v>567</v>
      </c>
    </row>
    <row r="565">
      <c r="A565" s="5" t="s">
        <v>3268</v>
      </c>
      <c r="B565" s="6">
        <v>1.0</v>
      </c>
      <c r="C565" s="7">
        <v>32.0</v>
      </c>
      <c r="D565" s="6" t="s">
        <v>3173</v>
      </c>
      <c r="E565" s="8">
        <v>5.0</v>
      </c>
      <c r="F565" s="10" t="s">
        <v>568</v>
      </c>
    </row>
    <row r="566">
      <c r="A566" s="5" t="s">
        <v>3269</v>
      </c>
      <c r="B566" s="6">
        <v>6.0</v>
      </c>
      <c r="C566" s="7">
        <v>4.0</v>
      </c>
      <c r="D566" s="6" t="s">
        <v>3196</v>
      </c>
      <c r="E566" s="8">
        <v>5.0</v>
      </c>
      <c r="F566" s="10" t="s">
        <v>569</v>
      </c>
    </row>
    <row r="567">
      <c r="A567" s="5" t="s">
        <v>3236</v>
      </c>
      <c r="B567" s="6">
        <v>6.0</v>
      </c>
      <c r="C567" s="7">
        <v>183.0</v>
      </c>
      <c r="D567" s="6" t="s">
        <v>3182</v>
      </c>
      <c r="E567" s="8">
        <v>5.0</v>
      </c>
      <c r="F567" s="10" t="s">
        <v>570</v>
      </c>
    </row>
    <row r="568">
      <c r="A568" s="5" t="s">
        <v>3199</v>
      </c>
      <c r="B568" s="6">
        <v>3.0</v>
      </c>
      <c r="C568" s="7">
        <v>129.0</v>
      </c>
      <c r="D568" s="6" t="s">
        <v>3182</v>
      </c>
      <c r="E568" s="8">
        <v>5.0</v>
      </c>
      <c r="F568" s="10" t="s">
        <v>571</v>
      </c>
    </row>
    <row r="569">
      <c r="A569" s="5" t="s">
        <v>3204</v>
      </c>
      <c r="B569" s="6">
        <v>1.0</v>
      </c>
      <c r="C569" s="7">
        <v>144.0</v>
      </c>
      <c r="D569" s="6" t="s">
        <v>3173</v>
      </c>
      <c r="E569" s="8">
        <v>5.0</v>
      </c>
      <c r="F569" s="10" t="s">
        <v>572</v>
      </c>
    </row>
    <row r="570">
      <c r="A570" s="5" t="s">
        <v>3242</v>
      </c>
      <c r="B570" s="6">
        <v>1.0</v>
      </c>
      <c r="C570" s="7">
        <v>83.0</v>
      </c>
      <c r="D570" s="6" t="s">
        <v>3203</v>
      </c>
      <c r="E570" s="8">
        <v>5.0</v>
      </c>
      <c r="F570" s="10" t="s">
        <v>573</v>
      </c>
    </row>
    <row r="571">
      <c r="A571" s="5" t="s">
        <v>3177</v>
      </c>
      <c r="B571" s="6">
        <v>5.0</v>
      </c>
      <c r="C571" s="7">
        <v>89.0</v>
      </c>
      <c r="D571" s="6" t="s">
        <v>3262</v>
      </c>
      <c r="E571" s="8">
        <v>5.0</v>
      </c>
      <c r="F571" s="10" t="s">
        <v>574</v>
      </c>
    </row>
    <row r="572">
      <c r="A572" s="5" t="s">
        <v>3179</v>
      </c>
      <c r="B572" s="6">
        <v>1.0</v>
      </c>
      <c r="C572" s="7">
        <v>171.0</v>
      </c>
      <c r="D572" s="6" t="s">
        <v>3245</v>
      </c>
      <c r="E572" s="8">
        <v>5.0</v>
      </c>
      <c r="F572" s="10" t="s">
        <v>575</v>
      </c>
    </row>
    <row r="573">
      <c r="A573" s="5" t="s">
        <v>3248</v>
      </c>
      <c r="B573" s="6">
        <v>3.0</v>
      </c>
      <c r="C573" s="7">
        <v>149.0</v>
      </c>
      <c r="D573" s="6" t="s">
        <v>3239</v>
      </c>
      <c r="E573" s="8">
        <v>5.0</v>
      </c>
      <c r="F573" s="10" t="s">
        <v>362</v>
      </c>
    </row>
    <row r="574">
      <c r="A574" s="5" t="s">
        <v>3216</v>
      </c>
      <c r="B574" s="6">
        <v>6.0</v>
      </c>
      <c r="C574" s="7">
        <v>196.0</v>
      </c>
      <c r="D574" s="6" t="s">
        <v>3169</v>
      </c>
      <c r="E574" s="8">
        <v>5.0</v>
      </c>
      <c r="F574" s="10" t="s">
        <v>576</v>
      </c>
    </row>
    <row r="575">
      <c r="A575" s="5" t="s">
        <v>3248</v>
      </c>
      <c r="B575" s="6">
        <v>3.0</v>
      </c>
      <c r="C575" s="7">
        <v>35.0</v>
      </c>
      <c r="D575" s="6" t="s">
        <v>3196</v>
      </c>
      <c r="E575" s="8">
        <v>5.0</v>
      </c>
      <c r="F575" s="10" t="s">
        <v>577</v>
      </c>
    </row>
    <row r="576">
      <c r="A576" s="5" t="s">
        <v>3261</v>
      </c>
      <c r="B576" s="6">
        <v>4.0</v>
      </c>
      <c r="C576" s="7">
        <v>36.0</v>
      </c>
      <c r="D576" s="6" t="s">
        <v>3227</v>
      </c>
      <c r="E576" s="8">
        <v>5.0</v>
      </c>
      <c r="F576" s="10" t="s">
        <v>578</v>
      </c>
    </row>
    <row r="577">
      <c r="A577" s="5" t="s">
        <v>3166</v>
      </c>
      <c r="B577" s="6">
        <v>6.0</v>
      </c>
      <c r="C577" s="7">
        <v>24.0</v>
      </c>
      <c r="D577" s="6" t="s">
        <v>3194</v>
      </c>
      <c r="E577" s="8">
        <v>5.0</v>
      </c>
      <c r="F577" s="10" t="s">
        <v>579</v>
      </c>
    </row>
    <row r="578">
      <c r="A578" s="5" t="s">
        <v>3166</v>
      </c>
      <c r="B578" s="6">
        <v>6.0</v>
      </c>
      <c r="C578" s="7">
        <v>182.0</v>
      </c>
      <c r="D578" s="6" t="s">
        <v>3238</v>
      </c>
      <c r="E578" s="8">
        <v>4.0</v>
      </c>
      <c r="F578" s="10" t="s">
        <v>580</v>
      </c>
    </row>
    <row r="579">
      <c r="A579" s="5" t="s">
        <v>3189</v>
      </c>
      <c r="B579" s="6">
        <v>6.0</v>
      </c>
      <c r="C579" s="7">
        <v>47.0</v>
      </c>
      <c r="D579" s="6" t="s">
        <v>3221</v>
      </c>
      <c r="E579" s="8">
        <v>4.0</v>
      </c>
      <c r="F579" s="10" t="s">
        <v>581</v>
      </c>
    </row>
    <row r="580">
      <c r="A580" s="5" t="s">
        <v>3185</v>
      </c>
      <c r="B580" s="6">
        <v>1.0</v>
      </c>
      <c r="C580" s="7">
        <v>126.0</v>
      </c>
      <c r="D580" s="6" t="s">
        <v>3211</v>
      </c>
      <c r="E580" s="8">
        <v>4.0</v>
      </c>
      <c r="F580" s="10" t="s">
        <v>582</v>
      </c>
    </row>
    <row r="581">
      <c r="A581" s="5" t="s">
        <v>3256</v>
      </c>
      <c r="B581" s="6">
        <v>6.0</v>
      </c>
      <c r="C581" s="7">
        <v>180.0</v>
      </c>
      <c r="D581" s="6" t="s">
        <v>3192</v>
      </c>
      <c r="E581" s="8">
        <v>4.0</v>
      </c>
      <c r="F581" s="10" t="s">
        <v>583</v>
      </c>
    </row>
    <row r="582">
      <c r="A582" s="5" t="s">
        <v>3229</v>
      </c>
      <c r="B582" s="6">
        <v>4.0</v>
      </c>
      <c r="C582" s="7">
        <v>93.0</v>
      </c>
      <c r="D582" s="6" t="s">
        <v>3221</v>
      </c>
      <c r="E582" s="8">
        <v>4.0</v>
      </c>
      <c r="F582" s="10" t="s">
        <v>584</v>
      </c>
    </row>
    <row r="583">
      <c r="A583" s="5" t="s">
        <v>3246</v>
      </c>
      <c r="B583" s="6">
        <v>4.0</v>
      </c>
      <c r="C583" s="7">
        <v>177.0</v>
      </c>
      <c r="D583" s="6" t="s">
        <v>3167</v>
      </c>
      <c r="E583" s="8">
        <v>4.0</v>
      </c>
      <c r="F583" s="10" t="s">
        <v>585</v>
      </c>
    </row>
    <row r="584">
      <c r="A584" s="5" t="s">
        <v>3166</v>
      </c>
      <c r="B584" s="6">
        <v>6.0</v>
      </c>
      <c r="C584" s="7">
        <v>139.0</v>
      </c>
      <c r="D584" s="6" t="s">
        <v>3182</v>
      </c>
      <c r="E584" s="8">
        <v>4.0</v>
      </c>
      <c r="F584" s="10" t="s">
        <v>586</v>
      </c>
    </row>
    <row r="585">
      <c r="A585" s="5" t="s">
        <v>3258</v>
      </c>
      <c r="B585" s="6">
        <v>6.0</v>
      </c>
      <c r="C585" s="7">
        <v>70.0</v>
      </c>
      <c r="D585" s="6" t="s">
        <v>3222</v>
      </c>
      <c r="E585" s="8">
        <v>4.0</v>
      </c>
      <c r="F585" s="10" t="s">
        <v>587</v>
      </c>
    </row>
    <row r="586">
      <c r="A586" s="5" t="s">
        <v>3246</v>
      </c>
      <c r="B586" s="6">
        <v>4.0</v>
      </c>
      <c r="C586" s="7">
        <v>26.0</v>
      </c>
      <c r="D586" s="6" t="s">
        <v>3188</v>
      </c>
      <c r="E586" s="8">
        <v>4.0</v>
      </c>
      <c r="F586" s="10" t="s">
        <v>588</v>
      </c>
    </row>
    <row r="587">
      <c r="A587" s="5" t="s">
        <v>3263</v>
      </c>
      <c r="B587" s="6">
        <v>1.0</v>
      </c>
      <c r="C587" s="7">
        <v>32.0</v>
      </c>
      <c r="D587" s="6" t="s">
        <v>3173</v>
      </c>
      <c r="E587" s="8">
        <v>4.0</v>
      </c>
      <c r="F587" s="10" t="s">
        <v>589</v>
      </c>
    </row>
    <row r="588">
      <c r="A588" s="5" t="s">
        <v>3247</v>
      </c>
      <c r="B588" s="6">
        <v>6.0</v>
      </c>
      <c r="C588" s="7">
        <v>100.0</v>
      </c>
      <c r="D588" s="6" t="s">
        <v>3196</v>
      </c>
      <c r="E588" s="8">
        <v>3.0</v>
      </c>
      <c r="F588" s="10" t="s">
        <v>590</v>
      </c>
    </row>
    <row r="589">
      <c r="A589" s="5" t="s">
        <v>3248</v>
      </c>
      <c r="B589" s="6">
        <v>3.0</v>
      </c>
      <c r="C589" s="7">
        <v>92.0</v>
      </c>
      <c r="D589" s="6" t="s">
        <v>3215</v>
      </c>
      <c r="E589" s="8">
        <v>3.0</v>
      </c>
      <c r="F589" s="10" t="s">
        <v>591</v>
      </c>
    </row>
    <row r="590">
      <c r="A590" s="5" t="s">
        <v>3193</v>
      </c>
      <c r="B590" s="6">
        <v>5.0</v>
      </c>
      <c r="C590" s="7">
        <v>120.0</v>
      </c>
      <c r="D590" s="6" t="s">
        <v>3171</v>
      </c>
      <c r="E590" s="8">
        <v>3.0</v>
      </c>
      <c r="F590" s="10" t="s">
        <v>592</v>
      </c>
    </row>
    <row r="591">
      <c r="A591" s="5" t="s">
        <v>3261</v>
      </c>
      <c r="B591" s="6">
        <v>4.0</v>
      </c>
      <c r="C591" s="7">
        <v>137.0</v>
      </c>
      <c r="D591" s="6" t="s">
        <v>3215</v>
      </c>
      <c r="E591" s="8">
        <v>3.0</v>
      </c>
      <c r="F591" s="10" t="s">
        <v>593</v>
      </c>
    </row>
    <row r="592">
      <c r="A592" s="5" t="s">
        <v>3228</v>
      </c>
      <c r="B592" s="6">
        <v>6.0</v>
      </c>
      <c r="C592" s="7">
        <v>169.0</v>
      </c>
      <c r="D592" s="6" t="s">
        <v>3200</v>
      </c>
      <c r="E592" s="8">
        <v>3.0</v>
      </c>
      <c r="F592" s="10" t="s">
        <v>594</v>
      </c>
    </row>
    <row r="593">
      <c r="A593" s="5" t="s">
        <v>3243</v>
      </c>
      <c r="B593" s="6">
        <v>4.0</v>
      </c>
      <c r="C593" s="7">
        <v>118.0</v>
      </c>
      <c r="D593" s="6" t="s">
        <v>3200</v>
      </c>
      <c r="E593" s="8">
        <v>3.0</v>
      </c>
      <c r="F593" s="10" t="s">
        <v>595</v>
      </c>
    </row>
    <row r="594">
      <c r="A594" s="5" t="s">
        <v>3243</v>
      </c>
      <c r="B594" s="6">
        <v>4.0</v>
      </c>
      <c r="C594" s="7">
        <v>179.0</v>
      </c>
      <c r="D594" s="6" t="s">
        <v>3214</v>
      </c>
      <c r="E594" s="8">
        <v>2.0</v>
      </c>
      <c r="F594" s="10" t="s">
        <v>596</v>
      </c>
    </row>
    <row r="595">
      <c r="A595" s="5" t="s">
        <v>3175</v>
      </c>
      <c r="B595" s="6">
        <v>5.0</v>
      </c>
      <c r="C595" s="7">
        <v>164.0</v>
      </c>
      <c r="D595" s="6" t="s">
        <v>3232</v>
      </c>
      <c r="E595" s="8">
        <v>2.0</v>
      </c>
      <c r="F595" s="10" t="s">
        <v>597</v>
      </c>
    </row>
    <row r="596">
      <c r="A596" s="5" t="s">
        <v>3210</v>
      </c>
      <c r="B596" s="6">
        <v>1.0</v>
      </c>
      <c r="C596" s="7">
        <v>166.0</v>
      </c>
      <c r="D596" s="6" t="s">
        <v>3227</v>
      </c>
      <c r="E596" s="8">
        <v>2.0</v>
      </c>
      <c r="F596" s="10" t="s">
        <v>598</v>
      </c>
    </row>
    <row r="597">
      <c r="A597" s="5" t="s">
        <v>3259</v>
      </c>
      <c r="B597" s="6">
        <v>6.0</v>
      </c>
      <c r="C597" s="7">
        <v>117.0</v>
      </c>
      <c r="D597" s="6" t="s">
        <v>3225</v>
      </c>
      <c r="E597" s="8">
        <v>2.0</v>
      </c>
      <c r="F597" s="10" t="s">
        <v>599</v>
      </c>
    </row>
    <row r="598">
      <c r="A598" s="5" t="s">
        <v>3177</v>
      </c>
      <c r="B598" s="6">
        <v>5.0</v>
      </c>
      <c r="C598" s="7">
        <v>25.0</v>
      </c>
      <c r="D598" s="6" t="s">
        <v>3173</v>
      </c>
      <c r="E598" s="8">
        <v>2.0</v>
      </c>
      <c r="F598" s="10" t="s">
        <v>600</v>
      </c>
    </row>
    <row r="599">
      <c r="A599" s="5" t="s">
        <v>3201</v>
      </c>
      <c r="B599" s="6">
        <v>5.0</v>
      </c>
      <c r="C599" s="7">
        <v>110.0</v>
      </c>
      <c r="D599" s="6" t="s">
        <v>3211</v>
      </c>
      <c r="E599" s="8">
        <v>2.0</v>
      </c>
      <c r="F599" s="10" t="s">
        <v>601</v>
      </c>
    </row>
    <row r="600">
      <c r="A600" s="5" t="s">
        <v>3199</v>
      </c>
      <c r="B600" s="6">
        <v>3.0</v>
      </c>
      <c r="C600" s="7">
        <v>80.0</v>
      </c>
      <c r="D600" s="6" t="s">
        <v>3180</v>
      </c>
      <c r="E600" s="8">
        <v>2.0</v>
      </c>
      <c r="F600" s="10" t="s">
        <v>602</v>
      </c>
    </row>
    <row r="601">
      <c r="A601" s="5" t="s">
        <v>3267</v>
      </c>
      <c r="B601" s="6">
        <v>3.0</v>
      </c>
      <c r="C601" s="7">
        <v>151.0</v>
      </c>
      <c r="D601" s="6" t="s">
        <v>3232</v>
      </c>
      <c r="E601" s="8">
        <v>2.0</v>
      </c>
      <c r="F601" s="10" t="s">
        <v>603</v>
      </c>
    </row>
    <row r="602">
      <c r="A602" s="5" t="s">
        <v>3259</v>
      </c>
      <c r="B602" s="6">
        <v>6.0</v>
      </c>
      <c r="C602" s="7">
        <v>161.0</v>
      </c>
      <c r="D602" s="6" t="s">
        <v>3192</v>
      </c>
      <c r="E602" s="8">
        <v>2.0</v>
      </c>
      <c r="F602" s="10" t="s">
        <v>604</v>
      </c>
    </row>
    <row r="603">
      <c r="A603" s="5" t="s">
        <v>3179</v>
      </c>
      <c r="B603" s="6">
        <v>1.0</v>
      </c>
      <c r="C603" s="7">
        <v>128.0</v>
      </c>
      <c r="D603" s="6" t="s">
        <v>3211</v>
      </c>
      <c r="E603" s="8">
        <v>2.0</v>
      </c>
      <c r="F603" s="10" t="s">
        <v>605</v>
      </c>
    </row>
    <row r="604">
      <c r="A604" s="5" t="s">
        <v>3259</v>
      </c>
      <c r="B604" s="6">
        <v>6.0</v>
      </c>
      <c r="C604" s="7">
        <v>189.0</v>
      </c>
      <c r="D604" s="6" t="s">
        <v>3225</v>
      </c>
      <c r="E604" s="8">
        <v>2.0</v>
      </c>
      <c r="F604" s="10" t="s">
        <v>606</v>
      </c>
    </row>
    <row r="605">
      <c r="A605" s="5" t="s">
        <v>3266</v>
      </c>
      <c r="B605" s="6">
        <v>3.0</v>
      </c>
      <c r="C605" s="7">
        <v>161.0</v>
      </c>
      <c r="D605" s="6" t="s">
        <v>3192</v>
      </c>
      <c r="E605" s="8">
        <v>1.0</v>
      </c>
      <c r="F605" s="10" t="s">
        <v>607</v>
      </c>
    </row>
    <row r="606">
      <c r="A606" s="5" t="s">
        <v>3246</v>
      </c>
      <c r="B606" s="6">
        <v>4.0</v>
      </c>
      <c r="C606" s="7">
        <v>101.0</v>
      </c>
      <c r="D606" s="6" t="s">
        <v>3238</v>
      </c>
      <c r="E606" s="8">
        <v>1.0</v>
      </c>
      <c r="F606" s="10" t="s">
        <v>608</v>
      </c>
    </row>
    <row r="607">
      <c r="A607" s="5" t="s">
        <v>3217</v>
      </c>
      <c r="B607" s="6">
        <v>5.0</v>
      </c>
      <c r="C607" s="7">
        <v>29.0</v>
      </c>
      <c r="D607" s="6" t="s">
        <v>3235</v>
      </c>
      <c r="E607" s="8">
        <v>1.0</v>
      </c>
      <c r="F607" s="10" t="s">
        <v>609</v>
      </c>
    </row>
    <row r="608">
      <c r="A608" s="5" t="s">
        <v>3195</v>
      </c>
      <c r="B608" s="6">
        <v>4.0</v>
      </c>
      <c r="C608" s="7">
        <v>124.0</v>
      </c>
      <c r="D608" s="6" t="s">
        <v>3238</v>
      </c>
      <c r="E608" s="8">
        <v>1.0</v>
      </c>
      <c r="F608" s="10" t="s">
        <v>610</v>
      </c>
    </row>
    <row r="609">
      <c r="A609" s="5" t="s">
        <v>3170</v>
      </c>
      <c r="B609" s="6">
        <v>1.0</v>
      </c>
      <c r="C609" s="7">
        <v>24.0</v>
      </c>
      <c r="D609" s="6" t="s">
        <v>3194</v>
      </c>
      <c r="E609" s="8">
        <v>1.0</v>
      </c>
      <c r="F609" s="10" t="s">
        <v>611</v>
      </c>
    </row>
    <row r="610">
      <c r="A610" s="5" t="s">
        <v>3174</v>
      </c>
      <c r="B610" s="6">
        <v>1.0</v>
      </c>
      <c r="C610" s="7">
        <v>55.0</v>
      </c>
      <c r="D610" s="6" t="s">
        <v>3198</v>
      </c>
      <c r="E610" s="8">
        <v>1.0</v>
      </c>
      <c r="F610" s="10" t="s">
        <v>612</v>
      </c>
    </row>
    <row r="611">
      <c r="A611" s="5" t="s">
        <v>3205</v>
      </c>
      <c r="B611" s="6">
        <v>1.0</v>
      </c>
      <c r="C611" s="7">
        <v>103.0</v>
      </c>
      <c r="D611" s="6" t="s">
        <v>3254</v>
      </c>
      <c r="E611" s="8">
        <v>1.0</v>
      </c>
      <c r="F611" s="10" t="s">
        <v>613</v>
      </c>
    </row>
    <row r="612">
      <c r="A612" s="5" t="s">
        <v>3174</v>
      </c>
      <c r="B612" s="6">
        <v>1.0</v>
      </c>
      <c r="C612" s="7">
        <v>57.0</v>
      </c>
      <c r="D612" s="6" t="s">
        <v>3239</v>
      </c>
      <c r="E612" s="8">
        <v>1.0</v>
      </c>
      <c r="F612" s="10" t="s">
        <v>614</v>
      </c>
    </row>
    <row r="613">
      <c r="A613" s="5" t="s">
        <v>3208</v>
      </c>
      <c r="B613" s="6">
        <v>4.0</v>
      </c>
      <c r="C613" s="7">
        <v>90.0</v>
      </c>
      <c r="D613" s="6" t="s">
        <v>3178</v>
      </c>
      <c r="E613" s="8">
        <v>1.0</v>
      </c>
      <c r="F613" s="10" t="s">
        <v>615</v>
      </c>
    </row>
    <row r="614">
      <c r="A614" s="5" t="s">
        <v>3270</v>
      </c>
      <c r="B614" s="6">
        <v>3.0</v>
      </c>
      <c r="C614" s="7">
        <v>5.0</v>
      </c>
      <c r="D614" s="6" t="s">
        <v>3207</v>
      </c>
      <c r="E614" s="8">
        <v>1.0</v>
      </c>
      <c r="F614" s="10" t="s">
        <v>616</v>
      </c>
    </row>
    <row r="615">
      <c r="A615" s="5" t="s">
        <v>3261</v>
      </c>
      <c r="B615" s="6">
        <v>4.0</v>
      </c>
      <c r="C615" s="7">
        <v>8.0</v>
      </c>
      <c r="D615" s="6" t="s">
        <v>3169</v>
      </c>
      <c r="E615" s="8">
        <v>1.0</v>
      </c>
      <c r="F615" s="10" t="s">
        <v>617</v>
      </c>
    </row>
    <row r="616">
      <c r="A616" s="5" t="s">
        <v>3218</v>
      </c>
      <c r="B616" s="6">
        <v>5.0</v>
      </c>
      <c r="C616" s="7">
        <v>181.0</v>
      </c>
      <c r="D616" s="6" t="s">
        <v>3190</v>
      </c>
      <c r="E616" s="8">
        <v>1.0</v>
      </c>
      <c r="F616" s="10" t="s">
        <v>618</v>
      </c>
    </row>
    <row r="617">
      <c r="A617" s="5" t="s">
        <v>3224</v>
      </c>
      <c r="B617" s="6">
        <v>6.0</v>
      </c>
      <c r="C617" s="7">
        <v>54.0</v>
      </c>
      <c r="D617" s="6" t="s">
        <v>3215</v>
      </c>
      <c r="E617" s="8">
        <v>5.0</v>
      </c>
      <c r="F617" s="10" t="s">
        <v>619</v>
      </c>
    </row>
    <row r="618">
      <c r="A618" s="5" t="s">
        <v>3248</v>
      </c>
      <c r="B618" s="6">
        <v>3.0</v>
      </c>
      <c r="C618" s="7">
        <v>34.0</v>
      </c>
      <c r="D618" s="6" t="s">
        <v>3227</v>
      </c>
      <c r="E618" s="8">
        <v>5.0</v>
      </c>
      <c r="F618" s="10" t="s">
        <v>620</v>
      </c>
    </row>
    <row r="619">
      <c r="A619" s="5" t="s">
        <v>3255</v>
      </c>
      <c r="B619" s="6">
        <v>6.0</v>
      </c>
      <c r="C619" s="7">
        <v>150.0</v>
      </c>
      <c r="D619" s="6" t="s">
        <v>3167</v>
      </c>
      <c r="E619" s="8">
        <v>5.0</v>
      </c>
      <c r="F619" s="10" t="s">
        <v>621</v>
      </c>
    </row>
    <row r="620">
      <c r="A620" s="5" t="s">
        <v>3189</v>
      </c>
      <c r="B620" s="6">
        <v>6.0</v>
      </c>
      <c r="C620" s="7">
        <v>70.0</v>
      </c>
      <c r="D620" s="6" t="s">
        <v>3222</v>
      </c>
      <c r="E620" s="8">
        <v>5.0</v>
      </c>
      <c r="F620" s="10" t="s">
        <v>622</v>
      </c>
    </row>
    <row r="621">
      <c r="A621" s="5" t="s">
        <v>3264</v>
      </c>
      <c r="B621" s="6">
        <v>4.0</v>
      </c>
      <c r="C621" s="7">
        <v>17.0</v>
      </c>
      <c r="D621" s="6" t="s">
        <v>3241</v>
      </c>
      <c r="E621" s="8">
        <v>5.0</v>
      </c>
      <c r="F621" s="10" t="s">
        <v>623</v>
      </c>
    </row>
    <row r="622">
      <c r="A622" s="5" t="s">
        <v>3195</v>
      </c>
      <c r="B622" s="6">
        <v>4.0</v>
      </c>
      <c r="C622" s="7">
        <v>7.0</v>
      </c>
      <c r="D622" s="6" t="s">
        <v>3180</v>
      </c>
      <c r="E622" s="8">
        <v>5.0</v>
      </c>
      <c r="F622" s="10" t="s">
        <v>624</v>
      </c>
    </row>
    <row r="623">
      <c r="A623" s="5" t="s">
        <v>3255</v>
      </c>
      <c r="B623" s="6">
        <v>6.0</v>
      </c>
      <c r="C623" s="7">
        <v>64.0</v>
      </c>
      <c r="D623" s="6" t="s">
        <v>3180</v>
      </c>
      <c r="E623" s="8">
        <v>5.0</v>
      </c>
      <c r="F623" s="10" t="s">
        <v>625</v>
      </c>
    </row>
    <row r="624">
      <c r="A624" s="5" t="s">
        <v>3209</v>
      </c>
      <c r="B624" s="6">
        <v>4.0</v>
      </c>
      <c r="C624" s="7">
        <v>148.0</v>
      </c>
      <c r="D624" s="6" t="s">
        <v>3262</v>
      </c>
      <c r="E624" s="8">
        <v>5.0</v>
      </c>
      <c r="F624" s="10" t="s">
        <v>626</v>
      </c>
    </row>
    <row r="625">
      <c r="A625" s="5" t="s">
        <v>3195</v>
      </c>
      <c r="B625" s="6">
        <v>4.0</v>
      </c>
      <c r="C625" s="7">
        <v>16.0</v>
      </c>
      <c r="D625" s="6" t="s">
        <v>3178</v>
      </c>
      <c r="E625" s="8">
        <v>5.0</v>
      </c>
      <c r="F625" s="10" t="s">
        <v>627</v>
      </c>
    </row>
    <row r="626">
      <c r="A626" s="5" t="s">
        <v>3263</v>
      </c>
      <c r="B626" s="6">
        <v>1.0</v>
      </c>
      <c r="C626" s="7">
        <v>78.0</v>
      </c>
      <c r="D626" s="6" t="s">
        <v>3176</v>
      </c>
      <c r="E626" s="8">
        <v>5.0</v>
      </c>
      <c r="F626" s="10" t="s">
        <v>628</v>
      </c>
    </row>
    <row r="627">
      <c r="A627" s="5" t="s">
        <v>3266</v>
      </c>
      <c r="B627" s="6">
        <v>3.0</v>
      </c>
      <c r="C627" s="7">
        <v>4.0</v>
      </c>
      <c r="D627" s="6" t="s">
        <v>3196</v>
      </c>
      <c r="E627" s="8">
        <v>5.0</v>
      </c>
      <c r="F627" s="10" t="s">
        <v>629</v>
      </c>
    </row>
    <row r="628">
      <c r="A628" s="5" t="s">
        <v>3252</v>
      </c>
      <c r="B628" s="6">
        <v>6.0</v>
      </c>
      <c r="C628" s="7">
        <v>77.0</v>
      </c>
      <c r="D628" s="6" t="s">
        <v>3254</v>
      </c>
      <c r="E628" s="8">
        <v>5.0</v>
      </c>
      <c r="F628" s="10" t="s">
        <v>630</v>
      </c>
    </row>
    <row r="629">
      <c r="A629" s="5" t="s">
        <v>3177</v>
      </c>
      <c r="B629" s="6">
        <v>5.0</v>
      </c>
      <c r="C629" s="7">
        <v>98.0</v>
      </c>
      <c r="D629" s="6" t="s">
        <v>3211</v>
      </c>
      <c r="E629" s="8">
        <v>5.0</v>
      </c>
      <c r="F629" s="10" t="s">
        <v>631</v>
      </c>
    </row>
    <row r="630">
      <c r="A630" s="5" t="s">
        <v>3168</v>
      </c>
      <c r="B630" s="6">
        <v>1.0</v>
      </c>
      <c r="C630" s="7">
        <v>15.0</v>
      </c>
      <c r="D630" s="6" t="s">
        <v>3254</v>
      </c>
      <c r="E630" s="8">
        <v>5.0</v>
      </c>
      <c r="F630" s="10" t="s">
        <v>632</v>
      </c>
    </row>
    <row r="631">
      <c r="A631" s="5" t="s">
        <v>3253</v>
      </c>
      <c r="B631" s="6">
        <v>1.0</v>
      </c>
      <c r="C631" s="7">
        <v>64.0</v>
      </c>
      <c r="D631" s="6" t="s">
        <v>3180</v>
      </c>
      <c r="E631" s="8">
        <v>5.0</v>
      </c>
      <c r="F631" s="10" t="s">
        <v>633</v>
      </c>
    </row>
    <row r="632">
      <c r="A632" s="5" t="s">
        <v>3181</v>
      </c>
      <c r="B632" s="6">
        <v>1.0</v>
      </c>
      <c r="C632" s="7">
        <v>196.0</v>
      </c>
      <c r="D632" s="6" t="s">
        <v>3169</v>
      </c>
      <c r="E632" s="8">
        <v>5.0</v>
      </c>
      <c r="F632" s="10" t="s">
        <v>634</v>
      </c>
    </row>
    <row r="633">
      <c r="A633" s="5" t="s">
        <v>3185</v>
      </c>
      <c r="B633" s="6">
        <v>1.0</v>
      </c>
      <c r="C633" s="7">
        <v>97.0</v>
      </c>
      <c r="D633" s="6" t="s">
        <v>3194</v>
      </c>
      <c r="E633" s="8">
        <v>5.0</v>
      </c>
      <c r="F633" s="10" t="s">
        <v>635</v>
      </c>
    </row>
    <row r="634">
      <c r="A634" s="5" t="s">
        <v>3175</v>
      </c>
      <c r="B634" s="6">
        <v>5.0</v>
      </c>
      <c r="C634" s="7">
        <v>43.0</v>
      </c>
      <c r="D634" s="6" t="s">
        <v>3214</v>
      </c>
      <c r="E634" s="8">
        <v>5.0</v>
      </c>
      <c r="F634" s="10" t="s">
        <v>636</v>
      </c>
    </row>
    <row r="635">
      <c r="A635" s="5" t="s">
        <v>3230</v>
      </c>
      <c r="B635" s="6">
        <v>1.0</v>
      </c>
      <c r="C635" s="7">
        <v>26.0</v>
      </c>
      <c r="D635" s="6" t="s">
        <v>3188</v>
      </c>
      <c r="E635" s="8">
        <v>4.0</v>
      </c>
      <c r="F635" s="10" t="s">
        <v>637</v>
      </c>
    </row>
    <row r="636">
      <c r="A636" s="5" t="s">
        <v>3253</v>
      </c>
      <c r="B636" s="6">
        <v>1.0</v>
      </c>
      <c r="C636" s="7">
        <v>33.0</v>
      </c>
      <c r="D636" s="6" t="s">
        <v>3225</v>
      </c>
      <c r="E636" s="8">
        <v>4.0</v>
      </c>
      <c r="F636" s="10" t="s">
        <v>638</v>
      </c>
    </row>
    <row r="637">
      <c r="A637" s="5" t="s">
        <v>3268</v>
      </c>
      <c r="B637" s="6">
        <v>1.0</v>
      </c>
      <c r="C637" s="7">
        <v>40.0</v>
      </c>
      <c r="D637" s="6" t="s">
        <v>3221</v>
      </c>
      <c r="E637" s="8">
        <v>4.0</v>
      </c>
      <c r="F637" s="10" t="s">
        <v>639</v>
      </c>
    </row>
    <row r="638">
      <c r="A638" s="5" t="s">
        <v>3201</v>
      </c>
      <c r="B638" s="6">
        <v>5.0</v>
      </c>
      <c r="C638" s="7">
        <v>133.0</v>
      </c>
      <c r="D638" s="6" t="s">
        <v>3192</v>
      </c>
      <c r="E638" s="8">
        <v>4.0</v>
      </c>
      <c r="F638" s="10" t="s">
        <v>640</v>
      </c>
    </row>
    <row r="639">
      <c r="A639" s="5" t="s">
        <v>3210</v>
      </c>
      <c r="B639" s="6">
        <v>1.0</v>
      </c>
      <c r="C639" s="7">
        <v>96.0</v>
      </c>
      <c r="D639" s="6" t="s">
        <v>3190</v>
      </c>
      <c r="E639" s="8">
        <v>3.0</v>
      </c>
      <c r="F639" s="10" t="s">
        <v>641</v>
      </c>
    </row>
    <row r="640">
      <c r="A640" s="5" t="s">
        <v>3253</v>
      </c>
      <c r="B640" s="6">
        <v>1.0</v>
      </c>
      <c r="C640" s="7">
        <v>196.0</v>
      </c>
      <c r="D640" s="6" t="s">
        <v>3169</v>
      </c>
      <c r="E640" s="8">
        <v>3.0</v>
      </c>
      <c r="F640" s="10" t="s">
        <v>642</v>
      </c>
    </row>
    <row r="641">
      <c r="A641" s="5" t="s">
        <v>3269</v>
      </c>
      <c r="B641" s="6">
        <v>6.0</v>
      </c>
      <c r="C641" s="7">
        <v>18.0</v>
      </c>
      <c r="D641" s="6" t="s">
        <v>3225</v>
      </c>
      <c r="E641" s="8">
        <v>3.0</v>
      </c>
      <c r="F641" s="10" t="s">
        <v>643</v>
      </c>
    </row>
    <row r="642">
      <c r="A642" s="5" t="s">
        <v>3229</v>
      </c>
      <c r="B642" s="6">
        <v>4.0</v>
      </c>
      <c r="C642" s="7">
        <v>67.0</v>
      </c>
      <c r="D642" s="6" t="s">
        <v>3186</v>
      </c>
      <c r="E642" s="8">
        <v>3.0</v>
      </c>
      <c r="F642" s="10" t="s">
        <v>644</v>
      </c>
    </row>
    <row r="643">
      <c r="A643" s="5" t="s">
        <v>3213</v>
      </c>
      <c r="B643" s="6">
        <v>2.0</v>
      </c>
      <c r="C643" s="7">
        <v>155.0</v>
      </c>
      <c r="D643" s="6" t="s">
        <v>3180</v>
      </c>
      <c r="E643" s="8">
        <v>2.0</v>
      </c>
      <c r="F643" s="10" t="s">
        <v>645</v>
      </c>
    </row>
    <row r="644">
      <c r="A644" s="5" t="s">
        <v>3246</v>
      </c>
      <c r="B644" s="6">
        <v>4.0</v>
      </c>
      <c r="C644" s="7">
        <v>72.0</v>
      </c>
      <c r="D644" s="6" t="s">
        <v>3171</v>
      </c>
      <c r="E644" s="8">
        <v>2.0</v>
      </c>
      <c r="F644" s="10" t="s">
        <v>646</v>
      </c>
    </row>
    <row r="645">
      <c r="A645" s="5" t="s">
        <v>3177</v>
      </c>
      <c r="B645" s="6">
        <v>5.0</v>
      </c>
      <c r="C645" s="7">
        <v>156.0</v>
      </c>
      <c r="D645" s="6" t="s">
        <v>3245</v>
      </c>
      <c r="E645" s="8">
        <v>2.0</v>
      </c>
      <c r="F645" s="10" t="s">
        <v>647</v>
      </c>
    </row>
    <row r="646">
      <c r="A646" s="5" t="s">
        <v>3166</v>
      </c>
      <c r="B646" s="6">
        <v>6.0</v>
      </c>
      <c r="C646" s="7">
        <v>178.0</v>
      </c>
      <c r="D646" s="6" t="s">
        <v>3190</v>
      </c>
      <c r="E646" s="8">
        <v>2.0</v>
      </c>
      <c r="F646" s="10" t="s">
        <v>648</v>
      </c>
    </row>
    <row r="647">
      <c r="A647" s="5" t="s">
        <v>3259</v>
      </c>
      <c r="B647" s="6">
        <v>6.0</v>
      </c>
      <c r="C647" s="7">
        <v>121.0</v>
      </c>
      <c r="D647" s="6" t="s">
        <v>3173</v>
      </c>
      <c r="E647" s="8">
        <v>2.0</v>
      </c>
      <c r="F647" s="10" t="s">
        <v>649</v>
      </c>
    </row>
    <row r="648">
      <c r="A648" s="5" t="s">
        <v>3168</v>
      </c>
      <c r="B648" s="6">
        <v>1.0</v>
      </c>
      <c r="C648" s="7">
        <v>36.0</v>
      </c>
      <c r="D648" s="6" t="s">
        <v>3227</v>
      </c>
      <c r="E648" s="8">
        <v>2.0</v>
      </c>
      <c r="F648" s="10" t="s">
        <v>650</v>
      </c>
    </row>
    <row r="649">
      <c r="A649" s="5" t="s">
        <v>3191</v>
      </c>
      <c r="B649" s="6">
        <v>5.0</v>
      </c>
      <c r="C649" s="7">
        <v>196.0</v>
      </c>
      <c r="D649" s="6" t="s">
        <v>3169</v>
      </c>
      <c r="E649" s="8">
        <v>1.0</v>
      </c>
      <c r="F649" s="10" t="s">
        <v>651</v>
      </c>
    </row>
    <row r="650">
      <c r="A650" s="5" t="s">
        <v>3168</v>
      </c>
      <c r="B650" s="6">
        <v>1.0</v>
      </c>
      <c r="C650" s="7">
        <v>159.0</v>
      </c>
      <c r="D650" s="6" t="s">
        <v>3188</v>
      </c>
      <c r="E650" s="8">
        <v>1.0</v>
      </c>
      <c r="F650" s="10" t="s">
        <v>652</v>
      </c>
    </row>
    <row r="651">
      <c r="A651" s="5" t="s">
        <v>3251</v>
      </c>
      <c r="B651" s="6">
        <v>6.0</v>
      </c>
      <c r="C651" s="7">
        <v>132.0</v>
      </c>
      <c r="D651" s="6" t="s">
        <v>3186</v>
      </c>
      <c r="E651" s="8">
        <v>1.0</v>
      </c>
      <c r="F651" s="10" t="s">
        <v>653</v>
      </c>
    </row>
    <row r="652">
      <c r="A652" s="5" t="s">
        <v>3226</v>
      </c>
      <c r="B652" s="6">
        <v>1.0</v>
      </c>
      <c r="C652" s="7">
        <v>62.0</v>
      </c>
      <c r="D652" s="6" t="s">
        <v>3200</v>
      </c>
      <c r="E652" s="8">
        <v>1.0</v>
      </c>
      <c r="F652" s="10" t="s">
        <v>654</v>
      </c>
    </row>
    <row r="653">
      <c r="A653" s="5" t="s">
        <v>3267</v>
      </c>
      <c r="B653" s="6">
        <v>3.0</v>
      </c>
      <c r="C653" s="7">
        <v>62.0</v>
      </c>
      <c r="D653" s="6" t="s">
        <v>3200</v>
      </c>
      <c r="E653" s="8">
        <v>1.0</v>
      </c>
      <c r="F653" s="10" t="s">
        <v>655</v>
      </c>
    </row>
    <row r="654">
      <c r="A654" s="5" t="s">
        <v>3263</v>
      </c>
      <c r="B654" s="6">
        <v>1.0</v>
      </c>
      <c r="C654" s="7">
        <v>16.0</v>
      </c>
      <c r="D654" s="6" t="s">
        <v>3178</v>
      </c>
      <c r="E654" s="8">
        <v>1.0</v>
      </c>
      <c r="F654" s="10" t="s">
        <v>656</v>
      </c>
    </row>
    <row r="655">
      <c r="A655" s="5" t="s">
        <v>3258</v>
      </c>
      <c r="B655" s="6">
        <v>6.0</v>
      </c>
      <c r="C655" s="7">
        <v>197.0</v>
      </c>
      <c r="D655" s="6" t="s">
        <v>3173</v>
      </c>
      <c r="E655" s="8">
        <v>1.0</v>
      </c>
      <c r="F655" s="10" t="s">
        <v>657</v>
      </c>
    </row>
    <row r="656">
      <c r="A656" s="5" t="s">
        <v>3224</v>
      </c>
      <c r="B656" s="6">
        <v>6.0</v>
      </c>
      <c r="C656" s="7">
        <v>16.0</v>
      </c>
      <c r="D656" s="6" t="s">
        <v>3178</v>
      </c>
      <c r="E656" s="8">
        <v>1.0</v>
      </c>
      <c r="F656" s="10" t="s">
        <v>658</v>
      </c>
    </row>
    <row r="657">
      <c r="A657" s="5" t="s">
        <v>3206</v>
      </c>
      <c r="B657" s="6">
        <v>6.0</v>
      </c>
      <c r="C657" s="7">
        <v>49.0</v>
      </c>
      <c r="D657" s="6" t="s">
        <v>3254</v>
      </c>
      <c r="E657" s="8">
        <v>1.0</v>
      </c>
      <c r="F657" s="10" t="s">
        <v>659</v>
      </c>
    </row>
    <row r="658">
      <c r="A658" s="5" t="s">
        <v>3181</v>
      </c>
      <c r="B658" s="6">
        <v>1.0</v>
      </c>
      <c r="C658" s="7">
        <v>68.0</v>
      </c>
      <c r="D658" s="6" t="s">
        <v>3182</v>
      </c>
      <c r="E658" s="8">
        <v>1.0</v>
      </c>
      <c r="F658" s="10" t="s">
        <v>660</v>
      </c>
    </row>
    <row r="659">
      <c r="A659" s="5" t="s">
        <v>3187</v>
      </c>
      <c r="B659" s="6">
        <v>4.0</v>
      </c>
      <c r="C659" s="7">
        <v>121.0</v>
      </c>
      <c r="D659" s="6" t="s">
        <v>3173</v>
      </c>
      <c r="E659" s="8">
        <v>1.0</v>
      </c>
      <c r="F659" s="10" t="s">
        <v>661</v>
      </c>
    </row>
    <row r="660">
      <c r="A660" s="5" t="s">
        <v>3244</v>
      </c>
      <c r="B660" s="6">
        <v>1.0</v>
      </c>
      <c r="C660" s="7">
        <v>46.0</v>
      </c>
      <c r="D660" s="6" t="s">
        <v>3194</v>
      </c>
      <c r="E660" s="8">
        <v>5.0</v>
      </c>
      <c r="F660" s="10" t="s">
        <v>662</v>
      </c>
    </row>
    <row r="661">
      <c r="A661" s="5" t="s">
        <v>3243</v>
      </c>
      <c r="B661" s="6">
        <v>4.0</v>
      </c>
      <c r="C661" s="7">
        <v>135.0</v>
      </c>
      <c r="D661" s="6" t="s">
        <v>3207</v>
      </c>
      <c r="E661" s="8">
        <v>5.0</v>
      </c>
      <c r="F661" s="10" t="s">
        <v>663</v>
      </c>
    </row>
    <row r="662">
      <c r="A662" s="5" t="s">
        <v>3210</v>
      </c>
      <c r="B662" s="6">
        <v>1.0</v>
      </c>
      <c r="C662" s="7">
        <v>52.0</v>
      </c>
      <c r="D662" s="6" t="s">
        <v>3194</v>
      </c>
      <c r="E662" s="8">
        <v>5.0</v>
      </c>
      <c r="F662" s="10" t="s">
        <v>664</v>
      </c>
    </row>
    <row r="663">
      <c r="A663" s="5" t="s">
        <v>3263</v>
      </c>
      <c r="B663" s="6">
        <v>1.0</v>
      </c>
      <c r="C663" s="7">
        <v>41.0</v>
      </c>
      <c r="D663" s="6" t="s">
        <v>3238</v>
      </c>
      <c r="E663" s="8">
        <v>5.0</v>
      </c>
      <c r="F663" s="10" t="s">
        <v>665</v>
      </c>
    </row>
    <row r="664">
      <c r="A664" s="5" t="s">
        <v>3258</v>
      </c>
      <c r="B664" s="6">
        <v>6.0</v>
      </c>
      <c r="C664" s="7">
        <v>142.0</v>
      </c>
      <c r="D664" s="6" t="s">
        <v>3173</v>
      </c>
      <c r="E664" s="8">
        <v>5.0</v>
      </c>
      <c r="F664" s="10" t="s">
        <v>666</v>
      </c>
    </row>
    <row r="665">
      <c r="A665" s="5" t="s">
        <v>3233</v>
      </c>
      <c r="B665" s="6">
        <v>6.0</v>
      </c>
      <c r="C665" s="7">
        <v>19.0</v>
      </c>
      <c r="D665" s="6" t="s">
        <v>3169</v>
      </c>
      <c r="E665" s="8">
        <v>5.0</v>
      </c>
      <c r="F665" s="10" t="s">
        <v>667</v>
      </c>
    </row>
    <row r="666">
      <c r="A666" s="5" t="s">
        <v>3212</v>
      </c>
      <c r="B666" s="6">
        <v>6.0</v>
      </c>
      <c r="C666" s="7">
        <v>178.0</v>
      </c>
      <c r="D666" s="6" t="s">
        <v>3190</v>
      </c>
      <c r="E666" s="8">
        <v>5.0</v>
      </c>
      <c r="F666" s="10" t="s">
        <v>668</v>
      </c>
    </row>
    <row r="667">
      <c r="A667" s="5" t="s">
        <v>3195</v>
      </c>
      <c r="B667" s="6">
        <v>4.0</v>
      </c>
      <c r="C667" s="7">
        <v>101.0</v>
      </c>
      <c r="D667" s="6" t="s">
        <v>3238</v>
      </c>
      <c r="E667" s="8">
        <v>5.0</v>
      </c>
      <c r="F667" s="10" t="s">
        <v>669</v>
      </c>
    </row>
    <row r="668">
      <c r="A668" s="5" t="s">
        <v>3204</v>
      </c>
      <c r="B668" s="6">
        <v>1.0</v>
      </c>
      <c r="C668" s="7">
        <v>19.0</v>
      </c>
      <c r="D668" s="6" t="s">
        <v>3169</v>
      </c>
      <c r="E668" s="8">
        <v>5.0</v>
      </c>
      <c r="F668" s="10" t="s">
        <v>576</v>
      </c>
    </row>
    <row r="669">
      <c r="A669" s="5" t="s">
        <v>3212</v>
      </c>
      <c r="B669" s="6">
        <v>6.0</v>
      </c>
      <c r="C669" s="7">
        <v>146.0</v>
      </c>
      <c r="D669" s="6" t="s">
        <v>3200</v>
      </c>
      <c r="E669" s="8">
        <v>5.0</v>
      </c>
      <c r="F669" s="10" t="s">
        <v>670</v>
      </c>
    </row>
    <row r="670">
      <c r="A670" s="5" t="s">
        <v>3191</v>
      </c>
      <c r="B670" s="6">
        <v>5.0</v>
      </c>
      <c r="C670" s="7">
        <v>21.0</v>
      </c>
      <c r="D670" s="6" t="s">
        <v>3200</v>
      </c>
      <c r="E670" s="8">
        <v>5.0</v>
      </c>
      <c r="F670" s="10" t="s">
        <v>671</v>
      </c>
    </row>
    <row r="671">
      <c r="A671" s="5" t="s">
        <v>3187</v>
      </c>
      <c r="B671" s="6">
        <v>4.0</v>
      </c>
      <c r="C671" s="7">
        <v>111.0</v>
      </c>
      <c r="D671" s="6" t="s">
        <v>3235</v>
      </c>
      <c r="E671" s="8">
        <v>4.0</v>
      </c>
      <c r="F671" s="10" t="s">
        <v>672</v>
      </c>
    </row>
    <row r="672">
      <c r="A672" s="5" t="s">
        <v>3168</v>
      </c>
      <c r="B672" s="6">
        <v>1.0</v>
      </c>
      <c r="C672" s="7">
        <v>21.0</v>
      </c>
      <c r="D672" s="6" t="s">
        <v>3200</v>
      </c>
      <c r="E672" s="8">
        <v>4.0</v>
      </c>
      <c r="F672" s="10" t="s">
        <v>673</v>
      </c>
    </row>
    <row r="673">
      <c r="A673" s="5" t="s">
        <v>3247</v>
      </c>
      <c r="B673" s="6">
        <v>6.0</v>
      </c>
      <c r="C673" s="7">
        <v>113.0</v>
      </c>
      <c r="D673" s="6" t="s">
        <v>3207</v>
      </c>
      <c r="E673" s="8">
        <v>4.0</v>
      </c>
      <c r="F673" s="10" t="s">
        <v>674</v>
      </c>
    </row>
    <row r="674">
      <c r="A674" s="5" t="s">
        <v>3202</v>
      </c>
      <c r="B674" s="6">
        <v>4.0</v>
      </c>
      <c r="C674" s="7">
        <v>15.0</v>
      </c>
      <c r="D674" s="6" t="s">
        <v>3254</v>
      </c>
      <c r="E674" s="8">
        <v>4.0</v>
      </c>
      <c r="F674" s="10" t="s">
        <v>675</v>
      </c>
    </row>
    <row r="675">
      <c r="A675" s="5" t="s">
        <v>3187</v>
      </c>
      <c r="B675" s="6">
        <v>4.0</v>
      </c>
      <c r="C675" s="7">
        <v>59.0</v>
      </c>
      <c r="D675" s="6" t="s">
        <v>3227</v>
      </c>
      <c r="E675" s="8">
        <v>4.0</v>
      </c>
      <c r="F675" s="10" t="s">
        <v>676</v>
      </c>
    </row>
    <row r="676">
      <c r="A676" s="5" t="s">
        <v>3237</v>
      </c>
      <c r="B676" s="6">
        <v>2.0</v>
      </c>
      <c r="C676" s="7">
        <v>164.0</v>
      </c>
      <c r="D676" s="6" t="s">
        <v>3232</v>
      </c>
      <c r="E676" s="8">
        <v>4.0</v>
      </c>
      <c r="F676" s="10" t="s">
        <v>677</v>
      </c>
    </row>
    <row r="677">
      <c r="A677" s="5" t="s">
        <v>3243</v>
      </c>
      <c r="B677" s="6">
        <v>4.0</v>
      </c>
      <c r="C677" s="7">
        <v>87.0</v>
      </c>
      <c r="D677" s="6" t="s">
        <v>3227</v>
      </c>
      <c r="E677" s="8">
        <v>3.0</v>
      </c>
      <c r="F677" s="10" t="s">
        <v>678</v>
      </c>
    </row>
    <row r="678">
      <c r="A678" s="5" t="s">
        <v>3172</v>
      </c>
      <c r="B678" s="6">
        <v>1.0</v>
      </c>
      <c r="C678" s="7">
        <v>127.0</v>
      </c>
      <c r="D678" s="6" t="s">
        <v>3262</v>
      </c>
      <c r="E678" s="8">
        <v>3.0</v>
      </c>
      <c r="F678" s="10" t="s">
        <v>679</v>
      </c>
    </row>
    <row r="679">
      <c r="A679" s="5" t="s">
        <v>3213</v>
      </c>
      <c r="B679" s="6">
        <v>2.0</v>
      </c>
      <c r="C679" s="7">
        <v>74.0</v>
      </c>
      <c r="D679" s="6" t="s">
        <v>3190</v>
      </c>
      <c r="E679" s="8">
        <v>3.0</v>
      </c>
      <c r="F679" s="10" t="s">
        <v>680</v>
      </c>
    </row>
    <row r="680">
      <c r="A680" s="5" t="s">
        <v>3205</v>
      </c>
      <c r="B680" s="6">
        <v>1.0</v>
      </c>
      <c r="C680" s="7">
        <v>69.0</v>
      </c>
      <c r="D680" s="6" t="s">
        <v>3203</v>
      </c>
      <c r="E680" s="8">
        <v>3.0</v>
      </c>
      <c r="F680" s="10" t="s">
        <v>681</v>
      </c>
    </row>
    <row r="681">
      <c r="A681" s="5" t="s">
        <v>3209</v>
      </c>
      <c r="B681" s="6">
        <v>4.0</v>
      </c>
      <c r="C681" s="7">
        <v>44.0</v>
      </c>
      <c r="D681" s="6" t="s">
        <v>3239</v>
      </c>
      <c r="E681" s="8">
        <v>3.0</v>
      </c>
      <c r="F681" s="10" t="s">
        <v>682</v>
      </c>
    </row>
    <row r="682">
      <c r="A682" s="5" t="s">
        <v>3258</v>
      </c>
      <c r="B682" s="6">
        <v>6.0</v>
      </c>
      <c r="C682" s="7">
        <v>21.0</v>
      </c>
      <c r="D682" s="6" t="s">
        <v>3200</v>
      </c>
      <c r="E682" s="8">
        <v>2.0</v>
      </c>
      <c r="F682" s="10" t="s">
        <v>683</v>
      </c>
    </row>
    <row r="683">
      <c r="A683" s="5" t="s">
        <v>3174</v>
      </c>
      <c r="B683" s="6">
        <v>1.0</v>
      </c>
      <c r="C683" s="7">
        <v>57.0</v>
      </c>
      <c r="D683" s="6" t="s">
        <v>3239</v>
      </c>
      <c r="E683" s="8">
        <v>2.0</v>
      </c>
      <c r="F683" s="10" t="s">
        <v>684</v>
      </c>
    </row>
    <row r="684">
      <c r="A684" s="5" t="s">
        <v>3197</v>
      </c>
      <c r="B684" s="6">
        <v>1.0</v>
      </c>
      <c r="C684" s="7">
        <v>83.0</v>
      </c>
      <c r="D684" s="6" t="s">
        <v>3203</v>
      </c>
      <c r="E684" s="8">
        <v>2.0</v>
      </c>
      <c r="F684" s="10" t="s">
        <v>685</v>
      </c>
    </row>
    <row r="685">
      <c r="A685" s="5" t="s">
        <v>3209</v>
      </c>
      <c r="B685" s="6">
        <v>4.0</v>
      </c>
      <c r="C685" s="7">
        <v>86.0</v>
      </c>
      <c r="D685" s="6" t="s">
        <v>3245</v>
      </c>
      <c r="E685" s="8">
        <v>2.0</v>
      </c>
      <c r="F685" s="10" t="s">
        <v>686</v>
      </c>
    </row>
    <row r="686">
      <c r="A686" s="5" t="s">
        <v>3259</v>
      </c>
      <c r="B686" s="6">
        <v>6.0</v>
      </c>
      <c r="C686" s="7">
        <v>178.0</v>
      </c>
      <c r="D686" s="6" t="s">
        <v>3190</v>
      </c>
      <c r="E686" s="8">
        <v>2.0</v>
      </c>
      <c r="F686" s="10" t="s">
        <v>687</v>
      </c>
    </row>
    <row r="687">
      <c r="A687" s="5" t="s">
        <v>3181</v>
      </c>
      <c r="B687" s="6">
        <v>1.0</v>
      </c>
      <c r="C687" s="7">
        <v>156.0</v>
      </c>
      <c r="D687" s="6" t="s">
        <v>3245</v>
      </c>
      <c r="E687" s="8">
        <v>2.0</v>
      </c>
      <c r="F687" s="10" t="s">
        <v>688</v>
      </c>
    </row>
    <row r="688">
      <c r="A688" s="5" t="s">
        <v>3217</v>
      </c>
      <c r="B688" s="6">
        <v>5.0</v>
      </c>
      <c r="C688" s="7">
        <v>25.0</v>
      </c>
      <c r="D688" s="6" t="s">
        <v>3173</v>
      </c>
      <c r="E688" s="8">
        <v>1.0</v>
      </c>
      <c r="F688" s="10" t="s">
        <v>689</v>
      </c>
    </row>
    <row r="689">
      <c r="A689" s="5" t="s">
        <v>3237</v>
      </c>
      <c r="B689" s="6">
        <v>2.0</v>
      </c>
      <c r="C689" s="7">
        <v>56.0</v>
      </c>
      <c r="D689" s="6" t="s">
        <v>3186</v>
      </c>
      <c r="E689" s="8">
        <v>1.0</v>
      </c>
      <c r="F689" s="10" t="s">
        <v>690</v>
      </c>
    </row>
    <row r="690">
      <c r="A690" s="5" t="s">
        <v>3205</v>
      </c>
      <c r="B690" s="6">
        <v>1.0</v>
      </c>
      <c r="C690" s="7">
        <v>83.0</v>
      </c>
      <c r="D690" s="6" t="s">
        <v>3203</v>
      </c>
      <c r="E690" s="8">
        <v>1.0</v>
      </c>
      <c r="F690" s="10" t="s">
        <v>691</v>
      </c>
    </row>
    <row r="691">
      <c r="A691" s="5" t="s">
        <v>3237</v>
      </c>
      <c r="B691" s="6">
        <v>2.0</v>
      </c>
      <c r="C691" s="7">
        <v>96.0</v>
      </c>
      <c r="D691" s="6" t="s">
        <v>3190</v>
      </c>
      <c r="E691" s="8">
        <v>1.0</v>
      </c>
      <c r="F691" s="10" t="s">
        <v>692</v>
      </c>
    </row>
    <row r="692">
      <c r="A692" s="5" t="s">
        <v>3265</v>
      </c>
      <c r="B692" s="6">
        <v>1.0</v>
      </c>
      <c r="C692" s="7">
        <v>51.0</v>
      </c>
      <c r="D692" s="6" t="s">
        <v>3169</v>
      </c>
      <c r="E692" s="8">
        <v>1.0</v>
      </c>
      <c r="F692" s="10" t="s">
        <v>693</v>
      </c>
    </row>
    <row r="693">
      <c r="A693" s="5" t="s">
        <v>3181</v>
      </c>
      <c r="B693" s="6">
        <v>1.0</v>
      </c>
      <c r="C693" s="7">
        <v>153.0</v>
      </c>
      <c r="D693" s="6" t="s">
        <v>3180</v>
      </c>
      <c r="E693" s="8">
        <v>1.0</v>
      </c>
      <c r="F693" s="10" t="s">
        <v>694</v>
      </c>
    </row>
    <row r="694">
      <c r="A694" s="5" t="s">
        <v>3223</v>
      </c>
      <c r="B694" s="6">
        <v>3.0</v>
      </c>
      <c r="C694" s="7">
        <v>41.0</v>
      </c>
      <c r="D694" s="6" t="s">
        <v>3238</v>
      </c>
      <c r="E694" s="8">
        <v>1.0</v>
      </c>
      <c r="F694" s="10" t="s">
        <v>695</v>
      </c>
    </row>
    <row r="695">
      <c r="A695" s="5" t="s">
        <v>3197</v>
      </c>
      <c r="B695" s="6">
        <v>1.0</v>
      </c>
      <c r="C695" s="7">
        <v>118.0</v>
      </c>
      <c r="D695" s="6" t="s">
        <v>3200</v>
      </c>
      <c r="E695" s="8">
        <v>1.0</v>
      </c>
      <c r="F695" s="10" t="s">
        <v>696</v>
      </c>
    </row>
    <row r="696">
      <c r="A696" s="5" t="s">
        <v>3237</v>
      </c>
      <c r="B696" s="6">
        <v>2.0</v>
      </c>
      <c r="C696" s="7">
        <v>3.0</v>
      </c>
      <c r="D696" s="6" t="s">
        <v>3200</v>
      </c>
      <c r="E696" s="8">
        <v>1.0</v>
      </c>
      <c r="F696" s="10" t="s">
        <v>697</v>
      </c>
    </row>
    <row r="697">
      <c r="A697" s="5" t="s">
        <v>3269</v>
      </c>
      <c r="B697" s="6">
        <v>6.0</v>
      </c>
      <c r="C697" s="7">
        <v>31.0</v>
      </c>
      <c r="D697" s="6" t="s">
        <v>3227</v>
      </c>
      <c r="E697" s="8">
        <v>1.0</v>
      </c>
      <c r="F697" s="10" t="s">
        <v>698</v>
      </c>
    </row>
    <row r="698">
      <c r="A698" s="5" t="s">
        <v>3224</v>
      </c>
      <c r="B698" s="6">
        <v>6.0</v>
      </c>
      <c r="C698" s="7">
        <v>162.0</v>
      </c>
      <c r="D698" s="6" t="s">
        <v>3257</v>
      </c>
      <c r="E698" s="8">
        <v>5.0</v>
      </c>
      <c r="F698" s="10" t="s">
        <v>699</v>
      </c>
    </row>
    <row r="699">
      <c r="A699" s="5" t="s">
        <v>3236</v>
      </c>
      <c r="B699" s="6">
        <v>6.0</v>
      </c>
      <c r="C699" s="7">
        <v>162.0</v>
      </c>
      <c r="D699" s="6" t="s">
        <v>3257</v>
      </c>
      <c r="E699" s="8">
        <v>5.0</v>
      </c>
      <c r="F699" s="10" t="s">
        <v>700</v>
      </c>
    </row>
    <row r="700">
      <c r="A700" s="5" t="s">
        <v>3205</v>
      </c>
      <c r="B700" s="6">
        <v>1.0</v>
      </c>
      <c r="C700" s="7">
        <v>136.0</v>
      </c>
      <c r="D700" s="6" t="s">
        <v>3221</v>
      </c>
      <c r="E700" s="8">
        <v>5.0</v>
      </c>
      <c r="F700" s="10" t="s">
        <v>701</v>
      </c>
    </row>
    <row r="701">
      <c r="A701" s="5" t="s">
        <v>3253</v>
      </c>
      <c r="B701" s="6">
        <v>1.0</v>
      </c>
      <c r="C701" s="7">
        <v>139.0</v>
      </c>
      <c r="D701" s="6" t="s">
        <v>3182</v>
      </c>
      <c r="E701" s="8">
        <v>5.0</v>
      </c>
      <c r="F701" s="10" t="s">
        <v>702</v>
      </c>
    </row>
    <row r="702">
      <c r="A702" s="5" t="s">
        <v>3246</v>
      </c>
      <c r="B702" s="6">
        <v>4.0</v>
      </c>
      <c r="C702" s="7">
        <v>198.0</v>
      </c>
      <c r="D702" s="6" t="s">
        <v>3180</v>
      </c>
      <c r="E702" s="8">
        <v>5.0</v>
      </c>
      <c r="F702" s="10" t="s">
        <v>703</v>
      </c>
    </row>
    <row r="703">
      <c r="A703" s="5" t="s">
        <v>3236</v>
      </c>
      <c r="B703" s="6">
        <v>6.0</v>
      </c>
      <c r="C703" s="7">
        <v>72.0</v>
      </c>
      <c r="D703" s="6" t="s">
        <v>3171</v>
      </c>
      <c r="E703" s="8">
        <v>5.0</v>
      </c>
      <c r="F703" s="10" t="s">
        <v>62</v>
      </c>
    </row>
    <row r="704">
      <c r="A704" s="5" t="s">
        <v>3212</v>
      </c>
      <c r="B704" s="6">
        <v>6.0</v>
      </c>
      <c r="C704" s="7">
        <v>158.0</v>
      </c>
      <c r="D704" s="6" t="s">
        <v>3235</v>
      </c>
      <c r="E704" s="8">
        <v>5.0</v>
      </c>
      <c r="F704" s="10" t="s">
        <v>704</v>
      </c>
    </row>
    <row r="705">
      <c r="A705" s="5" t="s">
        <v>3172</v>
      </c>
      <c r="B705" s="6">
        <v>1.0</v>
      </c>
      <c r="C705" s="7">
        <v>67.0</v>
      </c>
      <c r="D705" s="6" t="s">
        <v>3186</v>
      </c>
      <c r="E705" s="8">
        <v>5.0</v>
      </c>
      <c r="F705" s="10" t="s">
        <v>705</v>
      </c>
    </row>
    <row r="706">
      <c r="A706" s="5" t="s">
        <v>3237</v>
      </c>
      <c r="B706" s="6">
        <v>2.0</v>
      </c>
      <c r="C706" s="7">
        <v>24.0</v>
      </c>
      <c r="D706" s="6" t="s">
        <v>3194</v>
      </c>
      <c r="E706" s="8">
        <v>5.0</v>
      </c>
      <c r="F706" s="10" t="s">
        <v>706</v>
      </c>
    </row>
    <row r="707">
      <c r="A707" s="5" t="s">
        <v>3168</v>
      </c>
      <c r="B707" s="6">
        <v>1.0</v>
      </c>
      <c r="C707" s="7">
        <v>73.0</v>
      </c>
      <c r="D707" s="6" t="s">
        <v>3173</v>
      </c>
      <c r="E707" s="8">
        <v>5.0</v>
      </c>
      <c r="F707" s="10" t="s">
        <v>707</v>
      </c>
    </row>
    <row r="708">
      <c r="A708" s="5" t="s">
        <v>3191</v>
      </c>
      <c r="B708" s="6">
        <v>5.0</v>
      </c>
      <c r="C708" s="7">
        <v>96.0</v>
      </c>
      <c r="D708" s="6" t="s">
        <v>3190</v>
      </c>
      <c r="E708" s="8">
        <v>5.0</v>
      </c>
      <c r="F708" s="10" t="s">
        <v>708</v>
      </c>
    </row>
    <row r="709">
      <c r="A709" s="5" t="s">
        <v>3234</v>
      </c>
      <c r="B709" s="6">
        <v>6.0</v>
      </c>
      <c r="C709" s="7">
        <v>150.0</v>
      </c>
      <c r="D709" s="6" t="s">
        <v>3167</v>
      </c>
      <c r="E709" s="8">
        <v>5.0</v>
      </c>
      <c r="F709" s="10" t="s">
        <v>709</v>
      </c>
    </row>
    <row r="710">
      <c r="A710" s="5" t="s">
        <v>3244</v>
      </c>
      <c r="B710" s="6">
        <v>1.0</v>
      </c>
      <c r="C710" s="7">
        <v>4.0</v>
      </c>
      <c r="D710" s="6" t="s">
        <v>3196</v>
      </c>
      <c r="E710" s="8">
        <v>5.0</v>
      </c>
      <c r="F710" s="10" t="s">
        <v>710</v>
      </c>
    </row>
    <row r="711">
      <c r="A711" s="5" t="s">
        <v>3185</v>
      </c>
      <c r="B711" s="6">
        <v>1.0</v>
      </c>
      <c r="C711" s="7">
        <v>175.0</v>
      </c>
      <c r="D711" s="6" t="s">
        <v>3257</v>
      </c>
      <c r="E711" s="8">
        <v>5.0</v>
      </c>
      <c r="F711" s="10" t="s">
        <v>711</v>
      </c>
    </row>
    <row r="712">
      <c r="A712" s="5" t="s">
        <v>3255</v>
      </c>
      <c r="B712" s="6">
        <v>6.0</v>
      </c>
      <c r="C712" s="7">
        <v>104.0</v>
      </c>
      <c r="D712" s="6" t="s">
        <v>3257</v>
      </c>
      <c r="E712" s="8">
        <v>5.0</v>
      </c>
      <c r="F712" s="10" t="s">
        <v>712</v>
      </c>
    </row>
    <row r="713">
      <c r="A713" s="5" t="s">
        <v>3195</v>
      </c>
      <c r="B713" s="6">
        <v>4.0</v>
      </c>
      <c r="C713" s="7">
        <v>195.0</v>
      </c>
      <c r="D713" s="6" t="s">
        <v>3239</v>
      </c>
      <c r="E713" s="8">
        <v>4.0</v>
      </c>
      <c r="F713" s="10" t="s">
        <v>713</v>
      </c>
    </row>
    <row r="714">
      <c r="A714" s="5" t="s">
        <v>3247</v>
      </c>
      <c r="B714" s="6">
        <v>6.0</v>
      </c>
      <c r="C714" s="7">
        <v>100.0</v>
      </c>
      <c r="D714" s="6" t="s">
        <v>3196</v>
      </c>
      <c r="E714" s="8">
        <v>4.0</v>
      </c>
      <c r="F714" s="10" t="s">
        <v>714</v>
      </c>
    </row>
    <row r="715">
      <c r="A715" s="5" t="s">
        <v>3191</v>
      </c>
      <c r="B715" s="6">
        <v>5.0</v>
      </c>
      <c r="C715" s="7">
        <v>193.0</v>
      </c>
      <c r="D715" s="6" t="s">
        <v>3249</v>
      </c>
      <c r="E715" s="8">
        <v>4.0</v>
      </c>
      <c r="F715" s="10" t="s">
        <v>715</v>
      </c>
    </row>
    <row r="716">
      <c r="A716" s="5" t="s">
        <v>3170</v>
      </c>
      <c r="B716" s="6">
        <v>1.0</v>
      </c>
      <c r="C716" s="7">
        <v>8.0</v>
      </c>
      <c r="D716" s="6" t="s">
        <v>3169</v>
      </c>
      <c r="E716" s="8">
        <v>4.0</v>
      </c>
      <c r="F716" s="10" t="s">
        <v>716</v>
      </c>
    </row>
    <row r="717">
      <c r="A717" s="5" t="s">
        <v>3195</v>
      </c>
      <c r="B717" s="6">
        <v>4.0</v>
      </c>
      <c r="C717" s="7">
        <v>99.0</v>
      </c>
      <c r="D717" s="6" t="s">
        <v>3200</v>
      </c>
      <c r="E717" s="8">
        <v>4.0</v>
      </c>
      <c r="F717" s="10" t="s">
        <v>717</v>
      </c>
    </row>
    <row r="718">
      <c r="A718" s="5" t="s">
        <v>3187</v>
      </c>
      <c r="B718" s="6">
        <v>4.0</v>
      </c>
      <c r="C718" s="7">
        <v>137.0</v>
      </c>
      <c r="D718" s="6" t="s">
        <v>3215</v>
      </c>
      <c r="E718" s="8">
        <v>4.0</v>
      </c>
      <c r="F718" s="10" t="s">
        <v>718</v>
      </c>
    </row>
    <row r="719">
      <c r="A719" s="5" t="s">
        <v>3189</v>
      </c>
      <c r="B719" s="6">
        <v>6.0</v>
      </c>
      <c r="C719" s="7">
        <v>110.0</v>
      </c>
      <c r="D719" s="6" t="s">
        <v>3211</v>
      </c>
      <c r="E719" s="8">
        <v>4.0</v>
      </c>
      <c r="F719" s="10" t="s">
        <v>719</v>
      </c>
    </row>
    <row r="720">
      <c r="A720" s="5" t="s">
        <v>3209</v>
      </c>
      <c r="B720" s="6">
        <v>4.0</v>
      </c>
      <c r="C720" s="7">
        <v>62.0</v>
      </c>
      <c r="D720" s="6" t="s">
        <v>3200</v>
      </c>
      <c r="E720" s="8">
        <v>4.0</v>
      </c>
      <c r="F720" s="10" t="s">
        <v>720</v>
      </c>
    </row>
    <row r="721">
      <c r="A721" s="5" t="s">
        <v>3168</v>
      </c>
      <c r="B721" s="6">
        <v>1.0</v>
      </c>
      <c r="C721" s="7">
        <v>153.0</v>
      </c>
      <c r="D721" s="6" t="s">
        <v>3180</v>
      </c>
      <c r="E721" s="8">
        <v>3.0</v>
      </c>
      <c r="F721" s="10" t="s">
        <v>721</v>
      </c>
    </row>
    <row r="722">
      <c r="A722" s="5" t="s">
        <v>3189</v>
      </c>
      <c r="B722" s="6">
        <v>6.0</v>
      </c>
      <c r="C722" s="7">
        <v>196.0</v>
      </c>
      <c r="D722" s="6" t="s">
        <v>3169</v>
      </c>
      <c r="E722" s="8">
        <v>3.0</v>
      </c>
      <c r="F722" s="10" t="s">
        <v>722</v>
      </c>
    </row>
    <row r="723">
      <c r="A723" s="5" t="s">
        <v>3220</v>
      </c>
      <c r="B723" s="6">
        <v>6.0</v>
      </c>
      <c r="C723" s="7">
        <v>167.0</v>
      </c>
      <c r="D723" s="6" t="s">
        <v>3254</v>
      </c>
      <c r="E723" s="8">
        <v>2.0</v>
      </c>
      <c r="F723" s="10" t="s">
        <v>723</v>
      </c>
    </row>
    <row r="724">
      <c r="A724" s="5" t="s">
        <v>3237</v>
      </c>
      <c r="B724" s="6">
        <v>2.0</v>
      </c>
      <c r="C724" s="7">
        <v>47.0</v>
      </c>
      <c r="D724" s="6" t="s">
        <v>3221</v>
      </c>
      <c r="E724" s="8">
        <v>2.0</v>
      </c>
      <c r="F724" s="10" t="s">
        <v>724</v>
      </c>
    </row>
    <row r="725">
      <c r="A725" s="5" t="s">
        <v>3189</v>
      </c>
      <c r="B725" s="6">
        <v>6.0</v>
      </c>
      <c r="C725" s="7">
        <v>143.0</v>
      </c>
      <c r="D725" s="6" t="s">
        <v>3176</v>
      </c>
      <c r="E725" s="8">
        <v>2.0</v>
      </c>
      <c r="F725" s="10" t="s">
        <v>725</v>
      </c>
    </row>
    <row r="726">
      <c r="A726" s="5" t="s">
        <v>3174</v>
      </c>
      <c r="B726" s="6">
        <v>1.0</v>
      </c>
      <c r="C726" s="7">
        <v>140.0</v>
      </c>
      <c r="D726" s="6" t="s">
        <v>3190</v>
      </c>
      <c r="E726" s="8">
        <v>2.0</v>
      </c>
      <c r="F726" s="10" t="s">
        <v>726</v>
      </c>
    </row>
    <row r="727">
      <c r="A727" s="5" t="s">
        <v>3185</v>
      </c>
      <c r="B727" s="6">
        <v>1.0</v>
      </c>
      <c r="C727" s="7">
        <v>102.0</v>
      </c>
      <c r="D727" s="6" t="s">
        <v>3178</v>
      </c>
      <c r="E727" s="8">
        <v>2.0</v>
      </c>
      <c r="F727" s="10" t="s">
        <v>727</v>
      </c>
    </row>
    <row r="728">
      <c r="A728" s="5" t="s">
        <v>3252</v>
      </c>
      <c r="B728" s="6">
        <v>6.0</v>
      </c>
      <c r="C728" s="7">
        <v>174.0</v>
      </c>
      <c r="D728" s="6" t="s">
        <v>3188</v>
      </c>
      <c r="E728" s="8">
        <v>2.0</v>
      </c>
      <c r="F728" s="10" t="s">
        <v>728</v>
      </c>
    </row>
    <row r="729">
      <c r="A729" s="5" t="s">
        <v>3177</v>
      </c>
      <c r="B729" s="6">
        <v>5.0</v>
      </c>
      <c r="C729" s="7">
        <v>184.0</v>
      </c>
      <c r="D729" s="6" t="s">
        <v>3169</v>
      </c>
      <c r="E729" s="8">
        <v>2.0</v>
      </c>
      <c r="F729" s="10" t="s">
        <v>729</v>
      </c>
    </row>
    <row r="730">
      <c r="A730" s="5" t="s">
        <v>3166</v>
      </c>
      <c r="B730" s="6">
        <v>6.0</v>
      </c>
      <c r="C730" s="7">
        <v>167.0</v>
      </c>
      <c r="D730" s="6" t="s">
        <v>3254</v>
      </c>
      <c r="E730" s="8">
        <v>2.0</v>
      </c>
      <c r="F730" s="10" t="s">
        <v>730</v>
      </c>
    </row>
    <row r="731">
      <c r="A731" s="5" t="s">
        <v>3240</v>
      </c>
      <c r="B731" s="6">
        <v>2.0</v>
      </c>
      <c r="C731" s="7">
        <v>22.0</v>
      </c>
      <c r="D731" s="6" t="s">
        <v>3167</v>
      </c>
      <c r="E731" s="8">
        <v>2.0</v>
      </c>
      <c r="F731" s="10" t="s">
        <v>731</v>
      </c>
    </row>
    <row r="732">
      <c r="A732" s="5" t="s">
        <v>3244</v>
      </c>
      <c r="B732" s="6">
        <v>1.0</v>
      </c>
      <c r="C732" s="7">
        <v>56.0</v>
      </c>
      <c r="D732" s="6" t="s">
        <v>3186</v>
      </c>
      <c r="E732" s="8">
        <v>2.0</v>
      </c>
      <c r="F732" s="10" t="s">
        <v>732</v>
      </c>
    </row>
    <row r="733">
      <c r="A733" s="5" t="s">
        <v>3220</v>
      </c>
      <c r="B733" s="6">
        <v>6.0</v>
      </c>
      <c r="C733" s="7">
        <v>188.0</v>
      </c>
      <c r="D733" s="6" t="s">
        <v>3198</v>
      </c>
      <c r="E733" s="8">
        <v>2.0</v>
      </c>
      <c r="F733" s="10" t="s">
        <v>733</v>
      </c>
    </row>
    <row r="734">
      <c r="A734" s="5" t="s">
        <v>3220</v>
      </c>
      <c r="B734" s="6">
        <v>6.0</v>
      </c>
      <c r="C734" s="7">
        <v>36.0</v>
      </c>
      <c r="D734" s="6" t="s">
        <v>3227</v>
      </c>
      <c r="E734" s="8">
        <v>1.0</v>
      </c>
      <c r="F734" s="10" t="s">
        <v>734</v>
      </c>
    </row>
    <row r="735">
      <c r="A735" s="5" t="s">
        <v>3166</v>
      </c>
      <c r="B735" s="6">
        <v>6.0</v>
      </c>
      <c r="C735" s="7">
        <v>67.0</v>
      </c>
      <c r="D735" s="6" t="s">
        <v>3186</v>
      </c>
      <c r="E735" s="8">
        <v>1.0</v>
      </c>
      <c r="F735" s="10" t="s">
        <v>735</v>
      </c>
    </row>
    <row r="736">
      <c r="A736" s="5" t="s">
        <v>3205</v>
      </c>
      <c r="B736" s="6">
        <v>1.0</v>
      </c>
      <c r="C736" s="7">
        <v>58.0</v>
      </c>
      <c r="D736" s="6" t="s">
        <v>3257</v>
      </c>
      <c r="E736" s="8">
        <v>1.0</v>
      </c>
      <c r="F736" s="10" t="s">
        <v>736</v>
      </c>
    </row>
    <row r="737">
      <c r="A737" s="5" t="s">
        <v>3264</v>
      </c>
      <c r="B737" s="6">
        <v>4.0</v>
      </c>
      <c r="C737" s="7">
        <v>55.0</v>
      </c>
      <c r="D737" s="6" t="s">
        <v>3198</v>
      </c>
      <c r="E737" s="8">
        <v>1.0</v>
      </c>
      <c r="F737" s="10" t="s">
        <v>737</v>
      </c>
    </row>
    <row r="738">
      <c r="A738" s="5" t="s">
        <v>3202</v>
      </c>
      <c r="B738" s="6">
        <v>4.0</v>
      </c>
      <c r="C738" s="7">
        <v>180.0</v>
      </c>
      <c r="D738" s="6" t="s">
        <v>3192</v>
      </c>
      <c r="E738" s="8">
        <v>1.0</v>
      </c>
      <c r="F738" s="10" t="s">
        <v>738</v>
      </c>
    </row>
    <row r="739">
      <c r="A739" s="5" t="s">
        <v>3260</v>
      </c>
      <c r="B739" s="6">
        <v>1.0</v>
      </c>
      <c r="C739" s="7">
        <v>77.0</v>
      </c>
      <c r="D739" s="6" t="s">
        <v>3254</v>
      </c>
      <c r="E739" s="8">
        <v>1.0</v>
      </c>
      <c r="F739" s="10" t="s">
        <v>739</v>
      </c>
    </row>
    <row r="740">
      <c r="A740" s="5" t="s">
        <v>3224</v>
      </c>
      <c r="B740" s="6">
        <v>6.0</v>
      </c>
      <c r="C740" s="7">
        <v>22.0</v>
      </c>
      <c r="D740" s="6" t="s">
        <v>3167</v>
      </c>
      <c r="E740" s="8">
        <v>1.0</v>
      </c>
      <c r="F740" s="10" t="s">
        <v>740</v>
      </c>
    </row>
    <row r="741">
      <c r="A741" s="5" t="s">
        <v>3246</v>
      </c>
      <c r="B741" s="6">
        <v>4.0</v>
      </c>
      <c r="C741" s="7">
        <v>96.0</v>
      </c>
      <c r="D741" s="6" t="s">
        <v>3190</v>
      </c>
      <c r="E741" s="8">
        <v>1.0</v>
      </c>
      <c r="F741" s="10" t="s">
        <v>741</v>
      </c>
    </row>
    <row r="742">
      <c r="A742" s="5" t="s">
        <v>3251</v>
      </c>
      <c r="B742" s="6">
        <v>6.0</v>
      </c>
      <c r="C742" s="7">
        <v>38.0</v>
      </c>
      <c r="D742" s="6" t="s">
        <v>3169</v>
      </c>
      <c r="E742" s="8">
        <v>1.0</v>
      </c>
      <c r="F742" s="10" t="s">
        <v>742</v>
      </c>
    </row>
    <row r="743">
      <c r="A743" s="5" t="s">
        <v>3201</v>
      </c>
      <c r="B743" s="6">
        <v>5.0</v>
      </c>
      <c r="C743" s="7">
        <v>156.0</v>
      </c>
      <c r="D743" s="6" t="s">
        <v>3245</v>
      </c>
      <c r="E743" s="8">
        <v>1.0</v>
      </c>
      <c r="F743" s="10" t="s">
        <v>743</v>
      </c>
    </row>
    <row r="744">
      <c r="A744" s="5" t="s">
        <v>3185</v>
      </c>
      <c r="B744" s="6">
        <v>1.0</v>
      </c>
      <c r="C744" s="7">
        <v>149.0</v>
      </c>
      <c r="D744" s="6" t="s">
        <v>3239</v>
      </c>
      <c r="E744" s="8">
        <v>5.0</v>
      </c>
      <c r="F744" s="10" t="s">
        <v>744</v>
      </c>
    </row>
    <row r="745">
      <c r="A745" s="5" t="s">
        <v>3206</v>
      </c>
      <c r="B745" s="6">
        <v>6.0</v>
      </c>
      <c r="C745" s="7">
        <v>177.0</v>
      </c>
      <c r="D745" s="6" t="s">
        <v>3167</v>
      </c>
      <c r="E745" s="8">
        <v>5.0</v>
      </c>
      <c r="F745" s="10" t="s">
        <v>745</v>
      </c>
    </row>
    <row r="746">
      <c r="A746" s="5" t="s">
        <v>3216</v>
      </c>
      <c r="B746" s="6">
        <v>6.0</v>
      </c>
      <c r="C746" s="7">
        <v>179.0</v>
      </c>
      <c r="D746" s="6" t="s">
        <v>3214</v>
      </c>
      <c r="E746" s="8">
        <v>5.0</v>
      </c>
      <c r="F746" s="10" t="s">
        <v>746</v>
      </c>
    </row>
    <row r="747">
      <c r="A747" s="5" t="s">
        <v>3265</v>
      </c>
      <c r="B747" s="6">
        <v>1.0</v>
      </c>
      <c r="C747" s="7">
        <v>134.0</v>
      </c>
      <c r="D747" s="6" t="s">
        <v>3239</v>
      </c>
      <c r="E747" s="8">
        <v>5.0</v>
      </c>
      <c r="F747" s="10" t="s">
        <v>747</v>
      </c>
    </row>
    <row r="748">
      <c r="A748" s="5" t="s">
        <v>3269</v>
      </c>
      <c r="B748" s="6">
        <v>6.0</v>
      </c>
      <c r="C748" s="7">
        <v>16.0</v>
      </c>
      <c r="D748" s="6" t="s">
        <v>3178</v>
      </c>
      <c r="E748" s="8">
        <v>5.0</v>
      </c>
      <c r="F748" s="10" t="s">
        <v>748</v>
      </c>
    </row>
    <row r="749">
      <c r="A749" s="5" t="s">
        <v>3185</v>
      </c>
      <c r="B749" s="6">
        <v>1.0</v>
      </c>
      <c r="C749" s="7">
        <v>95.0</v>
      </c>
      <c r="D749" s="6" t="s">
        <v>3227</v>
      </c>
      <c r="E749" s="8">
        <v>5.0</v>
      </c>
      <c r="F749" s="10" t="s">
        <v>749</v>
      </c>
    </row>
    <row r="750">
      <c r="A750" s="5" t="s">
        <v>3195</v>
      </c>
      <c r="B750" s="6">
        <v>4.0</v>
      </c>
      <c r="C750" s="7">
        <v>13.0</v>
      </c>
      <c r="D750" s="6" t="s">
        <v>3245</v>
      </c>
      <c r="E750" s="8">
        <v>5.0</v>
      </c>
      <c r="F750" s="10" t="s">
        <v>750</v>
      </c>
    </row>
    <row r="751">
      <c r="A751" s="5" t="s">
        <v>3244</v>
      </c>
      <c r="B751" s="6">
        <v>1.0</v>
      </c>
      <c r="C751" s="7">
        <v>170.0</v>
      </c>
      <c r="D751" s="6" t="s">
        <v>3182</v>
      </c>
      <c r="E751" s="8">
        <v>5.0</v>
      </c>
      <c r="F751" s="10" t="s">
        <v>751</v>
      </c>
    </row>
    <row r="752">
      <c r="A752" s="5" t="s">
        <v>3242</v>
      </c>
      <c r="B752" s="6">
        <v>1.0</v>
      </c>
      <c r="C752" s="7">
        <v>188.0</v>
      </c>
      <c r="D752" s="6" t="s">
        <v>3198</v>
      </c>
      <c r="E752" s="8">
        <v>5.0</v>
      </c>
      <c r="F752" s="10" t="s">
        <v>752</v>
      </c>
    </row>
    <row r="753">
      <c r="A753" s="5" t="s">
        <v>3183</v>
      </c>
      <c r="B753" s="6">
        <v>6.0</v>
      </c>
      <c r="C753" s="7">
        <v>131.0</v>
      </c>
      <c r="D753" s="6" t="s">
        <v>3227</v>
      </c>
      <c r="E753" s="8">
        <v>5.0</v>
      </c>
      <c r="F753" s="10" t="s">
        <v>636</v>
      </c>
    </row>
    <row r="754">
      <c r="A754" s="5" t="s">
        <v>3244</v>
      </c>
      <c r="B754" s="6">
        <v>1.0</v>
      </c>
      <c r="C754" s="7">
        <v>81.0</v>
      </c>
      <c r="D754" s="6" t="s">
        <v>3169</v>
      </c>
      <c r="E754" s="8">
        <v>4.0</v>
      </c>
      <c r="F754" s="10" t="s">
        <v>753</v>
      </c>
    </row>
    <row r="755">
      <c r="A755" s="5" t="s">
        <v>3244</v>
      </c>
      <c r="B755" s="6">
        <v>1.0</v>
      </c>
      <c r="C755" s="7">
        <v>77.0</v>
      </c>
      <c r="D755" s="6" t="s">
        <v>3254</v>
      </c>
      <c r="E755" s="8">
        <v>4.0</v>
      </c>
      <c r="F755" s="10" t="s">
        <v>754</v>
      </c>
    </row>
    <row r="756">
      <c r="A756" s="5" t="s">
        <v>3168</v>
      </c>
      <c r="B756" s="6">
        <v>1.0</v>
      </c>
      <c r="C756" s="7">
        <v>5.0</v>
      </c>
      <c r="D756" s="6" t="s">
        <v>3207</v>
      </c>
      <c r="E756" s="8">
        <v>4.0</v>
      </c>
      <c r="F756" s="10" t="s">
        <v>755</v>
      </c>
    </row>
    <row r="757">
      <c r="A757" s="5" t="s">
        <v>3240</v>
      </c>
      <c r="B757" s="6">
        <v>2.0</v>
      </c>
      <c r="C757" s="7">
        <v>110.0</v>
      </c>
      <c r="D757" s="6" t="s">
        <v>3211</v>
      </c>
      <c r="E757" s="8">
        <v>4.0</v>
      </c>
      <c r="F757" s="10" t="s">
        <v>756</v>
      </c>
    </row>
    <row r="758">
      <c r="A758" s="5" t="s">
        <v>3181</v>
      </c>
      <c r="B758" s="6">
        <v>1.0</v>
      </c>
      <c r="C758" s="7">
        <v>24.0</v>
      </c>
      <c r="D758" s="6" t="s">
        <v>3194</v>
      </c>
      <c r="E758" s="8">
        <v>4.0</v>
      </c>
      <c r="F758" s="10" t="s">
        <v>757</v>
      </c>
    </row>
    <row r="759">
      <c r="A759" s="5" t="s">
        <v>3242</v>
      </c>
      <c r="B759" s="6">
        <v>1.0</v>
      </c>
      <c r="C759" s="7">
        <v>33.0</v>
      </c>
      <c r="D759" s="6" t="s">
        <v>3225</v>
      </c>
      <c r="E759" s="8">
        <v>4.0</v>
      </c>
      <c r="F759" s="10" t="s">
        <v>758</v>
      </c>
    </row>
    <row r="760">
      <c r="A760" s="5" t="s">
        <v>3193</v>
      </c>
      <c r="B760" s="6">
        <v>5.0</v>
      </c>
      <c r="C760" s="7">
        <v>118.0</v>
      </c>
      <c r="D760" s="6" t="s">
        <v>3200</v>
      </c>
      <c r="E760" s="8">
        <v>4.0</v>
      </c>
      <c r="F760" s="10" t="s">
        <v>759</v>
      </c>
    </row>
    <row r="761">
      <c r="A761" s="5" t="s">
        <v>3230</v>
      </c>
      <c r="B761" s="6">
        <v>1.0</v>
      </c>
      <c r="C761" s="7">
        <v>169.0</v>
      </c>
      <c r="D761" s="6" t="s">
        <v>3200</v>
      </c>
      <c r="E761" s="8">
        <v>4.0</v>
      </c>
      <c r="F761" s="10" t="s">
        <v>760</v>
      </c>
    </row>
    <row r="762">
      <c r="A762" s="5" t="s">
        <v>3224</v>
      </c>
      <c r="B762" s="6">
        <v>6.0</v>
      </c>
      <c r="C762" s="7">
        <v>16.0</v>
      </c>
      <c r="D762" s="6" t="s">
        <v>3178</v>
      </c>
      <c r="E762" s="8">
        <v>4.0</v>
      </c>
      <c r="F762" s="10" t="s">
        <v>761</v>
      </c>
    </row>
    <row r="763">
      <c r="A763" s="5" t="s">
        <v>3261</v>
      </c>
      <c r="B763" s="6">
        <v>4.0</v>
      </c>
      <c r="C763" s="7">
        <v>51.0</v>
      </c>
      <c r="D763" s="6" t="s">
        <v>3169</v>
      </c>
      <c r="E763" s="8">
        <v>4.0</v>
      </c>
      <c r="F763" s="10" t="s">
        <v>762</v>
      </c>
    </row>
    <row r="764">
      <c r="A764" s="5" t="s">
        <v>3183</v>
      </c>
      <c r="B764" s="6">
        <v>6.0</v>
      </c>
      <c r="C764" s="7">
        <v>185.0</v>
      </c>
      <c r="D764" s="6" t="s">
        <v>3173</v>
      </c>
      <c r="E764" s="8">
        <v>4.0</v>
      </c>
      <c r="F764" s="10" t="s">
        <v>763</v>
      </c>
    </row>
    <row r="765">
      <c r="A765" s="5" t="s">
        <v>3220</v>
      </c>
      <c r="B765" s="6">
        <v>6.0</v>
      </c>
      <c r="C765" s="7">
        <v>33.0</v>
      </c>
      <c r="D765" s="6" t="s">
        <v>3225</v>
      </c>
      <c r="E765" s="8">
        <v>4.0</v>
      </c>
      <c r="F765" s="10" t="s">
        <v>764</v>
      </c>
    </row>
    <row r="766">
      <c r="A766" s="5" t="s">
        <v>3236</v>
      </c>
      <c r="B766" s="6">
        <v>6.0</v>
      </c>
      <c r="C766" s="7">
        <v>127.0</v>
      </c>
      <c r="D766" s="6" t="s">
        <v>3262</v>
      </c>
      <c r="E766" s="8">
        <v>3.0</v>
      </c>
      <c r="F766" s="10" t="s">
        <v>765</v>
      </c>
    </row>
    <row r="767">
      <c r="A767" s="5" t="s">
        <v>3206</v>
      </c>
      <c r="B767" s="6">
        <v>6.0</v>
      </c>
      <c r="C767" s="7">
        <v>92.0</v>
      </c>
      <c r="D767" s="6" t="s">
        <v>3215</v>
      </c>
      <c r="E767" s="8">
        <v>3.0</v>
      </c>
      <c r="F767" s="10" t="s">
        <v>766</v>
      </c>
    </row>
    <row r="768">
      <c r="A768" s="5" t="s">
        <v>3166</v>
      </c>
      <c r="B768" s="6">
        <v>6.0</v>
      </c>
      <c r="C768" s="7">
        <v>36.0</v>
      </c>
      <c r="D768" s="6" t="s">
        <v>3227</v>
      </c>
      <c r="E768" s="8">
        <v>3.0</v>
      </c>
      <c r="F768" s="10" t="s">
        <v>767</v>
      </c>
    </row>
    <row r="769">
      <c r="A769" s="5" t="s">
        <v>3172</v>
      </c>
      <c r="B769" s="6">
        <v>1.0</v>
      </c>
      <c r="C769" s="7">
        <v>91.0</v>
      </c>
      <c r="D769" s="6" t="s">
        <v>3178</v>
      </c>
      <c r="E769" s="8">
        <v>3.0</v>
      </c>
      <c r="F769" s="10" t="s">
        <v>768</v>
      </c>
    </row>
    <row r="770">
      <c r="A770" s="5" t="s">
        <v>3252</v>
      </c>
      <c r="B770" s="6">
        <v>6.0</v>
      </c>
      <c r="C770" s="7">
        <v>24.0</v>
      </c>
      <c r="D770" s="6" t="s">
        <v>3194</v>
      </c>
      <c r="E770" s="8">
        <v>2.0</v>
      </c>
      <c r="F770" s="10" t="s">
        <v>769</v>
      </c>
    </row>
    <row r="771">
      <c r="A771" s="5" t="s">
        <v>3174</v>
      </c>
      <c r="B771" s="6">
        <v>1.0</v>
      </c>
      <c r="C771" s="7">
        <v>48.0</v>
      </c>
      <c r="D771" s="6" t="s">
        <v>3232</v>
      </c>
      <c r="E771" s="8">
        <v>2.0</v>
      </c>
      <c r="F771" s="10" t="s">
        <v>770</v>
      </c>
    </row>
    <row r="772">
      <c r="A772" s="5" t="s">
        <v>3195</v>
      </c>
      <c r="B772" s="6">
        <v>4.0</v>
      </c>
      <c r="C772" s="7">
        <v>154.0</v>
      </c>
      <c r="D772" s="6" t="s">
        <v>3171</v>
      </c>
      <c r="E772" s="8">
        <v>2.0</v>
      </c>
      <c r="F772" s="10" t="s">
        <v>771</v>
      </c>
    </row>
    <row r="773">
      <c r="A773" s="5" t="s">
        <v>3258</v>
      </c>
      <c r="B773" s="6">
        <v>6.0</v>
      </c>
      <c r="C773" s="7">
        <v>136.0</v>
      </c>
      <c r="D773" s="6" t="s">
        <v>3221</v>
      </c>
      <c r="E773" s="8">
        <v>2.0</v>
      </c>
      <c r="F773" s="10" t="s">
        <v>772</v>
      </c>
    </row>
    <row r="774">
      <c r="A774" s="5" t="s">
        <v>3202</v>
      </c>
      <c r="B774" s="6">
        <v>4.0</v>
      </c>
      <c r="C774" s="7">
        <v>33.0</v>
      </c>
      <c r="D774" s="6" t="s">
        <v>3225</v>
      </c>
      <c r="E774" s="8">
        <v>2.0</v>
      </c>
      <c r="F774" s="10" t="s">
        <v>773</v>
      </c>
    </row>
    <row r="775">
      <c r="A775" s="5" t="s">
        <v>3174</v>
      </c>
      <c r="B775" s="6">
        <v>1.0</v>
      </c>
      <c r="C775" s="7">
        <v>105.0</v>
      </c>
      <c r="D775" s="6" t="s">
        <v>3167</v>
      </c>
      <c r="E775" s="8">
        <v>2.0</v>
      </c>
      <c r="F775" s="10" t="s">
        <v>774</v>
      </c>
    </row>
    <row r="776">
      <c r="A776" s="5" t="s">
        <v>3202</v>
      </c>
      <c r="B776" s="6">
        <v>4.0</v>
      </c>
      <c r="C776" s="7">
        <v>169.0</v>
      </c>
      <c r="D776" s="6" t="s">
        <v>3200</v>
      </c>
      <c r="E776" s="8">
        <v>2.0</v>
      </c>
      <c r="F776" s="10" t="s">
        <v>775</v>
      </c>
    </row>
    <row r="777">
      <c r="A777" s="5" t="s">
        <v>3205</v>
      </c>
      <c r="B777" s="6">
        <v>1.0</v>
      </c>
      <c r="C777" s="7">
        <v>182.0</v>
      </c>
      <c r="D777" s="6" t="s">
        <v>3238</v>
      </c>
      <c r="E777" s="8">
        <v>2.0</v>
      </c>
      <c r="F777" s="10" t="s">
        <v>776</v>
      </c>
    </row>
    <row r="778">
      <c r="A778" s="5" t="s">
        <v>3174</v>
      </c>
      <c r="B778" s="6">
        <v>1.0</v>
      </c>
      <c r="C778" s="7">
        <v>51.0</v>
      </c>
      <c r="D778" s="6" t="s">
        <v>3169</v>
      </c>
      <c r="E778" s="8">
        <v>2.0</v>
      </c>
      <c r="F778" s="10" t="s">
        <v>777</v>
      </c>
    </row>
    <row r="779">
      <c r="A779" s="5" t="s">
        <v>3263</v>
      </c>
      <c r="B779" s="6">
        <v>1.0</v>
      </c>
      <c r="C779" s="7">
        <v>182.0</v>
      </c>
      <c r="D779" s="6" t="s">
        <v>3238</v>
      </c>
      <c r="E779" s="8">
        <v>2.0</v>
      </c>
      <c r="F779" s="10" t="s">
        <v>778</v>
      </c>
    </row>
    <row r="780">
      <c r="A780" s="5" t="s">
        <v>3220</v>
      </c>
      <c r="B780" s="6">
        <v>6.0</v>
      </c>
      <c r="C780" s="7">
        <v>69.0</v>
      </c>
      <c r="D780" s="6" t="s">
        <v>3203</v>
      </c>
      <c r="E780" s="8">
        <v>2.0</v>
      </c>
      <c r="F780" s="10" t="s">
        <v>779</v>
      </c>
    </row>
    <row r="781">
      <c r="A781" s="5" t="s">
        <v>3228</v>
      </c>
      <c r="B781" s="6">
        <v>6.0</v>
      </c>
      <c r="C781" s="7">
        <v>141.0</v>
      </c>
      <c r="D781" s="6" t="s">
        <v>3171</v>
      </c>
      <c r="E781" s="8">
        <v>2.0</v>
      </c>
      <c r="F781" s="10" t="s">
        <v>780</v>
      </c>
    </row>
    <row r="782">
      <c r="A782" s="5" t="s">
        <v>3229</v>
      </c>
      <c r="B782" s="6">
        <v>4.0</v>
      </c>
      <c r="C782" s="7">
        <v>103.0</v>
      </c>
      <c r="D782" s="6" t="s">
        <v>3254</v>
      </c>
      <c r="E782" s="8">
        <v>2.0</v>
      </c>
      <c r="F782" s="10" t="s">
        <v>781</v>
      </c>
    </row>
    <row r="783">
      <c r="A783" s="5" t="s">
        <v>3172</v>
      </c>
      <c r="B783" s="6">
        <v>1.0</v>
      </c>
      <c r="C783" s="7">
        <v>30.0</v>
      </c>
      <c r="D783" s="6" t="s">
        <v>3171</v>
      </c>
      <c r="E783" s="8">
        <v>2.0</v>
      </c>
      <c r="F783" s="10" t="s">
        <v>782</v>
      </c>
    </row>
    <row r="784">
      <c r="A784" s="5" t="s">
        <v>3202</v>
      </c>
      <c r="B784" s="6">
        <v>4.0</v>
      </c>
      <c r="C784" s="7">
        <v>22.0</v>
      </c>
      <c r="D784" s="6" t="s">
        <v>3167</v>
      </c>
      <c r="E784" s="8">
        <v>1.0</v>
      </c>
      <c r="F784" s="10" t="s">
        <v>783</v>
      </c>
    </row>
    <row r="785">
      <c r="A785" s="5" t="s">
        <v>3260</v>
      </c>
      <c r="B785" s="6">
        <v>1.0</v>
      </c>
      <c r="C785" s="7">
        <v>94.0</v>
      </c>
      <c r="D785" s="6" t="s">
        <v>3239</v>
      </c>
      <c r="E785" s="8">
        <v>1.0</v>
      </c>
      <c r="F785" s="10" t="s">
        <v>784</v>
      </c>
    </row>
    <row r="786">
      <c r="A786" s="5" t="s">
        <v>3248</v>
      </c>
      <c r="B786" s="6">
        <v>3.0</v>
      </c>
      <c r="C786" s="7">
        <v>131.0</v>
      </c>
      <c r="D786" s="6" t="s">
        <v>3227</v>
      </c>
      <c r="E786" s="8">
        <v>1.0</v>
      </c>
      <c r="F786" s="10" t="s">
        <v>785</v>
      </c>
    </row>
    <row r="787">
      <c r="A787" s="5" t="s">
        <v>3270</v>
      </c>
      <c r="B787" s="6">
        <v>3.0</v>
      </c>
      <c r="C787" s="7">
        <v>168.0</v>
      </c>
      <c r="D787" s="6" t="s">
        <v>3194</v>
      </c>
      <c r="E787" s="8">
        <v>1.0</v>
      </c>
      <c r="F787" s="10" t="s">
        <v>786</v>
      </c>
    </row>
    <row r="788">
      <c r="A788" s="5" t="s">
        <v>3258</v>
      </c>
      <c r="B788" s="6">
        <v>6.0</v>
      </c>
      <c r="C788" s="7">
        <v>6.0</v>
      </c>
      <c r="D788" s="6" t="s">
        <v>3180</v>
      </c>
      <c r="E788" s="8">
        <v>1.0</v>
      </c>
      <c r="F788" s="10" t="s">
        <v>787</v>
      </c>
    </row>
    <row r="789">
      <c r="A789" s="5" t="s">
        <v>3242</v>
      </c>
      <c r="B789" s="6">
        <v>1.0</v>
      </c>
      <c r="C789" s="7">
        <v>76.0</v>
      </c>
      <c r="D789" s="6" t="s">
        <v>3190</v>
      </c>
      <c r="E789" s="8">
        <v>1.0</v>
      </c>
      <c r="F789" s="10" t="s">
        <v>788</v>
      </c>
    </row>
    <row r="790">
      <c r="A790" s="5" t="s">
        <v>3246</v>
      </c>
      <c r="B790" s="6">
        <v>4.0</v>
      </c>
      <c r="C790" s="7">
        <v>10.0</v>
      </c>
      <c r="D790" s="6" t="s">
        <v>3249</v>
      </c>
      <c r="E790" s="8">
        <v>1.0</v>
      </c>
      <c r="F790" s="10" t="s">
        <v>789</v>
      </c>
    </row>
    <row r="791">
      <c r="A791" s="5" t="s">
        <v>3208</v>
      </c>
      <c r="B791" s="6">
        <v>4.0</v>
      </c>
      <c r="C791" s="7">
        <v>144.0</v>
      </c>
      <c r="D791" s="6" t="s">
        <v>3173</v>
      </c>
      <c r="E791" s="8">
        <v>1.0</v>
      </c>
      <c r="F791" s="10" t="s">
        <v>790</v>
      </c>
    </row>
    <row r="792">
      <c r="A792" s="5" t="s">
        <v>3269</v>
      </c>
      <c r="B792" s="6">
        <v>6.0</v>
      </c>
      <c r="C792" s="7">
        <v>158.0</v>
      </c>
      <c r="D792" s="6" t="s">
        <v>3235</v>
      </c>
      <c r="E792" s="8">
        <v>1.0</v>
      </c>
      <c r="F792" s="10" t="s">
        <v>791</v>
      </c>
    </row>
    <row r="793">
      <c r="A793" s="5" t="s">
        <v>3240</v>
      </c>
      <c r="B793" s="6">
        <v>2.0</v>
      </c>
      <c r="C793" s="7">
        <v>71.0</v>
      </c>
      <c r="D793" s="6" t="s">
        <v>3176</v>
      </c>
      <c r="E793" s="8">
        <v>1.0</v>
      </c>
      <c r="F793" s="10" t="s">
        <v>792</v>
      </c>
    </row>
    <row r="794">
      <c r="A794" s="5" t="s">
        <v>3247</v>
      </c>
      <c r="B794" s="6">
        <v>6.0</v>
      </c>
      <c r="C794" s="7">
        <v>109.0</v>
      </c>
      <c r="D794" s="6" t="s">
        <v>3249</v>
      </c>
      <c r="E794" s="8">
        <v>1.0</v>
      </c>
      <c r="F794" s="10" t="s">
        <v>793</v>
      </c>
    </row>
    <row r="795">
      <c r="A795" s="5" t="s">
        <v>3208</v>
      </c>
      <c r="B795" s="6">
        <v>4.0</v>
      </c>
      <c r="C795" s="7">
        <v>191.0</v>
      </c>
      <c r="D795" s="6" t="s">
        <v>3221</v>
      </c>
      <c r="E795" s="8">
        <v>1.0</v>
      </c>
      <c r="F795" s="10" t="s">
        <v>794</v>
      </c>
    </row>
    <row r="796">
      <c r="A796" s="5" t="s">
        <v>3266</v>
      </c>
      <c r="B796" s="6">
        <v>3.0</v>
      </c>
      <c r="C796" s="7">
        <v>172.0</v>
      </c>
      <c r="D796" s="6" t="s">
        <v>3178</v>
      </c>
      <c r="E796" s="8">
        <v>1.0</v>
      </c>
      <c r="F796" s="10" t="s">
        <v>795</v>
      </c>
    </row>
    <row r="797">
      <c r="A797" s="5" t="s">
        <v>3247</v>
      </c>
      <c r="B797" s="6">
        <v>6.0</v>
      </c>
      <c r="C797" s="7">
        <v>104.0</v>
      </c>
      <c r="D797" s="6" t="s">
        <v>3257</v>
      </c>
      <c r="E797" s="8">
        <v>1.0</v>
      </c>
      <c r="F797" s="10" t="s">
        <v>796</v>
      </c>
    </row>
    <row r="798">
      <c r="A798" s="5" t="s">
        <v>3208</v>
      </c>
      <c r="B798" s="6">
        <v>4.0</v>
      </c>
      <c r="C798" s="7">
        <v>17.0</v>
      </c>
      <c r="D798" s="6" t="s">
        <v>3241</v>
      </c>
      <c r="E798" s="8">
        <v>1.0</v>
      </c>
      <c r="F798" s="10" t="s">
        <v>797</v>
      </c>
    </row>
    <row r="799">
      <c r="A799" s="5" t="s">
        <v>3268</v>
      </c>
      <c r="B799" s="6">
        <v>1.0</v>
      </c>
      <c r="C799" s="7">
        <v>112.0</v>
      </c>
      <c r="D799" s="6" t="s">
        <v>3227</v>
      </c>
      <c r="E799" s="8">
        <v>1.0</v>
      </c>
      <c r="F799" s="10" t="s">
        <v>798</v>
      </c>
    </row>
    <row r="800">
      <c r="A800" s="5" t="s">
        <v>3212</v>
      </c>
      <c r="B800" s="6">
        <v>6.0</v>
      </c>
      <c r="C800" s="7">
        <v>74.0</v>
      </c>
      <c r="D800" s="6" t="s">
        <v>3190</v>
      </c>
      <c r="E800" s="8">
        <v>5.0</v>
      </c>
      <c r="F800" s="10" t="s">
        <v>799</v>
      </c>
    </row>
    <row r="801">
      <c r="A801" s="5" t="s">
        <v>3202</v>
      </c>
      <c r="B801" s="6">
        <v>4.0</v>
      </c>
      <c r="C801" s="7">
        <v>95.0</v>
      </c>
      <c r="D801" s="6" t="s">
        <v>3227</v>
      </c>
      <c r="E801" s="8">
        <v>5.0</v>
      </c>
      <c r="F801" s="10" t="s">
        <v>800</v>
      </c>
    </row>
    <row r="802">
      <c r="A802" s="5" t="s">
        <v>3189</v>
      </c>
      <c r="B802" s="6">
        <v>6.0</v>
      </c>
      <c r="C802" s="7">
        <v>91.0</v>
      </c>
      <c r="D802" s="6" t="s">
        <v>3178</v>
      </c>
      <c r="E802" s="8">
        <v>5.0</v>
      </c>
      <c r="F802" s="10" t="s">
        <v>801</v>
      </c>
    </row>
    <row r="803">
      <c r="A803" s="5" t="s">
        <v>3253</v>
      </c>
      <c r="B803" s="6">
        <v>1.0</v>
      </c>
      <c r="C803" s="7">
        <v>181.0</v>
      </c>
      <c r="D803" s="6" t="s">
        <v>3190</v>
      </c>
      <c r="E803" s="8">
        <v>5.0</v>
      </c>
      <c r="F803" s="10" t="s">
        <v>802</v>
      </c>
    </row>
    <row r="804">
      <c r="A804" s="5" t="s">
        <v>3223</v>
      </c>
      <c r="B804" s="6">
        <v>3.0</v>
      </c>
      <c r="C804" s="7">
        <v>80.0</v>
      </c>
      <c r="D804" s="6" t="s">
        <v>3180</v>
      </c>
      <c r="E804" s="8">
        <v>5.0</v>
      </c>
      <c r="F804" s="10" t="s">
        <v>803</v>
      </c>
    </row>
    <row r="805">
      <c r="A805" s="5" t="s">
        <v>3199</v>
      </c>
      <c r="B805" s="6">
        <v>3.0</v>
      </c>
      <c r="C805" s="7">
        <v>164.0</v>
      </c>
      <c r="D805" s="6" t="s">
        <v>3232</v>
      </c>
      <c r="E805" s="8">
        <v>5.0</v>
      </c>
      <c r="F805" s="10" t="s">
        <v>804</v>
      </c>
    </row>
    <row r="806">
      <c r="A806" s="5" t="s">
        <v>3247</v>
      </c>
      <c r="B806" s="6">
        <v>6.0</v>
      </c>
      <c r="C806" s="7">
        <v>111.0</v>
      </c>
      <c r="D806" s="6" t="s">
        <v>3235</v>
      </c>
      <c r="E806" s="8">
        <v>5.0</v>
      </c>
      <c r="F806" s="10" t="s">
        <v>805</v>
      </c>
    </row>
    <row r="807">
      <c r="A807" s="5" t="s">
        <v>3210</v>
      </c>
      <c r="B807" s="6">
        <v>1.0</v>
      </c>
      <c r="C807" s="7">
        <v>46.0</v>
      </c>
      <c r="D807" s="6" t="s">
        <v>3194</v>
      </c>
      <c r="E807" s="8">
        <v>4.0</v>
      </c>
      <c r="F807" s="10" t="s">
        <v>806</v>
      </c>
    </row>
    <row r="808">
      <c r="A808" s="5" t="s">
        <v>3201</v>
      </c>
      <c r="B808" s="6">
        <v>5.0</v>
      </c>
      <c r="C808" s="7">
        <v>109.0</v>
      </c>
      <c r="D808" s="6" t="s">
        <v>3249</v>
      </c>
      <c r="E808" s="8">
        <v>4.0</v>
      </c>
      <c r="F808" s="10" t="s">
        <v>807</v>
      </c>
    </row>
    <row r="809">
      <c r="A809" s="5" t="s">
        <v>3189</v>
      </c>
      <c r="B809" s="6">
        <v>6.0</v>
      </c>
      <c r="C809" s="7">
        <v>44.0</v>
      </c>
      <c r="D809" s="6" t="s">
        <v>3239</v>
      </c>
      <c r="E809" s="8">
        <v>4.0</v>
      </c>
      <c r="F809" s="10" t="s">
        <v>808</v>
      </c>
    </row>
    <row r="810">
      <c r="A810" s="5" t="s">
        <v>3210</v>
      </c>
      <c r="B810" s="6">
        <v>1.0</v>
      </c>
      <c r="C810" s="7">
        <v>69.0</v>
      </c>
      <c r="D810" s="6" t="s">
        <v>3203</v>
      </c>
      <c r="E810" s="8">
        <v>4.0</v>
      </c>
      <c r="F810" s="10" t="s">
        <v>809</v>
      </c>
    </row>
    <row r="811">
      <c r="A811" s="5" t="s">
        <v>3246</v>
      </c>
      <c r="B811" s="6">
        <v>4.0</v>
      </c>
      <c r="C811" s="7">
        <v>183.0</v>
      </c>
      <c r="D811" s="6" t="s">
        <v>3182</v>
      </c>
      <c r="E811" s="8">
        <v>4.0</v>
      </c>
      <c r="F811" s="10" t="s">
        <v>810</v>
      </c>
    </row>
    <row r="812">
      <c r="A812" s="5" t="s">
        <v>3268</v>
      </c>
      <c r="B812" s="6">
        <v>1.0</v>
      </c>
      <c r="C812" s="7">
        <v>41.0</v>
      </c>
      <c r="D812" s="6" t="s">
        <v>3238</v>
      </c>
      <c r="E812" s="8">
        <v>4.0</v>
      </c>
      <c r="F812" s="10" t="s">
        <v>811</v>
      </c>
    </row>
    <row r="813">
      <c r="A813" s="5" t="s">
        <v>3205</v>
      </c>
      <c r="B813" s="6">
        <v>1.0</v>
      </c>
      <c r="C813" s="7">
        <v>117.0</v>
      </c>
      <c r="D813" s="6" t="s">
        <v>3225</v>
      </c>
      <c r="E813" s="8">
        <v>4.0</v>
      </c>
      <c r="F813" s="10" t="s">
        <v>812</v>
      </c>
    </row>
    <row r="814">
      <c r="A814" s="5" t="s">
        <v>3170</v>
      </c>
      <c r="B814" s="6">
        <v>1.0</v>
      </c>
      <c r="C814" s="7">
        <v>47.0</v>
      </c>
      <c r="D814" s="6" t="s">
        <v>3221</v>
      </c>
      <c r="E814" s="8">
        <v>3.0</v>
      </c>
      <c r="F814" s="10" t="s">
        <v>549</v>
      </c>
    </row>
    <row r="815">
      <c r="A815" s="5" t="s">
        <v>3259</v>
      </c>
      <c r="B815" s="6">
        <v>6.0</v>
      </c>
      <c r="C815" s="7">
        <v>58.0</v>
      </c>
      <c r="D815" s="6" t="s">
        <v>3257</v>
      </c>
      <c r="E815" s="8">
        <v>3.0</v>
      </c>
      <c r="F815" s="10" t="s">
        <v>813</v>
      </c>
    </row>
    <row r="816">
      <c r="A816" s="5" t="s">
        <v>3259</v>
      </c>
      <c r="B816" s="6">
        <v>6.0</v>
      </c>
      <c r="C816" s="7">
        <v>176.0</v>
      </c>
      <c r="D816" s="6" t="s">
        <v>3232</v>
      </c>
      <c r="E816" s="8">
        <v>3.0</v>
      </c>
      <c r="F816" s="10" t="s">
        <v>40</v>
      </c>
    </row>
    <row r="817">
      <c r="A817" s="5" t="s">
        <v>3253</v>
      </c>
      <c r="B817" s="6">
        <v>1.0</v>
      </c>
      <c r="C817" s="7">
        <v>157.0</v>
      </c>
      <c r="D817" s="6" t="s">
        <v>3219</v>
      </c>
      <c r="E817" s="8">
        <v>3.0</v>
      </c>
      <c r="F817" s="10" t="s">
        <v>814</v>
      </c>
    </row>
    <row r="818">
      <c r="A818" s="5" t="s">
        <v>3256</v>
      </c>
      <c r="B818" s="6">
        <v>6.0</v>
      </c>
      <c r="C818" s="7">
        <v>18.0</v>
      </c>
      <c r="D818" s="6" t="s">
        <v>3225</v>
      </c>
      <c r="E818" s="8">
        <v>3.0</v>
      </c>
      <c r="F818" s="10" t="s">
        <v>815</v>
      </c>
    </row>
    <row r="819">
      <c r="A819" s="5" t="s">
        <v>3210</v>
      </c>
      <c r="B819" s="6">
        <v>1.0</v>
      </c>
      <c r="C819" s="7">
        <v>130.0</v>
      </c>
      <c r="D819" s="6" t="s">
        <v>3232</v>
      </c>
      <c r="E819" s="8">
        <v>3.0</v>
      </c>
      <c r="F819" s="10" t="s">
        <v>816</v>
      </c>
    </row>
    <row r="820">
      <c r="A820" s="5" t="s">
        <v>3248</v>
      </c>
      <c r="B820" s="6">
        <v>3.0</v>
      </c>
      <c r="C820" s="7">
        <v>185.0</v>
      </c>
      <c r="D820" s="6" t="s">
        <v>3173</v>
      </c>
      <c r="E820" s="8">
        <v>3.0</v>
      </c>
      <c r="F820" s="10" t="s">
        <v>817</v>
      </c>
    </row>
    <row r="821">
      <c r="A821" s="5" t="s">
        <v>3204</v>
      </c>
      <c r="B821" s="6">
        <v>1.0</v>
      </c>
      <c r="C821" s="7">
        <v>128.0</v>
      </c>
      <c r="D821" s="6" t="s">
        <v>3211</v>
      </c>
      <c r="E821" s="8">
        <v>2.0</v>
      </c>
      <c r="F821" s="10" t="s">
        <v>818</v>
      </c>
    </row>
    <row r="822">
      <c r="A822" s="5" t="s">
        <v>3179</v>
      </c>
      <c r="B822" s="6">
        <v>1.0</v>
      </c>
      <c r="C822" s="7">
        <v>27.0</v>
      </c>
      <c r="D822" s="6" t="s">
        <v>3182</v>
      </c>
      <c r="E822" s="8">
        <v>2.0</v>
      </c>
      <c r="F822" s="10" t="s">
        <v>819</v>
      </c>
    </row>
    <row r="823">
      <c r="A823" s="5" t="s">
        <v>3230</v>
      </c>
      <c r="B823" s="6">
        <v>1.0</v>
      </c>
      <c r="C823" s="7">
        <v>54.0</v>
      </c>
      <c r="D823" s="6" t="s">
        <v>3215</v>
      </c>
      <c r="E823" s="8">
        <v>2.0</v>
      </c>
      <c r="F823" s="10" t="s">
        <v>820</v>
      </c>
    </row>
    <row r="824">
      <c r="A824" s="5" t="s">
        <v>3216</v>
      </c>
      <c r="B824" s="6">
        <v>6.0</v>
      </c>
      <c r="C824" s="7">
        <v>131.0</v>
      </c>
      <c r="D824" s="6" t="s">
        <v>3227</v>
      </c>
      <c r="E824" s="8">
        <v>2.0</v>
      </c>
      <c r="F824" s="10" t="s">
        <v>821</v>
      </c>
    </row>
    <row r="825">
      <c r="A825" s="5" t="s">
        <v>3175</v>
      </c>
      <c r="B825" s="6">
        <v>5.0</v>
      </c>
      <c r="C825" s="7">
        <v>182.0</v>
      </c>
      <c r="D825" s="6" t="s">
        <v>3238</v>
      </c>
      <c r="E825" s="8">
        <v>2.0</v>
      </c>
      <c r="F825" s="10" t="s">
        <v>822</v>
      </c>
    </row>
    <row r="826">
      <c r="A826" s="5" t="s">
        <v>3187</v>
      </c>
      <c r="B826" s="6">
        <v>4.0</v>
      </c>
      <c r="C826" s="7">
        <v>2.0</v>
      </c>
      <c r="D826" s="6" t="s">
        <v>3214</v>
      </c>
      <c r="E826" s="8">
        <v>2.0</v>
      </c>
      <c r="F826" s="10" t="s">
        <v>823</v>
      </c>
    </row>
    <row r="827">
      <c r="A827" s="5" t="s">
        <v>3229</v>
      </c>
      <c r="B827" s="6">
        <v>4.0</v>
      </c>
      <c r="C827" s="7">
        <v>14.0</v>
      </c>
      <c r="D827" s="6" t="s">
        <v>3196</v>
      </c>
      <c r="E827" s="8">
        <v>2.0</v>
      </c>
      <c r="F827" s="10" t="s">
        <v>824</v>
      </c>
    </row>
    <row r="828">
      <c r="A828" s="5" t="s">
        <v>3181</v>
      </c>
      <c r="B828" s="6">
        <v>1.0</v>
      </c>
      <c r="C828" s="7">
        <v>60.0</v>
      </c>
      <c r="D828" s="6" t="s">
        <v>3196</v>
      </c>
      <c r="E828" s="8">
        <v>2.0</v>
      </c>
      <c r="F828" s="10" t="s">
        <v>825</v>
      </c>
    </row>
    <row r="829">
      <c r="A829" s="5" t="s">
        <v>3189</v>
      </c>
      <c r="B829" s="6">
        <v>6.0</v>
      </c>
      <c r="C829" s="7">
        <v>76.0</v>
      </c>
      <c r="D829" s="6" t="s">
        <v>3190</v>
      </c>
      <c r="E829" s="8">
        <v>2.0</v>
      </c>
      <c r="F829" s="10" t="s">
        <v>826</v>
      </c>
    </row>
    <row r="830">
      <c r="A830" s="5" t="s">
        <v>3217</v>
      </c>
      <c r="B830" s="6">
        <v>5.0</v>
      </c>
      <c r="C830" s="7">
        <v>188.0</v>
      </c>
      <c r="D830" s="6" t="s">
        <v>3198</v>
      </c>
      <c r="E830" s="8">
        <v>1.0</v>
      </c>
      <c r="F830" s="10" t="s">
        <v>827</v>
      </c>
    </row>
    <row r="831">
      <c r="A831" s="5" t="s">
        <v>3258</v>
      </c>
      <c r="B831" s="6">
        <v>6.0</v>
      </c>
      <c r="C831" s="7">
        <v>181.0</v>
      </c>
      <c r="D831" s="6" t="s">
        <v>3190</v>
      </c>
      <c r="E831" s="8">
        <v>1.0</v>
      </c>
      <c r="F831" s="10" t="s">
        <v>828</v>
      </c>
    </row>
    <row r="832">
      <c r="A832" s="5" t="s">
        <v>3266</v>
      </c>
      <c r="B832" s="6">
        <v>3.0</v>
      </c>
      <c r="C832" s="7">
        <v>86.0</v>
      </c>
      <c r="D832" s="6" t="s">
        <v>3245</v>
      </c>
      <c r="E832" s="8">
        <v>1.0</v>
      </c>
      <c r="F832" s="10" t="s">
        <v>829</v>
      </c>
    </row>
    <row r="833">
      <c r="A833" s="5" t="s">
        <v>3240</v>
      </c>
      <c r="B833" s="6">
        <v>2.0</v>
      </c>
      <c r="C833" s="7">
        <v>12.0</v>
      </c>
      <c r="D833" s="6" t="s">
        <v>3225</v>
      </c>
      <c r="E833" s="8">
        <v>1.0</v>
      </c>
      <c r="F833" s="10" t="s">
        <v>830</v>
      </c>
    </row>
    <row r="834">
      <c r="A834" s="5" t="s">
        <v>3266</v>
      </c>
      <c r="B834" s="6">
        <v>3.0</v>
      </c>
      <c r="C834" s="7">
        <v>95.0</v>
      </c>
      <c r="D834" s="6" t="s">
        <v>3227</v>
      </c>
      <c r="E834" s="8">
        <v>1.0</v>
      </c>
      <c r="F834" s="10" t="s">
        <v>831</v>
      </c>
    </row>
    <row r="835">
      <c r="A835" s="5" t="s">
        <v>3230</v>
      </c>
      <c r="B835" s="6">
        <v>1.0</v>
      </c>
      <c r="C835" s="7">
        <v>62.0</v>
      </c>
      <c r="D835" s="6" t="s">
        <v>3200</v>
      </c>
      <c r="E835" s="8">
        <v>1.0</v>
      </c>
      <c r="F835" s="10" t="s">
        <v>832</v>
      </c>
    </row>
    <row r="836">
      <c r="A836" s="5" t="s">
        <v>3263</v>
      </c>
      <c r="B836" s="6">
        <v>1.0</v>
      </c>
      <c r="C836" s="7">
        <v>128.0</v>
      </c>
      <c r="D836" s="6" t="s">
        <v>3211</v>
      </c>
      <c r="E836" s="8">
        <v>1.0</v>
      </c>
      <c r="F836" s="10" t="s">
        <v>833</v>
      </c>
    </row>
    <row r="837">
      <c r="A837" s="5" t="s">
        <v>3233</v>
      </c>
      <c r="B837" s="6">
        <v>6.0</v>
      </c>
      <c r="C837" s="7">
        <v>34.0</v>
      </c>
      <c r="D837" s="6" t="s">
        <v>3227</v>
      </c>
      <c r="E837" s="8">
        <v>1.0</v>
      </c>
      <c r="F837" s="10" t="s">
        <v>834</v>
      </c>
    </row>
    <row r="838">
      <c r="A838" s="5" t="s">
        <v>3199</v>
      </c>
      <c r="B838" s="6">
        <v>3.0</v>
      </c>
      <c r="C838" s="7">
        <v>112.0</v>
      </c>
      <c r="D838" s="6" t="s">
        <v>3227</v>
      </c>
      <c r="E838" s="8">
        <v>1.0</v>
      </c>
      <c r="F838" s="10" t="s">
        <v>835</v>
      </c>
    </row>
    <row r="839">
      <c r="A839" s="5" t="s">
        <v>3175</v>
      </c>
      <c r="B839" s="6">
        <v>5.0</v>
      </c>
      <c r="C839" s="7">
        <v>162.0</v>
      </c>
      <c r="D839" s="6" t="s">
        <v>3257</v>
      </c>
      <c r="E839" s="8">
        <v>1.0</v>
      </c>
      <c r="F839" s="10" t="s">
        <v>836</v>
      </c>
    </row>
    <row r="840">
      <c r="A840" s="5" t="s">
        <v>3193</v>
      </c>
      <c r="B840" s="6">
        <v>5.0</v>
      </c>
      <c r="C840" s="7">
        <v>170.0</v>
      </c>
      <c r="D840" s="6" t="s">
        <v>3182</v>
      </c>
      <c r="E840" s="8">
        <v>1.0</v>
      </c>
      <c r="F840" s="10" t="s">
        <v>837</v>
      </c>
    </row>
    <row r="841">
      <c r="A841" s="5" t="s">
        <v>3250</v>
      </c>
      <c r="B841" s="6">
        <v>4.0</v>
      </c>
      <c r="C841" s="7">
        <v>74.0</v>
      </c>
      <c r="D841" s="6" t="s">
        <v>3190</v>
      </c>
      <c r="E841" s="8">
        <v>1.0</v>
      </c>
      <c r="F841" s="10" t="s">
        <v>838</v>
      </c>
    </row>
    <row r="842">
      <c r="A842" s="5" t="s">
        <v>3212</v>
      </c>
      <c r="B842" s="6">
        <v>6.0</v>
      </c>
      <c r="C842" s="7">
        <v>148.0</v>
      </c>
      <c r="D842" s="6" t="s">
        <v>3262</v>
      </c>
      <c r="E842" s="8">
        <v>1.0</v>
      </c>
      <c r="F842" s="10" t="s">
        <v>839</v>
      </c>
    </row>
    <row r="843">
      <c r="A843" s="5" t="s">
        <v>3252</v>
      </c>
      <c r="B843" s="6">
        <v>6.0</v>
      </c>
      <c r="C843" s="7">
        <v>12.0</v>
      </c>
      <c r="D843" s="6" t="s">
        <v>3225</v>
      </c>
      <c r="E843" s="8">
        <v>5.0</v>
      </c>
      <c r="F843" s="10" t="s">
        <v>840</v>
      </c>
    </row>
    <row r="844">
      <c r="A844" s="5" t="s">
        <v>3250</v>
      </c>
      <c r="B844" s="6">
        <v>4.0</v>
      </c>
      <c r="C844" s="7">
        <v>96.0</v>
      </c>
      <c r="D844" s="6" t="s">
        <v>3190</v>
      </c>
      <c r="E844" s="8">
        <v>5.0</v>
      </c>
      <c r="F844" s="10" t="s">
        <v>841</v>
      </c>
    </row>
    <row r="845">
      <c r="A845" s="5" t="s">
        <v>3220</v>
      </c>
      <c r="B845" s="6">
        <v>6.0</v>
      </c>
      <c r="C845" s="7">
        <v>99.0</v>
      </c>
      <c r="D845" s="6" t="s">
        <v>3200</v>
      </c>
      <c r="E845" s="8">
        <v>5.0</v>
      </c>
      <c r="F845" s="10" t="s">
        <v>842</v>
      </c>
    </row>
    <row r="846">
      <c r="A846" s="5" t="s">
        <v>3236</v>
      </c>
      <c r="B846" s="6">
        <v>6.0</v>
      </c>
      <c r="C846" s="7">
        <v>29.0</v>
      </c>
      <c r="D846" s="6" t="s">
        <v>3235</v>
      </c>
      <c r="E846" s="8">
        <v>5.0</v>
      </c>
      <c r="F846" s="10" t="s">
        <v>843</v>
      </c>
    </row>
    <row r="847">
      <c r="A847" s="5" t="s">
        <v>3199</v>
      </c>
      <c r="B847" s="6">
        <v>3.0</v>
      </c>
      <c r="C847" s="7">
        <v>35.0</v>
      </c>
      <c r="D847" s="6" t="s">
        <v>3196</v>
      </c>
      <c r="E847" s="8">
        <v>5.0</v>
      </c>
      <c r="F847" s="10" t="s">
        <v>844</v>
      </c>
    </row>
    <row r="848">
      <c r="A848" s="5" t="s">
        <v>3224</v>
      </c>
      <c r="B848" s="6">
        <v>6.0</v>
      </c>
      <c r="C848" s="7">
        <v>142.0</v>
      </c>
      <c r="D848" s="6" t="s">
        <v>3173</v>
      </c>
      <c r="E848" s="8">
        <v>5.0</v>
      </c>
      <c r="F848" s="10" t="s">
        <v>845</v>
      </c>
    </row>
    <row r="849">
      <c r="A849" s="5" t="s">
        <v>3220</v>
      </c>
      <c r="B849" s="6">
        <v>6.0</v>
      </c>
      <c r="C849" s="7">
        <v>188.0</v>
      </c>
      <c r="D849" s="6" t="s">
        <v>3198</v>
      </c>
      <c r="E849" s="8">
        <v>5.0</v>
      </c>
      <c r="F849" s="10" t="s">
        <v>846</v>
      </c>
    </row>
    <row r="850">
      <c r="A850" s="5" t="s">
        <v>3220</v>
      </c>
      <c r="B850" s="6">
        <v>6.0</v>
      </c>
      <c r="C850" s="7">
        <v>109.0</v>
      </c>
      <c r="D850" s="6" t="s">
        <v>3249</v>
      </c>
      <c r="E850" s="8">
        <v>5.0</v>
      </c>
      <c r="F850" s="10" t="s">
        <v>847</v>
      </c>
    </row>
    <row r="851">
      <c r="A851" s="5" t="s">
        <v>3264</v>
      </c>
      <c r="B851" s="6">
        <v>4.0</v>
      </c>
      <c r="C851" s="7">
        <v>199.0</v>
      </c>
      <c r="D851" s="6" t="s">
        <v>3169</v>
      </c>
      <c r="E851" s="8">
        <v>5.0</v>
      </c>
      <c r="F851" s="10" t="s">
        <v>848</v>
      </c>
    </row>
    <row r="852">
      <c r="A852" s="5" t="s">
        <v>3266</v>
      </c>
      <c r="B852" s="6">
        <v>3.0</v>
      </c>
      <c r="C852" s="7">
        <v>119.0</v>
      </c>
      <c r="D852" s="6" t="s">
        <v>3178</v>
      </c>
      <c r="E852" s="8">
        <v>5.0</v>
      </c>
      <c r="F852" s="10" t="s">
        <v>849</v>
      </c>
    </row>
    <row r="853">
      <c r="A853" s="5" t="s">
        <v>3242</v>
      </c>
      <c r="B853" s="6">
        <v>1.0</v>
      </c>
      <c r="C853" s="7">
        <v>117.0</v>
      </c>
      <c r="D853" s="6" t="s">
        <v>3225</v>
      </c>
      <c r="E853" s="8">
        <v>5.0</v>
      </c>
      <c r="F853" s="10" t="s">
        <v>850</v>
      </c>
    </row>
    <row r="854">
      <c r="A854" s="5" t="s">
        <v>3199</v>
      </c>
      <c r="B854" s="6">
        <v>3.0</v>
      </c>
      <c r="C854" s="7">
        <v>35.0</v>
      </c>
      <c r="D854" s="6" t="s">
        <v>3196</v>
      </c>
      <c r="E854" s="8">
        <v>5.0</v>
      </c>
      <c r="F854" s="10" t="s">
        <v>851</v>
      </c>
    </row>
    <row r="855">
      <c r="A855" s="5" t="s">
        <v>3185</v>
      </c>
      <c r="B855" s="6">
        <v>1.0</v>
      </c>
      <c r="C855" s="7">
        <v>30.0</v>
      </c>
      <c r="D855" s="6" t="s">
        <v>3171</v>
      </c>
      <c r="E855" s="8">
        <v>5.0</v>
      </c>
      <c r="F855" s="10" t="s">
        <v>852</v>
      </c>
    </row>
    <row r="856">
      <c r="A856" s="5" t="s">
        <v>3268</v>
      </c>
      <c r="B856" s="6">
        <v>1.0</v>
      </c>
      <c r="C856" s="7">
        <v>81.0</v>
      </c>
      <c r="D856" s="6" t="s">
        <v>3169</v>
      </c>
      <c r="E856" s="8">
        <v>5.0</v>
      </c>
      <c r="F856" s="10" t="s">
        <v>853</v>
      </c>
    </row>
    <row r="857">
      <c r="A857" s="5" t="s">
        <v>3224</v>
      </c>
      <c r="B857" s="6">
        <v>6.0</v>
      </c>
      <c r="C857" s="7">
        <v>53.0</v>
      </c>
      <c r="D857" s="6" t="s">
        <v>3249</v>
      </c>
      <c r="E857" s="8">
        <v>5.0</v>
      </c>
      <c r="F857" s="10" t="s">
        <v>854</v>
      </c>
    </row>
    <row r="858">
      <c r="A858" s="5" t="s">
        <v>3193</v>
      </c>
      <c r="B858" s="6">
        <v>5.0</v>
      </c>
      <c r="C858" s="7">
        <v>32.0</v>
      </c>
      <c r="D858" s="6" t="s">
        <v>3173</v>
      </c>
      <c r="E858" s="8">
        <v>5.0</v>
      </c>
      <c r="F858" s="10" t="s">
        <v>855</v>
      </c>
    </row>
    <row r="859">
      <c r="A859" s="5" t="s">
        <v>3205</v>
      </c>
      <c r="B859" s="6">
        <v>1.0</v>
      </c>
      <c r="C859" s="7">
        <v>30.0</v>
      </c>
      <c r="D859" s="6" t="s">
        <v>3171</v>
      </c>
      <c r="E859" s="8">
        <v>5.0</v>
      </c>
      <c r="F859" s="10" t="s">
        <v>856</v>
      </c>
    </row>
    <row r="860">
      <c r="A860" s="5" t="s">
        <v>3269</v>
      </c>
      <c r="B860" s="6">
        <v>6.0</v>
      </c>
      <c r="C860" s="7">
        <v>94.0</v>
      </c>
      <c r="D860" s="6" t="s">
        <v>3239</v>
      </c>
      <c r="E860" s="8">
        <v>4.0</v>
      </c>
      <c r="F860" s="10" t="s">
        <v>857</v>
      </c>
    </row>
    <row r="861">
      <c r="A861" s="5" t="s">
        <v>3189</v>
      </c>
      <c r="B861" s="6">
        <v>6.0</v>
      </c>
      <c r="C861" s="7">
        <v>86.0</v>
      </c>
      <c r="D861" s="6" t="s">
        <v>3245</v>
      </c>
      <c r="E861" s="8">
        <v>4.0</v>
      </c>
      <c r="F861" s="10" t="s">
        <v>858</v>
      </c>
    </row>
    <row r="862">
      <c r="A862" s="5" t="s">
        <v>3270</v>
      </c>
      <c r="B862" s="6">
        <v>3.0</v>
      </c>
      <c r="C862" s="7">
        <v>93.0</v>
      </c>
      <c r="D862" s="6" t="s">
        <v>3221</v>
      </c>
      <c r="E862" s="8">
        <v>4.0</v>
      </c>
      <c r="F862" s="10" t="s">
        <v>859</v>
      </c>
    </row>
    <row r="863">
      <c r="A863" s="5" t="s">
        <v>3253</v>
      </c>
      <c r="B863" s="6">
        <v>1.0</v>
      </c>
      <c r="C863" s="7">
        <v>6.0</v>
      </c>
      <c r="D863" s="6" t="s">
        <v>3180</v>
      </c>
      <c r="E863" s="8">
        <v>4.0</v>
      </c>
      <c r="F863" s="10" t="s">
        <v>860</v>
      </c>
    </row>
    <row r="864">
      <c r="A864" s="5" t="s">
        <v>3226</v>
      </c>
      <c r="B864" s="6">
        <v>1.0</v>
      </c>
      <c r="C864" s="7">
        <v>29.0</v>
      </c>
      <c r="D864" s="6" t="s">
        <v>3235</v>
      </c>
      <c r="E864" s="8">
        <v>3.0</v>
      </c>
      <c r="F864" s="10" t="s">
        <v>861</v>
      </c>
    </row>
    <row r="865">
      <c r="A865" s="5" t="s">
        <v>3237</v>
      </c>
      <c r="B865" s="6">
        <v>2.0</v>
      </c>
      <c r="C865" s="7">
        <v>182.0</v>
      </c>
      <c r="D865" s="6" t="s">
        <v>3238</v>
      </c>
      <c r="E865" s="8">
        <v>3.0</v>
      </c>
      <c r="F865" s="10" t="s">
        <v>862</v>
      </c>
    </row>
    <row r="866">
      <c r="A866" s="5" t="s">
        <v>3246</v>
      </c>
      <c r="B866" s="6">
        <v>4.0</v>
      </c>
      <c r="C866" s="7">
        <v>173.0</v>
      </c>
      <c r="D866" s="6" t="s">
        <v>3167</v>
      </c>
      <c r="E866" s="8">
        <v>3.0</v>
      </c>
      <c r="F866" s="10" t="s">
        <v>863</v>
      </c>
    </row>
    <row r="867">
      <c r="A867" s="5" t="s">
        <v>3268</v>
      </c>
      <c r="B867" s="6">
        <v>1.0</v>
      </c>
      <c r="C867" s="7">
        <v>86.0</v>
      </c>
      <c r="D867" s="6" t="s">
        <v>3245</v>
      </c>
      <c r="E867" s="8">
        <v>2.0</v>
      </c>
      <c r="F867" s="10" t="s">
        <v>864</v>
      </c>
    </row>
    <row r="868">
      <c r="A868" s="5" t="s">
        <v>3220</v>
      </c>
      <c r="B868" s="6">
        <v>6.0</v>
      </c>
      <c r="C868" s="7">
        <v>186.0</v>
      </c>
      <c r="D868" s="6" t="s">
        <v>3222</v>
      </c>
      <c r="E868" s="8">
        <v>2.0</v>
      </c>
      <c r="F868" s="10" t="s">
        <v>865</v>
      </c>
    </row>
    <row r="869">
      <c r="A869" s="5" t="s">
        <v>3248</v>
      </c>
      <c r="B869" s="6">
        <v>3.0</v>
      </c>
      <c r="C869" s="7">
        <v>85.0</v>
      </c>
      <c r="D869" s="6" t="s">
        <v>3192</v>
      </c>
      <c r="E869" s="8">
        <v>2.0</v>
      </c>
      <c r="F869" s="10" t="s">
        <v>866</v>
      </c>
    </row>
    <row r="870">
      <c r="A870" s="5" t="s">
        <v>3268</v>
      </c>
      <c r="B870" s="6">
        <v>1.0</v>
      </c>
      <c r="C870" s="7">
        <v>35.0</v>
      </c>
      <c r="D870" s="6" t="s">
        <v>3196</v>
      </c>
      <c r="E870" s="8">
        <v>2.0</v>
      </c>
      <c r="F870" s="10" t="s">
        <v>867</v>
      </c>
    </row>
    <row r="871">
      <c r="A871" s="5" t="s">
        <v>3166</v>
      </c>
      <c r="B871" s="6">
        <v>6.0</v>
      </c>
      <c r="C871" s="7">
        <v>78.0</v>
      </c>
      <c r="D871" s="6" t="s">
        <v>3176</v>
      </c>
      <c r="E871" s="8">
        <v>2.0</v>
      </c>
      <c r="F871" s="10" t="s">
        <v>868</v>
      </c>
    </row>
    <row r="872">
      <c r="A872" s="5" t="s">
        <v>3269</v>
      </c>
      <c r="B872" s="6">
        <v>6.0</v>
      </c>
      <c r="C872" s="7">
        <v>129.0</v>
      </c>
      <c r="D872" s="6" t="s">
        <v>3182</v>
      </c>
      <c r="E872" s="8">
        <v>2.0</v>
      </c>
      <c r="F872" s="10" t="s">
        <v>869</v>
      </c>
    </row>
    <row r="873">
      <c r="A873" s="5" t="s">
        <v>3247</v>
      </c>
      <c r="B873" s="6">
        <v>6.0</v>
      </c>
      <c r="C873" s="7">
        <v>141.0</v>
      </c>
      <c r="D873" s="6" t="s">
        <v>3171</v>
      </c>
      <c r="E873" s="8">
        <v>2.0</v>
      </c>
      <c r="F873" s="10" t="s">
        <v>870</v>
      </c>
    </row>
    <row r="874">
      <c r="A874" s="5" t="s">
        <v>3228</v>
      </c>
      <c r="B874" s="6">
        <v>6.0</v>
      </c>
      <c r="C874" s="7">
        <v>17.0</v>
      </c>
      <c r="D874" s="6" t="s">
        <v>3241</v>
      </c>
      <c r="E874" s="8">
        <v>2.0</v>
      </c>
      <c r="F874" s="10" t="s">
        <v>871</v>
      </c>
    </row>
    <row r="875">
      <c r="A875" s="5" t="s">
        <v>3266</v>
      </c>
      <c r="B875" s="6">
        <v>3.0</v>
      </c>
      <c r="C875" s="7">
        <v>107.0</v>
      </c>
      <c r="D875" s="6" t="s">
        <v>3207</v>
      </c>
      <c r="E875" s="8">
        <v>1.0</v>
      </c>
      <c r="F875" s="10" t="s">
        <v>872</v>
      </c>
    </row>
    <row r="876">
      <c r="A876" s="5" t="s">
        <v>3260</v>
      </c>
      <c r="B876" s="6">
        <v>1.0</v>
      </c>
      <c r="C876" s="7">
        <v>123.0</v>
      </c>
      <c r="D876" s="6" t="s">
        <v>3192</v>
      </c>
      <c r="E876" s="8">
        <v>1.0</v>
      </c>
      <c r="F876" s="10" t="s">
        <v>873</v>
      </c>
    </row>
    <row r="877">
      <c r="A877" s="5" t="s">
        <v>3247</v>
      </c>
      <c r="B877" s="6">
        <v>6.0</v>
      </c>
      <c r="C877" s="7">
        <v>1.0</v>
      </c>
      <c r="D877" s="6" t="s">
        <v>3221</v>
      </c>
      <c r="E877" s="8">
        <v>1.0</v>
      </c>
      <c r="F877" s="10" t="s">
        <v>874</v>
      </c>
    </row>
    <row r="878">
      <c r="A878" s="5" t="s">
        <v>3266</v>
      </c>
      <c r="B878" s="6">
        <v>3.0</v>
      </c>
      <c r="C878" s="7">
        <v>40.0</v>
      </c>
      <c r="D878" s="6" t="s">
        <v>3221</v>
      </c>
      <c r="E878" s="8">
        <v>1.0</v>
      </c>
      <c r="F878" s="10" t="s">
        <v>875</v>
      </c>
    </row>
    <row r="879">
      <c r="A879" s="5" t="s">
        <v>3183</v>
      </c>
      <c r="B879" s="6">
        <v>6.0</v>
      </c>
      <c r="C879" s="7">
        <v>149.0</v>
      </c>
      <c r="D879" s="6" t="s">
        <v>3239</v>
      </c>
      <c r="E879" s="8">
        <v>1.0</v>
      </c>
      <c r="F879" s="10" t="s">
        <v>876</v>
      </c>
    </row>
    <row r="880">
      <c r="A880" s="5" t="s">
        <v>3204</v>
      </c>
      <c r="B880" s="6">
        <v>1.0</v>
      </c>
      <c r="C880" s="7">
        <v>32.0</v>
      </c>
      <c r="D880" s="6" t="s">
        <v>3173</v>
      </c>
      <c r="E880" s="8">
        <v>1.0</v>
      </c>
      <c r="F880" s="10" t="s">
        <v>877</v>
      </c>
    </row>
    <row r="881">
      <c r="A881" s="5" t="s">
        <v>3255</v>
      </c>
      <c r="B881" s="6">
        <v>6.0</v>
      </c>
      <c r="C881" s="7">
        <v>3.0</v>
      </c>
      <c r="D881" s="6" t="s">
        <v>3200</v>
      </c>
      <c r="E881" s="8">
        <v>1.0</v>
      </c>
      <c r="F881" s="10" t="s">
        <v>878</v>
      </c>
    </row>
    <row r="882">
      <c r="A882" s="5" t="s">
        <v>3229</v>
      </c>
      <c r="B882" s="6">
        <v>4.0</v>
      </c>
      <c r="C882" s="7">
        <v>134.0</v>
      </c>
      <c r="D882" s="6" t="s">
        <v>3239</v>
      </c>
      <c r="E882" s="8">
        <v>1.0</v>
      </c>
      <c r="F882" s="10" t="s">
        <v>879</v>
      </c>
    </row>
    <row r="883">
      <c r="A883" s="5" t="s">
        <v>3175</v>
      </c>
      <c r="B883" s="6">
        <v>5.0</v>
      </c>
      <c r="C883" s="7">
        <v>1.0</v>
      </c>
      <c r="D883" s="6" t="s">
        <v>3221</v>
      </c>
      <c r="E883" s="8">
        <v>1.0</v>
      </c>
      <c r="F883" s="10" t="s">
        <v>880</v>
      </c>
    </row>
    <row r="884">
      <c r="A884" s="5" t="s">
        <v>3236</v>
      </c>
      <c r="B884" s="6">
        <v>6.0</v>
      </c>
      <c r="C884" s="7">
        <v>75.0</v>
      </c>
      <c r="D884" s="6" t="s">
        <v>3257</v>
      </c>
      <c r="E884" s="8">
        <v>1.0</v>
      </c>
      <c r="F884" s="10" t="s">
        <v>881</v>
      </c>
    </row>
    <row r="885">
      <c r="A885" s="5" t="s">
        <v>3259</v>
      </c>
      <c r="B885" s="6">
        <v>6.0</v>
      </c>
      <c r="C885" s="7">
        <v>12.0</v>
      </c>
      <c r="D885" s="6" t="s">
        <v>3225</v>
      </c>
      <c r="E885" s="8">
        <v>1.0</v>
      </c>
      <c r="F885" s="10" t="s">
        <v>882</v>
      </c>
    </row>
    <row r="886">
      <c r="A886" s="5" t="s">
        <v>3246</v>
      </c>
      <c r="B886" s="6">
        <v>4.0</v>
      </c>
      <c r="C886" s="7">
        <v>98.0</v>
      </c>
      <c r="D886" s="6" t="s">
        <v>3211</v>
      </c>
      <c r="E886" s="8">
        <v>1.0</v>
      </c>
      <c r="F886" s="10" t="s">
        <v>883</v>
      </c>
    </row>
    <row r="887">
      <c r="A887" s="5" t="s">
        <v>3217</v>
      </c>
      <c r="B887" s="6">
        <v>5.0</v>
      </c>
      <c r="C887" s="7">
        <v>87.0</v>
      </c>
      <c r="D887" s="6" t="s">
        <v>3227</v>
      </c>
      <c r="E887" s="8">
        <v>1.0</v>
      </c>
      <c r="F887" s="10" t="s">
        <v>884</v>
      </c>
    </row>
    <row r="888">
      <c r="A888" s="5" t="s">
        <v>3181</v>
      </c>
      <c r="B888" s="6">
        <v>1.0</v>
      </c>
      <c r="C888" s="7">
        <v>11.0</v>
      </c>
      <c r="D888" s="6" t="s">
        <v>3180</v>
      </c>
      <c r="E888" s="8">
        <v>1.0</v>
      </c>
      <c r="F888" s="10" t="s">
        <v>885</v>
      </c>
    </row>
    <row r="889">
      <c r="A889" s="5" t="s">
        <v>3217</v>
      </c>
      <c r="B889" s="6">
        <v>5.0</v>
      </c>
      <c r="C889" s="7">
        <v>1.0</v>
      </c>
      <c r="D889" s="6" t="s">
        <v>3221</v>
      </c>
      <c r="E889" s="8">
        <v>1.0</v>
      </c>
      <c r="F889" s="10" t="s">
        <v>886</v>
      </c>
    </row>
    <row r="890">
      <c r="A890" s="5" t="s">
        <v>3216</v>
      </c>
      <c r="B890" s="6">
        <v>6.0</v>
      </c>
      <c r="C890" s="7">
        <v>196.0</v>
      </c>
      <c r="D890" s="6" t="s">
        <v>3169</v>
      </c>
      <c r="E890" s="8">
        <v>5.0</v>
      </c>
      <c r="F890" s="10" t="s">
        <v>887</v>
      </c>
    </row>
    <row r="891">
      <c r="A891" s="5" t="s">
        <v>3208</v>
      </c>
      <c r="B891" s="6">
        <v>4.0</v>
      </c>
      <c r="C891" s="7">
        <v>51.0</v>
      </c>
      <c r="D891" s="6" t="s">
        <v>3169</v>
      </c>
      <c r="E891" s="8">
        <v>5.0</v>
      </c>
      <c r="F891" s="10" t="s">
        <v>888</v>
      </c>
    </row>
    <row r="892">
      <c r="A892" s="5" t="s">
        <v>3185</v>
      </c>
      <c r="B892" s="6">
        <v>1.0</v>
      </c>
      <c r="C892" s="7">
        <v>173.0</v>
      </c>
      <c r="D892" s="6" t="s">
        <v>3167</v>
      </c>
      <c r="E892" s="8">
        <v>5.0</v>
      </c>
      <c r="F892" s="10" t="s">
        <v>889</v>
      </c>
    </row>
    <row r="893">
      <c r="A893" s="5" t="s">
        <v>3251</v>
      </c>
      <c r="B893" s="6">
        <v>6.0</v>
      </c>
      <c r="C893" s="7">
        <v>196.0</v>
      </c>
      <c r="D893" s="6" t="s">
        <v>3169</v>
      </c>
      <c r="E893" s="8">
        <v>5.0</v>
      </c>
      <c r="F893" s="10" t="s">
        <v>890</v>
      </c>
    </row>
    <row r="894">
      <c r="A894" s="5" t="s">
        <v>3217</v>
      </c>
      <c r="B894" s="6">
        <v>5.0</v>
      </c>
      <c r="C894" s="7">
        <v>37.0</v>
      </c>
      <c r="D894" s="6" t="s">
        <v>3194</v>
      </c>
      <c r="E894" s="8">
        <v>5.0</v>
      </c>
      <c r="F894" s="10" t="s">
        <v>891</v>
      </c>
    </row>
    <row r="895">
      <c r="A895" s="5" t="s">
        <v>3197</v>
      </c>
      <c r="B895" s="6">
        <v>1.0</v>
      </c>
      <c r="C895" s="7">
        <v>165.0</v>
      </c>
      <c r="D895" s="6" t="s">
        <v>3196</v>
      </c>
      <c r="E895" s="8">
        <v>5.0</v>
      </c>
      <c r="F895" s="10" t="s">
        <v>361</v>
      </c>
    </row>
    <row r="896">
      <c r="A896" s="5" t="s">
        <v>3265</v>
      </c>
      <c r="B896" s="6">
        <v>1.0</v>
      </c>
      <c r="C896" s="7">
        <v>62.0</v>
      </c>
      <c r="D896" s="6" t="s">
        <v>3200</v>
      </c>
      <c r="E896" s="8">
        <v>5.0</v>
      </c>
      <c r="F896" s="10" t="s">
        <v>892</v>
      </c>
    </row>
    <row r="897">
      <c r="A897" s="5" t="s">
        <v>3223</v>
      </c>
      <c r="B897" s="6">
        <v>3.0</v>
      </c>
      <c r="C897" s="7">
        <v>159.0</v>
      </c>
      <c r="D897" s="6" t="s">
        <v>3188</v>
      </c>
      <c r="E897" s="8">
        <v>5.0</v>
      </c>
      <c r="F897" s="10" t="s">
        <v>893</v>
      </c>
    </row>
    <row r="898">
      <c r="A898" s="5" t="s">
        <v>3240</v>
      </c>
      <c r="B898" s="6">
        <v>2.0</v>
      </c>
      <c r="C898" s="7">
        <v>173.0</v>
      </c>
      <c r="D898" s="6" t="s">
        <v>3167</v>
      </c>
      <c r="E898" s="8">
        <v>5.0</v>
      </c>
      <c r="F898" s="10" t="s">
        <v>894</v>
      </c>
    </row>
    <row r="899">
      <c r="A899" s="5" t="s">
        <v>3258</v>
      </c>
      <c r="B899" s="6">
        <v>6.0</v>
      </c>
      <c r="C899" s="7">
        <v>136.0</v>
      </c>
      <c r="D899" s="6" t="s">
        <v>3221</v>
      </c>
      <c r="E899" s="8">
        <v>5.0</v>
      </c>
      <c r="F899" s="10" t="s">
        <v>895</v>
      </c>
    </row>
    <row r="900">
      <c r="A900" s="5" t="s">
        <v>3237</v>
      </c>
      <c r="B900" s="6">
        <v>2.0</v>
      </c>
      <c r="C900" s="7">
        <v>170.0</v>
      </c>
      <c r="D900" s="6" t="s">
        <v>3182</v>
      </c>
      <c r="E900" s="8">
        <v>5.0</v>
      </c>
      <c r="F900" s="10" t="s">
        <v>896</v>
      </c>
    </row>
    <row r="901">
      <c r="A901" s="5" t="s">
        <v>3240</v>
      </c>
      <c r="B901" s="6">
        <v>2.0</v>
      </c>
      <c r="C901" s="7">
        <v>114.0</v>
      </c>
      <c r="D901" s="6" t="s">
        <v>3245</v>
      </c>
      <c r="E901" s="8">
        <v>4.0</v>
      </c>
      <c r="F901" s="10" t="s">
        <v>897</v>
      </c>
    </row>
    <row r="902">
      <c r="A902" s="5" t="s">
        <v>3209</v>
      </c>
      <c r="B902" s="6">
        <v>4.0</v>
      </c>
      <c r="C902" s="7">
        <v>137.0</v>
      </c>
      <c r="D902" s="6" t="s">
        <v>3215</v>
      </c>
      <c r="E902" s="8">
        <v>4.0</v>
      </c>
      <c r="F902" s="10" t="s">
        <v>898</v>
      </c>
    </row>
    <row r="903">
      <c r="A903" s="5" t="s">
        <v>3258</v>
      </c>
      <c r="B903" s="6">
        <v>6.0</v>
      </c>
      <c r="C903" s="7">
        <v>187.0</v>
      </c>
      <c r="D903" s="6" t="s">
        <v>3254</v>
      </c>
      <c r="E903" s="8">
        <v>4.0</v>
      </c>
      <c r="F903" s="10" t="s">
        <v>899</v>
      </c>
    </row>
    <row r="904">
      <c r="A904" s="5" t="s">
        <v>3174</v>
      </c>
      <c r="B904" s="6">
        <v>1.0</v>
      </c>
      <c r="C904" s="7">
        <v>114.0</v>
      </c>
      <c r="D904" s="6" t="s">
        <v>3245</v>
      </c>
      <c r="E904" s="8">
        <v>4.0</v>
      </c>
      <c r="F904" s="10" t="s">
        <v>900</v>
      </c>
    </row>
    <row r="905">
      <c r="A905" s="5" t="s">
        <v>3216</v>
      </c>
      <c r="B905" s="6">
        <v>6.0</v>
      </c>
      <c r="C905" s="7">
        <v>198.0</v>
      </c>
      <c r="D905" s="6" t="s">
        <v>3180</v>
      </c>
      <c r="E905" s="8">
        <v>4.0</v>
      </c>
      <c r="F905" s="10" t="s">
        <v>901</v>
      </c>
    </row>
    <row r="906">
      <c r="A906" s="5" t="s">
        <v>3201</v>
      </c>
      <c r="B906" s="6">
        <v>5.0</v>
      </c>
      <c r="C906" s="7">
        <v>121.0</v>
      </c>
      <c r="D906" s="6" t="s">
        <v>3173</v>
      </c>
      <c r="E906" s="8">
        <v>4.0</v>
      </c>
      <c r="F906" s="10" t="s">
        <v>902</v>
      </c>
    </row>
    <row r="907">
      <c r="A907" s="5" t="s">
        <v>3240</v>
      </c>
      <c r="B907" s="6">
        <v>2.0</v>
      </c>
      <c r="C907" s="7">
        <v>51.0</v>
      </c>
      <c r="D907" s="6" t="s">
        <v>3169</v>
      </c>
      <c r="E907" s="8">
        <v>4.0</v>
      </c>
      <c r="F907" s="10" t="s">
        <v>903</v>
      </c>
    </row>
    <row r="908">
      <c r="A908" s="5" t="s">
        <v>3246</v>
      </c>
      <c r="B908" s="6">
        <v>4.0</v>
      </c>
      <c r="C908" s="7">
        <v>8.0</v>
      </c>
      <c r="D908" s="6" t="s">
        <v>3169</v>
      </c>
      <c r="E908" s="8">
        <v>4.0</v>
      </c>
      <c r="F908" s="10" t="s">
        <v>904</v>
      </c>
    </row>
    <row r="909">
      <c r="A909" s="5" t="s">
        <v>3246</v>
      </c>
      <c r="B909" s="6">
        <v>4.0</v>
      </c>
      <c r="C909" s="7">
        <v>60.0</v>
      </c>
      <c r="D909" s="6" t="s">
        <v>3196</v>
      </c>
      <c r="E909" s="8">
        <v>4.0</v>
      </c>
      <c r="F909" s="10" t="s">
        <v>905</v>
      </c>
    </row>
    <row r="910">
      <c r="A910" s="5" t="s">
        <v>3251</v>
      </c>
      <c r="B910" s="6">
        <v>6.0</v>
      </c>
      <c r="C910" s="7">
        <v>184.0</v>
      </c>
      <c r="D910" s="6" t="s">
        <v>3169</v>
      </c>
      <c r="E910" s="8">
        <v>4.0</v>
      </c>
      <c r="F910" s="10" t="s">
        <v>906</v>
      </c>
    </row>
    <row r="911">
      <c r="A911" s="5" t="s">
        <v>3253</v>
      </c>
      <c r="B911" s="6">
        <v>1.0</v>
      </c>
      <c r="C911" s="7">
        <v>32.0</v>
      </c>
      <c r="D911" s="6" t="s">
        <v>3173</v>
      </c>
      <c r="E911" s="8">
        <v>4.0</v>
      </c>
      <c r="F911" s="10" t="s">
        <v>907</v>
      </c>
    </row>
    <row r="912">
      <c r="A912" s="5" t="s">
        <v>3195</v>
      </c>
      <c r="B912" s="6">
        <v>4.0</v>
      </c>
      <c r="C912" s="7">
        <v>156.0</v>
      </c>
      <c r="D912" s="6" t="s">
        <v>3245</v>
      </c>
      <c r="E912" s="8">
        <v>3.0</v>
      </c>
      <c r="F912" s="10" t="s">
        <v>908</v>
      </c>
    </row>
    <row r="913">
      <c r="A913" s="5" t="s">
        <v>3202</v>
      </c>
      <c r="B913" s="6">
        <v>4.0</v>
      </c>
      <c r="C913" s="7">
        <v>10.0</v>
      </c>
      <c r="D913" s="6" t="s">
        <v>3249</v>
      </c>
      <c r="E913" s="8">
        <v>3.0</v>
      </c>
      <c r="F913" s="10" t="s">
        <v>909</v>
      </c>
    </row>
    <row r="914">
      <c r="A914" s="5" t="s">
        <v>3264</v>
      </c>
      <c r="B914" s="6">
        <v>4.0</v>
      </c>
      <c r="C914" s="7">
        <v>92.0</v>
      </c>
      <c r="D914" s="6" t="s">
        <v>3215</v>
      </c>
      <c r="E914" s="8">
        <v>3.0</v>
      </c>
      <c r="F914" s="10" t="s">
        <v>910</v>
      </c>
    </row>
    <row r="915">
      <c r="A915" s="5" t="s">
        <v>3175</v>
      </c>
      <c r="B915" s="6">
        <v>5.0</v>
      </c>
      <c r="C915" s="7">
        <v>52.0</v>
      </c>
      <c r="D915" s="6" t="s">
        <v>3194</v>
      </c>
      <c r="E915" s="8">
        <v>3.0</v>
      </c>
      <c r="F915" s="10" t="s">
        <v>911</v>
      </c>
    </row>
    <row r="916">
      <c r="A916" s="5" t="s">
        <v>3242</v>
      </c>
      <c r="B916" s="6">
        <v>1.0</v>
      </c>
      <c r="C916" s="7">
        <v>97.0</v>
      </c>
      <c r="D916" s="6" t="s">
        <v>3194</v>
      </c>
      <c r="E916" s="8">
        <v>3.0</v>
      </c>
      <c r="F916" s="10" t="s">
        <v>912</v>
      </c>
    </row>
    <row r="917">
      <c r="A917" s="5" t="s">
        <v>3213</v>
      </c>
      <c r="B917" s="6">
        <v>2.0</v>
      </c>
      <c r="C917" s="7">
        <v>99.0</v>
      </c>
      <c r="D917" s="6" t="s">
        <v>3200</v>
      </c>
      <c r="E917" s="8">
        <v>3.0</v>
      </c>
      <c r="F917" s="10" t="s">
        <v>913</v>
      </c>
    </row>
    <row r="918">
      <c r="A918" s="5" t="s">
        <v>3261</v>
      </c>
      <c r="B918" s="6">
        <v>4.0</v>
      </c>
      <c r="C918" s="7">
        <v>100.0</v>
      </c>
      <c r="D918" s="6" t="s">
        <v>3196</v>
      </c>
      <c r="E918" s="8">
        <v>3.0</v>
      </c>
      <c r="F918" s="10" t="s">
        <v>914</v>
      </c>
    </row>
    <row r="919">
      <c r="A919" s="5" t="s">
        <v>3177</v>
      </c>
      <c r="B919" s="6">
        <v>5.0</v>
      </c>
      <c r="C919" s="7">
        <v>141.0</v>
      </c>
      <c r="D919" s="6" t="s">
        <v>3171</v>
      </c>
      <c r="E919" s="8">
        <v>3.0</v>
      </c>
      <c r="F919" s="10" t="s">
        <v>549</v>
      </c>
    </row>
    <row r="920">
      <c r="A920" s="5" t="s">
        <v>3268</v>
      </c>
      <c r="B920" s="6">
        <v>1.0</v>
      </c>
      <c r="C920" s="7">
        <v>83.0</v>
      </c>
      <c r="D920" s="6" t="s">
        <v>3203</v>
      </c>
      <c r="E920" s="8">
        <v>2.0</v>
      </c>
      <c r="F920" s="10" t="s">
        <v>915</v>
      </c>
    </row>
    <row r="921">
      <c r="A921" s="5" t="s">
        <v>3170</v>
      </c>
      <c r="B921" s="6">
        <v>1.0</v>
      </c>
      <c r="C921" s="7">
        <v>65.0</v>
      </c>
      <c r="D921" s="6" t="s">
        <v>3221</v>
      </c>
      <c r="E921" s="8">
        <v>2.0</v>
      </c>
      <c r="F921" s="10" t="s">
        <v>916</v>
      </c>
    </row>
    <row r="922">
      <c r="A922" s="5" t="s">
        <v>3237</v>
      </c>
      <c r="B922" s="6">
        <v>2.0</v>
      </c>
      <c r="C922" s="7">
        <v>74.0</v>
      </c>
      <c r="D922" s="6" t="s">
        <v>3190</v>
      </c>
      <c r="E922" s="8">
        <v>2.0</v>
      </c>
      <c r="F922" s="10" t="s">
        <v>917</v>
      </c>
    </row>
    <row r="923">
      <c r="A923" s="5" t="s">
        <v>3240</v>
      </c>
      <c r="B923" s="6">
        <v>2.0</v>
      </c>
      <c r="C923" s="7">
        <v>194.0</v>
      </c>
      <c r="D923" s="6" t="s">
        <v>3215</v>
      </c>
      <c r="E923" s="8">
        <v>2.0</v>
      </c>
      <c r="F923" s="10" t="s">
        <v>918</v>
      </c>
    </row>
    <row r="924">
      <c r="A924" s="5" t="s">
        <v>3179</v>
      </c>
      <c r="B924" s="6">
        <v>1.0</v>
      </c>
      <c r="C924" s="7">
        <v>158.0</v>
      </c>
      <c r="D924" s="6" t="s">
        <v>3235</v>
      </c>
      <c r="E924" s="8">
        <v>2.0</v>
      </c>
      <c r="F924" s="10" t="s">
        <v>919</v>
      </c>
    </row>
    <row r="925">
      <c r="A925" s="5" t="s">
        <v>3201</v>
      </c>
      <c r="B925" s="6">
        <v>5.0</v>
      </c>
      <c r="C925" s="7">
        <v>103.0</v>
      </c>
      <c r="D925" s="6" t="s">
        <v>3254</v>
      </c>
      <c r="E925" s="8">
        <v>2.0</v>
      </c>
      <c r="F925" s="10" t="s">
        <v>920</v>
      </c>
    </row>
    <row r="926">
      <c r="A926" s="5" t="s">
        <v>3205</v>
      </c>
      <c r="B926" s="6">
        <v>1.0</v>
      </c>
      <c r="C926" s="7">
        <v>111.0</v>
      </c>
      <c r="D926" s="6" t="s">
        <v>3235</v>
      </c>
      <c r="E926" s="8">
        <v>2.0</v>
      </c>
      <c r="F926" s="10" t="s">
        <v>921</v>
      </c>
    </row>
    <row r="927">
      <c r="A927" s="5" t="s">
        <v>3230</v>
      </c>
      <c r="B927" s="6">
        <v>1.0</v>
      </c>
      <c r="C927" s="7">
        <v>169.0</v>
      </c>
      <c r="D927" s="6" t="s">
        <v>3200</v>
      </c>
      <c r="E927" s="8">
        <v>2.0</v>
      </c>
      <c r="F927" s="10" t="s">
        <v>922</v>
      </c>
    </row>
    <row r="928">
      <c r="A928" s="5" t="s">
        <v>3266</v>
      </c>
      <c r="B928" s="6">
        <v>3.0</v>
      </c>
      <c r="C928" s="7">
        <v>158.0</v>
      </c>
      <c r="D928" s="6" t="s">
        <v>3235</v>
      </c>
      <c r="E928" s="8">
        <v>1.0</v>
      </c>
      <c r="F928" s="10" t="s">
        <v>923</v>
      </c>
    </row>
    <row r="929">
      <c r="A929" s="5" t="s">
        <v>3187</v>
      </c>
      <c r="B929" s="6">
        <v>4.0</v>
      </c>
      <c r="C929" s="7">
        <v>176.0</v>
      </c>
      <c r="D929" s="6" t="s">
        <v>3232</v>
      </c>
      <c r="E929" s="8">
        <v>1.0</v>
      </c>
      <c r="F929" s="10" t="s">
        <v>924</v>
      </c>
    </row>
    <row r="930">
      <c r="A930" s="5" t="s">
        <v>3177</v>
      </c>
      <c r="B930" s="6">
        <v>5.0</v>
      </c>
      <c r="C930" s="7">
        <v>190.0</v>
      </c>
      <c r="D930" s="6" t="s">
        <v>3186</v>
      </c>
      <c r="E930" s="8">
        <v>1.0</v>
      </c>
      <c r="F930" s="10" t="s">
        <v>925</v>
      </c>
    </row>
    <row r="931">
      <c r="A931" s="5" t="s">
        <v>3236</v>
      </c>
      <c r="B931" s="6">
        <v>6.0</v>
      </c>
      <c r="C931" s="7">
        <v>98.0</v>
      </c>
      <c r="D931" s="6" t="s">
        <v>3211</v>
      </c>
      <c r="E931" s="8">
        <v>1.0</v>
      </c>
      <c r="F931" s="10" t="s">
        <v>926</v>
      </c>
    </row>
    <row r="932">
      <c r="A932" s="5" t="s">
        <v>3236</v>
      </c>
      <c r="B932" s="6">
        <v>6.0</v>
      </c>
      <c r="C932" s="7">
        <v>141.0</v>
      </c>
      <c r="D932" s="6" t="s">
        <v>3171</v>
      </c>
      <c r="E932" s="8">
        <v>1.0</v>
      </c>
      <c r="F932" s="10" t="s">
        <v>927</v>
      </c>
    </row>
    <row r="933">
      <c r="A933" s="5" t="s">
        <v>3175</v>
      </c>
      <c r="B933" s="6">
        <v>5.0</v>
      </c>
      <c r="C933" s="7">
        <v>6.0</v>
      </c>
      <c r="D933" s="6" t="s">
        <v>3180</v>
      </c>
      <c r="E933" s="8">
        <v>1.0</v>
      </c>
      <c r="F933" s="10" t="s">
        <v>928</v>
      </c>
    </row>
    <row r="934">
      <c r="A934" s="5" t="s">
        <v>3210</v>
      </c>
      <c r="B934" s="6">
        <v>1.0</v>
      </c>
      <c r="C934" s="7">
        <v>75.0</v>
      </c>
      <c r="D934" s="6" t="s">
        <v>3257</v>
      </c>
      <c r="E934" s="8">
        <v>1.0</v>
      </c>
      <c r="F934" s="10" t="s">
        <v>929</v>
      </c>
    </row>
    <row r="935">
      <c r="A935" s="5" t="s">
        <v>3255</v>
      </c>
      <c r="B935" s="6">
        <v>6.0</v>
      </c>
      <c r="C935" s="7">
        <v>28.0</v>
      </c>
      <c r="D935" s="6" t="s">
        <v>3188</v>
      </c>
      <c r="E935" s="8">
        <v>1.0</v>
      </c>
      <c r="F935" s="10" t="s">
        <v>930</v>
      </c>
    </row>
    <row r="936">
      <c r="A936" s="5" t="s">
        <v>3236</v>
      </c>
      <c r="B936" s="6">
        <v>6.0</v>
      </c>
      <c r="C936" s="7">
        <v>30.0</v>
      </c>
      <c r="D936" s="6" t="s">
        <v>3171</v>
      </c>
      <c r="E936" s="8">
        <v>1.0</v>
      </c>
      <c r="F936" s="10" t="s">
        <v>931</v>
      </c>
    </row>
    <row r="937">
      <c r="A937" s="5" t="s">
        <v>3168</v>
      </c>
      <c r="B937" s="6">
        <v>1.0</v>
      </c>
      <c r="C937" s="7">
        <v>73.0</v>
      </c>
      <c r="D937" s="6" t="s">
        <v>3173</v>
      </c>
      <c r="E937" s="8">
        <v>5.0</v>
      </c>
      <c r="F937" s="10" t="s">
        <v>932</v>
      </c>
    </row>
    <row r="938">
      <c r="A938" s="5" t="s">
        <v>3216</v>
      </c>
      <c r="B938" s="6">
        <v>6.0</v>
      </c>
      <c r="C938" s="7">
        <v>172.0</v>
      </c>
      <c r="D938" s="6" t="s">
        <v>3178</v>
      </c>
      <c r="E938" s="8">
        <v>5.0</v>
      </c>
      <c r="F938" s="10" t="s">
        <v>933</v>
      </c>
    </row>
    <row r="939">
      <c r="A939" s="5" t="s">
        <v>3243</v>
      </c>
      <c r="B939" s="6">
        <v>4.0</v>
      </c>
      <c r="C939" s="7">
        <v>12.0</v>
      </c>
      <c r="D939" s="6" t="s">
        <v>3225</v>
      </c>
      <c r="E939" s="8">
        <v>5.0</v>
      </c>
      <c r="F939" s="10" t="s">
        <v>934</v>
      </c>
    </row>
    <row r="940">
      <c r="A940" s="5" t="s">
        <v>3259</v>
      </c>
      <c r="B940" s="6">
        <v>6.0</v>
      </c>
      <c r="C940" s="7">
        <v>174.0</v>
      </c>
      <c r="D940" s="6" t="s">
        <v>3188</v>
      </c>
      <c r="E940" s="8">
        <v>5.0</v>
      </c>
      <c r="F940" s="10" t="s">
        <v>935</v>
      </c>
    </row>
    <row r="941">
      <c r="A941" s="5" t="s">
        <v>3247</v>
      </c>
      <c r="B941" s="6">
        <v>6.0</v>
      </c>
      <c r="C941" s="7">
        <v>174.0</v>
      </c>
      <c r="D941" s="6" t="s">
        <v>3188</v>
      </c>
      <c r="E941" s="8">
        <v>5.0</v>
      </c>
      <c r="F941" s="10" t="s">
        <v>936</v>
      </c>
    </row>
    <row r="942">
      <c r="A942" s="5" t="s">
        <v>3268</v>
      </c>
      <c r="B942" s="6">
        <v>1.0</v>
      </c>
      <c r="C942" s="7">
        <v>34.0</v>
      </c>
      <c r="D942" s="6" t="s">
        <v>3227</v>
      </c>
      <c r="E942" s="8">
        <v>5.0</v>
      </c>
      <c r="F942" s="10" t="s">
        <v>937</v>
      </c>
    </row>
    <row r="943">
      <c r="A943" s="5" t="s">
        <v>3244</v>
      </c>
      <c r="B943" s="6">
        <v>1.0</v>
      </c>
      <c r="C943" s="7">
        <v>54.0</v>
      </c>
      <c r="D943" s="6" t="s">
        <v>3215</v>
      </c>
      <c r="E943" s="12">
        <v>5.0</v>
      </c>
      <c r="F943" s="14" t="s">
        <v>938</v>
      </c>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row>
    <row r="944">
      <c r="A944" s="5" t="s">
        <v>3253</v>
      </c>
      <c r="B944" s="6">
        <v>1.0</v>
      </c>
      <c r="C944" s="7">
        <v>67.0</v>
      </c>
      <c r="D944" s="6" t="s">
        <v>3186</v>
      </c>
      <c r="E944" s="16">
        <v>5.0</v>
      </c>
      <c r="F944" s="18" t="s">
        <v>939</v>
      </c>
    </row>
    <row r="945">
      <c r="A945" s="5" t="s">
        <v>3250</v>
      </c>
      <c r="B945" s="6">
        <v>4.0</v>
      </c>
      <c r="C945" s="7">
        <v>101.0</v>
      </c>
      <c r="D945" s="6" t="s">
        <v>3238</v>
      </c>
      <c r="E945" s="16">
        <v>5.0</v>
      </c>
      <c r="F945" s="18" t="s">
        <v>940</v>
      </c>
    </row>
    <row r="946">
      <c r="A946" s="5" t="s">
        <v>3253</v>
      </c>
      <c r="B946" s="6">
        <v>1.0</v>
      </c>
      <c r="C946" s="7">
        <v>24.0</v>
      </c>
      <c r="D946" s="6" t="s">
        <v>3194</v>
      </c>
      <c r="E946" s="16">
        <v>5.0</v>
      </c>
      <c r="F946" s="18" t="s">
        <v>941</v>
      </c>
    </row>
    <row r="947">
      <c r="A947" s="5" t="s">
        <v>3213</v>
      </c>
      <c r="B947" s="6">
        <v>2.0</v>
      </c>
      <c r="C947" s="7">
        <v>104.0</v>
      </c>
      <c r="D947" s="6" t="s">
        <v>3257</v>
      </c>
      <c r="E947" s="16">
        <v>5.0</v>
      </c>
      <c r="F947" s="18" t="s">
        <v>942</v>
      </c>
    </row>
    <row r="948">
      <c r="A948" s="5" t="s">
        <v>3247</v>
      </c>
      <c r="B948" s="6">
        <v>6.0</v>
      </c>
      <c r="C948" s="7">
        <v>153.0</v>
      </c>
      <c r="D948" s="6" t="s">
        <v>3180</v>
      </c>
      <c r="E948" s="16">
        <v>5.0</v>
      </c>
      <c r="F948" s="18" t="s">
        <v>943</v>
      </c>
    </row>
    <row r="949">
      <c r="A949" s="5" t="s">
        <v>3195</v>
      </c>
      <c r="B949" s="6">
        <v>4.0</v>
      </c>
      <c r="C949" s="7">
        <v>27.0</v>
      </c>
      <c r="D949" s="6" t="s">
        <v>3182</v>
      </c>
      <c r="E949" s="16">
        <v>5.0</v>
      </c>
      <c r="F949" s="18" t="s">
        <v>944</v>
      </c>
    </row>
    <row r="950">
      <c r="A950" s="5" t="s">
        <v>3226</v>
      </c>
      <c r="B950" s="6">
        <v>1.0</v>
      </c>
      <c r="C950" s="7">
        <v>120.0</v>
      </c>
      <c r="D950" s="6" t="s">
        <v>3171</v>
      </c>
      <c r="E950" s="16">
        <v>5.0</v>
      </c>
      <c r="F950" s="18" t="s">
        <v>945</v>
      </c>
    </row>
    <row r="951">
      <c r="A951" s="5" t="s">
        <v>3267</v>
      </c>
      <c r="B951" s="6">
        <v>3.0</v>
      </c>
      <c r="C951" s="7">
        <v>13.0</v>
      </c>
      <c r="D951" s="6" t="s">
        <v>3245</v>
      </c>
      <c r="E951" s="16">
        <v>4.0</v>
      </c>
      <c r="F951" s="18" t="s">
        <v>946</v>
      </c>
    </row>
    <row r="952">
      <c r="A952" s="5" t="s">
        <v>3213</v>
      </c>
      <c r="B952" s="6">
        <v>2.0</v>
      </c>
      <c r="C952" s="7">
        <v>61.0</v>
      </c>
      <c r="D952" s="6" t="s">
        <v>3249</v>
      </c>
      <c r="E952" s="16">
        <v>4.0</v>
      </c>
      <c r="F952" s="18" t="s">
        <v>947</v>
      </c>
    </row>
    <row r="953">
      <c r="A953" s="5" t="s">
        <v>3199</v>
      </c>
      <c r="B953" s="6">
        <v>3.0</v>
      </c>
      <c r="C953" s="7">
        <v>15.0</v>
      </c>
      <c r="D953" s="6" t="s">
        <v>3254</v>
      </c>
      <c r="E953" s="16">
        <v>4.0</v>
      </c>
      <c r="F953" s="18" t="s">
        <v>948</v>
      </c>
    </row>
    <row r="954">
      <c r="A954" s="5" t="s">
        <v>3204</v>
      </c>
      <c r="B954" s="6">
        <v>1.0</v>
      </c>
      <c r="C954" s="7">
        <v>10.0</v>
      </c>
      <c r="D954" s="6" t="s">
        <v>3249</v>
      </c>
      <c r="E954" s="16">
        <v>4.0</v>
      </c>
      <c r="F954" s="18" t="s">
        <v>949</v>
      </c>
    </row>
    <row r="955">
      <c r="A955" s="5" t="s">
        <v>3251</v>
      </c>
      <c r="B955" s="6">
        <v>6.0</v>
      </c>
      <c r="C955" s="7">
        <v>146.0</v>
      </c>
      <c r="D955" s="6" t="s">
        <v>3200</v>
      </c>
      <c r="E955" s="16">
        <v>3.0</v>
      </c>
      <c r="F955" s="18" t="s">
        <v>950</v>
      </c>
    </row>
    <row r="956">
      <c r="A956" s="5" t="s">
        <v>3199</v>
      </c>
      <c r="B956" s="6">
        <v>3.0</v>
      </c>
      <c r="C956" s="7">
        <v>24.0</v>
      </c>
      <c r="D956" s="6" t="s">
        <v>3194</v>
      </c>
      <c r="E956" s="16">
        <v>3.0</v>
      </c>
      <c r="F956" s="18" t="s">
        <v>951</v>
      </c>
    </row>
    <row r="957">
      <c r="A957" s="5" t="s">
        <v>3212</v>
      </c>
      <c r="B957" s="6">
        <v>6.0</v>
      </c>
      <c r="C957" s="7">
        <v>105.0</v>
      </c>
      <c r="D957" s="6" t="s">
        <v>3167</v>
      </c>
      <c r="E957" s="16">
        <v>3.0</v>
      </c>
      <c r="F957" s="18" t="s">
        <v>952</v>
      </c>
    </row>
    <row r="958">
      <c r="A958" s="5" t="s">
        <v>3242</v>
      </c>
      <c r="B958" s="6">
        <v>1.0</v>
      </c>
      <c r="C958" s="7">
        <v>174.0</v>
      </c>
      <c r="D958" s="6" t="s">
        <v>3188</v>
      </c>
      <c r="E958" s="16">
        <v>3.0</v>
      </c>
      <c r="F958" s="18" t="s">
        <v>953</v>
      </c>
    </row>
    <row r="959">
      <c r="A959" s="5" t="s">
        <v>3212</v>
      </c>
      <c r="B959" s="6">
        <v>6.0</v>
      </c>
      <c r="C959" s="7">
        <v>180.0</v>
      </c>
      <c r="D959" s="6" t="s">
        <v>3192</v>
      </c>
      <c r="E959" s="16">
        <v>3.0</v>
      </c>
      <c r="F959" s="18" t="s">
        <v>954</v>
      </c>
    </row>
    <row r="960">
      <c r="A960" s="5" t="s">
        <v>3174</v>
      </c>
      <c r="B960" s="6">
        <v>1.0</v>
      </c>
      <c r="C960" s="7">
        <v>169.0</v>
      </c>
      <c r="D960" s="6" t="s">
        <v>3200</v>
      </c>
      <c r="E960" s="16">
        <v>3.0</v>
      </c>
      <c r="F960" s="18" t="s">
        <v>955</v>
      </c>
    </row>
    <row r="961">
      <c r="A961" s="5" t="s">
        <v>3236</v>
      </c>
      <c r="B961" s="6">
        <v>6.0</v>
      </c>
      <c r="C961" s="7">
        <v>71.0</v>
      </c>
      <c r="D961" s="6" t="s">
        <v>3176</v>
      </c>
      <c r="E961" s="16">
        <v>3.0</v>
      </c>
      <c r="F961" s="18" t="s">
        <v>956</v>
      </c>
    </row>
    <row r="962">
      <c r="A962" s="5" t="s">
        <v>3185</v>
      </c>
      <c r="B962" s="6">
        <v>1.0</v>
      </c>
      <c r="C962" s="7">
        <v>161.0</v>
      </c>
      <c r="D962" s="6" t="s">
        <v>3192</v>
      </c>
      <c r="E962" s="16">
        <v>3.0</v>
      </c>
      <c r="F962" s="18" t="s">
        <v>957</v>
      </c>
    </row>
    <row r="963">
      <c r="A963" s="5" t="s">
        <v>3193</v>
      </c>
      <c r="B963" s="6">
        <v>5.0</v>
      </c>
      <c r="C963" s="7">
        <v>38.0</v>
      </c>
      <c r="D963" s="6" t="s">
        <v>3169</v>
      </c>
      <c r="E963" s="16">
        <v>3.0</v>
      </c>
      <c r="F963" s="18" t="s">
        <v>549</v>
      </c>
    </row>
    <row r="964">
      <c r="A964" s="5" t="s">
        <v>3251</v>
      </c>
      <c r="B964" s="6">
        <v>6.0</v>
      </c>
      <c r="C964" s="7">
        <v>69.0</v>
      </c>
      <c r="D964" s="6" t="s">
        <v>3203</v>
      </c>
      <c r="E964" s="16">
        <v>2.0</v>
      </c>
      <c r="F964" s="18" t="s">
        <v>958</v>
      </c>
    </row>
    <row r="965">
      <c r="A965" s="5" t="s">
        <v>3252</v>
      </c>
      <c r="B965" s="6">
        <v>6.0</v>
      </c>
      <c r="C965" s="7">
        <v>4.0</v>
      </c>
      <c r="D965" s="6" t="s">
        <v>3196</v>
      </c>
      <c r="E965" s="16">
        <v>2.0</v>
      </c>
      <c r="F965" s="18" t="s">
        <v>959</v>
      </c>
    </row>
    <row r="966">
      <c r="A966" s="5" t="s">
        <v>3212</v>
      </c>
      <c r="B966" s="6">
        <v>6.0</v>
      </c>
      <c r="C966" s="7">
        <v>103.0</v>
      </c>
      <c r="D966" s="6" t="s">
        <v>3254</v>
      </c>
      <c r="E966" s="16">
        <v>2.0</v>
      </c>
      <c r="F966" s="18" t="s">
        <v>960</v>
      </c>
    </row>
    <row r="967">
      <c r="A967" s="5" t="s">
        <v>3231</v>
      </c>
      <c r="B967" s="6">
        <v>4.0</v>
      </c>
      <c r="C967" s="7">
        <v>117.0</v>
      </c>
      <c r="D967" s="6" t="s">
        <v>3225</v>
      </c>
      <c r="E967" s="16">
        <v>2.0</v>
      </c>
      <c r="F967" s="18" t="s">
        <v>961</v>
      </c>
    </row>
    <row r="968">
      <c r="A968" s="5" t="s">
        <v>3166</v>
      </c>
      <c r="B968" s="6">
        <v>6.0</v>
      </c>
      <c r="C968" s="7">
        <v>30.0</v>
      </c>
      <c r="D968" s="6" t="s">
        <v>3171</v>
      </c>
      <c r="E968" s="16">
        <v>2.0</v>
      </c>
      <c r="F968" s="18" t="s">
        <v>962</v>
      </c>
    </row>
    <row r="969">
      <c r="A969" s="5" t="s">
        <v>3168</v>
      </c>
      <c r="B969" s="6">
        <v>1.0</v>
      </c>
      <c r="C969" s="7">
        <v>91.0</v>
      </c>
      <c r="D969" s="6" t="s">
        <v>3178</v>
      </c>
      <c r="E969" s="16">
        <v>2.0</v>
      </c>
      <c r="F969" s="18" t="s">
        <v>963</v>
      </c>
    </row>
    <row r="970">
      <c r="A970" s="5" t="s">
        <v>3250</v>
      </c>
      <c r="B970" s="6">
        <v>4.0</v>
      </c>
      <c r="C970" s="7">
        <v>149.0</v>
      </c>
      <c r="D970" s="6" t="s">
        <v>3239</v>
      </c>
      <c r="E970" s="16">
        <v>2.0</v>
      </c>
      <c r="F970" s="18" t="s">
        <v>964</v>
      </c>
    </row>
    <row r="971">
      <c r="A971" s="5" t="s">
        <v>3199</v>
      </c>
      <c r="B971" s="6">
        <v>3.0</v>
      </c>
      <c r="C971" s="7">
        <v>24.0</v>
      </c>
      <c r="D971" s="6" t="s">
        <v>3194</v>
      </c>
      <c r="E971" s="16">
        <v>2.0</v>
      </c>
      <c r="F971" s="18" t="s">
        <v>965</v>
      </c>
    </row>
    <row r="972">
      <c r="A972" s="5" t="s">
        <v>3229</v>
      </c>
      <c r="B972" s="6">
        <v>4.0</v>
      </c>
      <c r="C972" s="7">
        <v>151.0</v>
      </c>
      <c r="D972" s="6" t="s">
        <v>3232</v>
      </c>
      <c r="E972" s="16">
        <v>2.0</v>
      </c>
      <c r="F972" s="18" t="s">
        <v>966</v>
      </c>
    </row>
    <row r="973">
      <c r="A973" s="5" t="s">
        <v>3181</v>
      </c>
      <c r="B973" s="6">
        <v>1.0</v>
      </c>
      <c r="C973" s="7">
        <v>92.0</v>
      </c>
      <c r="D973" s="6" t="s">
        <v>3215</v>
      </c>
      <c r="E973" s="16">
        <v>2.0</v>
      </c>
      <c r="F973" s="18" t="s">
        <v>967</v>
      </c>
    </row>
    <row r="974">
      <c r="A974" s="5" t="s">
        <v>3264</v>
      </c>
      <c r="B974" s="6">
        <v>4.0</v>
      </c>
      <c r="C974" s="7">
        <v>44.0</v>
      </c>
      <c r="D974" s="6" t="s">
        <v>3239</v>
      </c>
      <c r="E974" s="16">
        <v>1.0</v>
      </c>
      <c r="F974" s="18" t="s">
        <v>968</v>
      </c>
    </row>
    <row r="975">
      <c r="A975" s="5" t="s">
        <v>3199</v>
      </c>
      <c r="B975" s="6">
        <v>3.0</v>
      </c>
      <c r="C975" s="7">
        <v>62.0</v>
      </c>
      <c r="D975" s="6" t="s">
        <v>3200</v>
      </c>
      <c r="E975" s="16">
        <v>1.0</v>
      </c>
      <c r="F975" s="18" t="s">
        <v>969</v>
      </c>
    </row>
    <row r="976">
      <c r="A976" s="5" t="s">
        <v>3259</v>
      </c>
      <c r="B976" s="6">
        <v>6.0</v>
      </c>
      <c r="C976" s="7">
        <v>41.0</v>
      </c>
      <c r="D976" s="6" t="s">
        <v>3238</v>
      </c>
      <c r="E976" s="16">
        <v>1.0</v>
      </c>
      <c r="F976" s="18" t="s">
        <v>970</v>
      </c>
    </row>
    <row r="977">
      <c r="A977" s="5" t="s">
        <v>3255</v>
      </c>
      <c r="B977" s="6">
        <v>6.0</v>
      </c>
      <c r="C977" s="7">
        <v>199.0</v>
      </c>
      <c r="D977" s="6" t="s">
        <v>3169</v>
      </c>
      <c r="E977" s="16">
        <v>1.0</v>
      </c>
      <c r="F977" s="18" t="s">
        <v>971</v>
      </c>
    </row>
    <row r="978">
      <c r="A978" s="5" t="s">
        <v>3181</v>
      </c>
      <c r="B978" s="6">
        <v>1.0</v>
      </c>
      <c r="C978" s="7">
        <v>21.0</v>
      </c>
      <c r="D978" s="6" t="s">
        <v>3200</v>
      </c>
      <c r="E978" s="16">
        <v>1.0</v>
      </c>
      <c r="F978" s="18" t="s">
        <v>972</v>
      </c>
    </row>
    <row r="979">
      <c r="A979" s="5" t="s">
        <v>3209</v>
      </c>
      <c r="B979" s="6">
        <v>4.0</v>
      </c>
      <c r="C979" s="7">
        <v>141.0</v>
      </c>
      <c r="D979" s="6" t="s">
        <v>3171</v>
      </c>
      <c r="E979" s="16">
        <v>1.0</v>
      </c>
      <c r="F979" s="18" t="s">
        <v>973</v>
      </c>
    </row>
    <row r="980">
      <c r="A980" s="5" t="s">
        <v>3172</v>
      </c>
      <c r="B980" s="6">
        <v>1.0</v>
      </c>
      <c r="C980" s="7">
        <v>123.0</v>
      </c>
      <c r="D980" s="6" t="s">
        <v>3192</v>
      </c>
      <c r="E980" s="16">
        <v>1.0</v>
      </c>
      <c r="F980" s="18" t="s">
        <v>974</v>
      </c>
    </row>
    <row r="981">
      <c r="A981" s="5" t="s">
        <v>3226</v>
      </c>
      <c r="B981" s="6">
        <v>1.0</v>
      </c>
      <c r="C981" s="7">
        <v>115.0</v>
      </c>
      <c r="D981" s="6" t="s">
        <v>3173</v>
      </c>
      <c r="E981" s="16">
        <v>1.0</v>
      </c>
      <c r="F981" s="18" t="s">
        <v>975</v>
      </c>
    </row>
    <row r="982">
      <c r="A982" s="5" t="s">
        <v>3242</v>
      </c>
      <c r="B982" s="6">
        <v>1.0</v>
      </c>
      <c r="C982" s="7">
        <v>52.0</v>
      </c>
      <c r="D982" s="6" t="s">
        <v>3194</v>
      </c>
      <c r="E982" s="16">
        <v>1.0</v>
      </c>
      <c r="F982" s="18" t="s">
        <v>976</v>
      </c>
    </row>
    <row r="983">
      <c r="A983" s="5" t="s">
        <v>3202</v>
      </c>
      <c r="B983" s="6">
        <v>4.0</v>
      </c>
      <c r="C983" s="7">
        <v>81.0</v>
      </c>
      <c r="D983" s="6" t="s">
        <v>3169</v>
      </c>
      <c r="E983" s="16">
        <v>1.0</v>
      </c>
      <c r="F983" s="18" t="s">
        <v>977</v>
      </c>
    </row>
    <row r="984">
      <c r="A984" s="5" t="s">
        <v>3201</v>
      </c>
      <c r="B984" s="6">
        <v>5.0</v>
      </c>
      <c r="C984" s="7">
        <v>17.0</v>
      </c>
      <c r="D984" s="6" t="s">
        <v>3241</v>
      </c>
      <c r="E984" s="16">
        <v>1.0</v>
      </c>
      <c r="F984" s="18" t="s">
        <v>978</v>
      </c>
    </row>
    <row r="985">
      <c r="A985" s="5" t="s">
        <v>3197</v>
      </c>
      <c r="B985" s="6">
        <v>1.0</v>
      </c>
      <c r="C985" s="7">
        <v>5.0</v>
      </c>
      <c r="D985" s="6" t="s">
        <v>3207</v>
      </c>
      <c r="E985" s="16">
        <v>5.0</v>
      </c>
      <c r="F985" s="18" t="s">
        <v>979</v>
      </c>
    </row>
    <row r="986">
      <c r="A986" s="5" t="s">
        <v>3224</v>
      </c>
      <c r="B986" s="6">
        <v>6.0</v>
      </c>
      <c r="C986" s="7">
        <v>135.0</v>
      </c>
      <c r="D986" s="6" t="s">
        <v>3207</v>
      </c>
      <c r="E986" s="16">
        <v>5.0</v>
      </c>
      <c r="F986" s="18" t="s">
        <v>980</v>
      </c>
    </row>
    <row r="987">
      <c r="A987" s="5" t="s">
        <v>3223</v>
      </c>
      <c r="B987" s="6">
        <v>3.0</v>
      </c>
      <c r="C987" s="7">
        <v>70.0</v>
      </c>
      <c r="D987" s="6" t="s">
        <v>3222</v>
      </c>
      <c r="E987" s="16">
        <v>5.0</v>
      </c>
      <c r="F987" s="18" t="s">
        <v>981</v>
      </c>
    </row>
    <row r="988">
      <c r="A988" s="5" t="s">
        <v>3195</v>
      </c>
      <c r="B988" s="6">
        <v>4.0</v>
      </c>
      <c r="C988" s="7">
        <v>67.0</v>
      </c>
      <c r="D988" s="6" t="s">
        <v>3186</v>
      </c>
      <c r="E988" s="16">
        <v>5.0</v>
      </c>
      <c r="F988" s="18" t="s">
        <v>982</v>
      </c>
    </row>
    <row r="989">
      <c r="A989" s="5" t="s">
        <v>3258</v>
      </c>
      <c r="B989" s="6">
        <v>6.0</v>
      </c>
      <c r="C989" s="7">
        <v>109.0</v>
      </c>
      <c r="D989" s="6" t="s">
        <v>3249</v>
      </c>
      <c r="E989" s="16">
        <v>5.0</v>
      </c>
      <c r="F989" s="18" t="s">
        <v>983</v>
      </c>
    </row>
    <row r="990">
      <c r="A990" s="5" t="s">
        <v>3228</v>
      </c>
      <c r="B990" s="6">
        <v>6.0</v>
      </c>
      <c r="C990" s="7">
        <v>89.0</v>
      </c>
      <c r="D990" s="6" t="s">
        <v>3262</v>
      </c>
      <c r="E990" s="16">
        <v>5.0</v>
      </c>
      <c r="F990" s="18" t="s">
        <v>984</v>
      </c>
    </row>
    <row r="991">
      <c r="A991" s="5" t="s">
        <v>3228</v>
      </c>
      <c r="B991" s="6">
        <v>6.0</v>
      </c>
      <c r="C991" s="7">
        <v>178.0</v>
      </c>
      <c r="D991" s="6" t="s">
        <v>3190</v>
      </c>
      <c r="E991" s="16">
        <v>5.0</v>
      </c>
      <c r="F991" s="18" t="s">
        <v>985</v>
      </c>
    </row>
    <row r="992">
      <c r="A992" s="5" t="s">
        <v>3195</v>
      </c>
      <c r="B992" s="6">
        <v>4.0</v>
      </c>
      <c r="C992" s="7">
        <v>130.0</v>
      </c>
      <c r="D992" s="6" t="s">
        <v>3232</v>
      </c>
      <c r="E992" s="16">
        <v>5.0</v>
      </c>
      <c r="F992" s="18" t="s">
        <v>986</v>
      </c>
    </row>
    <row r="993">
      <c r="A993" s="5" t="s">
        <v>3187</v>
      </c>
      <c r="B993" s="6">
        <v>4.0</v>
      </c>
      <c r="C993" s="7">
        <v>51.0</v>
      </c>
      <c r="D993" s="6" t="s">
        <v>3169</v>
      </c>
      <c r="E993" s="16">
        <v>5.0</v>
      </c>
      <c r="F993" s="18" t="s">
        <v>706</v>
      </c>
    </row>
    <row r="994">
      <c r="A994" s="5" t="s">
        <v>3252</v>
      </c>
      <c r="B994" s="6">
        <v>6.0</v>
      </c>
      <c r="C994" s="7">
        <v>100.0</v>
      </c>
      <c r="D994" s="6" t="s">
        <v>3196</v>
      </c>
      <c r="E994" s="16">
        <v>5.0</v>
      </c>
      <c r="F994" s="18" t="s">
        <v>987</v>
      </c>
    </row>
    <row r="995">
      <c r="A995" s="5" t="s">
        <v>3170</v>
      </c>
      <c r="B995" s="6">
        <v>1.0</v>
      </c>
      <c r="C995" s="7">
        <v>22.0</v>
      </c>
      <c r="D995" s="6" t="s">
        <v>3167</v>
      </c>
      <c r="E995" s="16">
        <v>5.0</v>
      </c>
      <c r="F995" s="18" t="s">
        <v>988</v>
      </c>
    </row>
    <row r="996">
      <c r="A996" s="5" t="s">
        <v>3208</v>
      </c>
      <c r="B996" s="6">
        <v>4.0</v>
      </c>
      <c r="C996" s="7">
        <v>57.0</v>
      </c>
      <c r="D996" s="6" t="s">
        <v>3239</v>
      </c>
      <c r="E996" s="16">
        <v>5.0</v>
      </c>
      <c r="F996" s="18" t="s">
        <v>989</v>
      </c>
    </row>
    <row r="997">
      <c r="A997" s="5" t="s">
        <v>3243</v>
      </c>
      <c r="B997" s="6">
        <v>4.0</v>
      </c>
      <c r="C997" s="7">
        <v>37.0</v>
      </c>
      <c r="D997" s="6" t="s">
        <v>3194</v>
      </c>
      <c r="E997" s="16">
        <v>5.0</v>
      </c>
      <c r="F997" s="18" t="s">
        <v>990</v>
      </c>
    </row>
    <row r="998">
      <c r="A998" s="5" t="s">
        <v>3234</v>
      </c>
      <c r="B998" s="6">
        <v>6.0</v>
      </c>
      <c r="C998" s="7">
        <v>122.0</v>
      </c>
      <c r="D998" s="6" t="s">
        <v>3232</v>
      </c>
      <c r="E998" s="16">
        <v>5.0</v>
      </c>
      <c r="F998" s="18" t="s">
        <v>991</v>
      </c>
    </row>
    <row r="999">
      <c r="A999" s="5" t="s">
        <v>3261</v>
      </c>
      <c r="B999" s="6">
        <v>4.0</v>
      </c>
      <c r="C999" s="7">
        <v>21.0</v>
      </c>
      <c r="D999" s="6" t="s">
        <v>3200</v>
      </c>
      <c r="E999" s="16">
        <v>5.0</v>
      </c>
      <c r="F999" s="18" t="s">
        <v>992</v>
      </c>
    </row>
    <row r="1000">
      <c r="A1000" s="5" t="s">
        <v>3205</v>
      </c>
      <c r="B1000" s="6">
        <v>1.0</v>
      </c>
      <c r="C1000" s="7">
        <v>39.0</v>
      </c>
      <c r="D1000" s="6" t="s">
        <v>3254</v>
      </c>
      <c r="E1000" s="16">
        <v>5.0</v>
      </c>
      <c r="F1000" s="18" t="s">
        <v>993</v>
      </c>
    </row>
    <row r="1001">
      <c r="A1001" s="5" t="s">
        <v>3265</v>
      </c>
      <c r="B1001" s="6">
        <v>1.0</v>
      </c>
      <c r="C1001" s="7">
        <v>164.0</v>
      </c>
      <c r="D1001" s="6" t="s">
        <v>3232</v>
      </c>
      <c r="E1001" s="16">
        <v>5.0</v>
      </c>
      <c r="F1001" s="18" t="s">
        <v>994</v>
      </c>
    </row>
    <row r="1002">
      <c r="A1002" s="5" t="s">
        <v>3261</v>
      </c>
      <c r="B1002" s="6">
        <v>4.0</v>
      </c>
      <c r="C1002" s="7">
        <v>156.0</v>
      </c>
      <c r="D1002" s="6" t="s">
        <v>3245</v>
      </c>
      <c r="E1002" s="16">
        <v>5.0</v>
      </c>
      <c r="F1002" s="18" t="s">
        <v>995</v>
      </c>
    </row>
    <row r="1003">
      <c r="A1003" s="5" t="s">
        <v>3205</v>
      </c>
      <c r="B1003" s="6">
        <v>1.0</v>
      </c>
      <c r="C1003" s="7">
        <v>121.0</v>
      </c>
      <c r="D1003" s="6" t="s">
        <v>3173</v>
      </c>
      <c r="E1003" s="16">
        <v>5.0</v>
      </c>
      <c r="F1003" s="18" t="s">
        <v>996</v>
      </c>
    </row>
    <row r="1004">
      <c r="A1004" s="5" t="s">
        <v>3174</v>
      </c>
      <c r="B1004" s="6">
        <v>1.0</v>
      </c>
      <c r="C1004" s="7">
        <v>13.0</v>
      </c>
      <c r="D1004" s="6" t="s">
        <v>3245</v>
      </c>
      <c r="E1004" s="16">
        <v>5.0</v>
      </c>
      <c r="F1004" s="18" t="s">
        <v>997</v>
      </c>
    </row>
    <row r="1005">
      <c r="A1005" s="5" t="s">
        <v>3201</v>
      </c>
      <c r="B1005" s="6">
        <v>5.0</v>
      </c>
      <c r="C1005" s="7">
        <v>49.0</v>
      </c>
      <c r="D1005" s="6" t="s">
        <v>3254</v>
      </c>
      <c r="E1005" s="16">
        <v>5.0</v>
      </c>
      <c r="F1005" s="18" t="s">
        <v>998</v>
      </c>
    </row>
    <row r="1006">
      <c r="A1006" s="5" t="s">
        <v>3216</v>
      </c>
      <c r="B1006" s="6">
        <v>6.0</v>
      </c>
      <c r="C1006" s="7">
        <v>5.0</v>
      </c>
      <c r="D1006" s="6" t="s">
        <v>3207</v>
      </c>
      <c r="E1006" s="16">
        <v>4.0</v>
      </c>
      <c r="F1006" s="18" t="s">
        <v>999</v>
      </c>
    </row>
    <row r="1007">
      <c r="A1007" s="5" t="s">
        <v>3265</v>
      </c>
      <c r="B1007" s="6">
        <v>1.0</v>
      </c>
      <c r="C1007" s="7">
        <v>171.0</v>
      </c>
      <c r="D1007" s="6" t="s">
        <v>3245</v>
      </c>
      <c r="E1007" s="16">
        <v>4.0</v>
      </c>
      <c r="F1007" s="18" t="s">
        <v>1000</v>
      </c>
    </row>
    <row r="1008">
      <c r="A1008" s="5" t="s">
        <v>3216</v>
      </c>
      <c r="B1008" s="6">
        <v>6.0</v>
      </c>
      <c r="C1008" s="7">
        <v>14.0</v>
      </c>
      <c r="D1008" s="6" t="s">
        <v>3196</v>
      </c>
      <c r="E1008" s="16">
        <v>3.0</v>
      </c>
      <c r="F1008" s="18" t="s">
        <v>1001</v>
      </c>
    </row>
    <row r="1009">
      <c r="A1009" s="5" t="s">
        <v>3266</v>
      </c>
      <c r="B1009" s="6">
        <v>3.0</v>
      </c>
      <c r="C1009" s="7">
        <v>49.0</v>
      </c>
      <c r="D1009" s="6" t="s">
        <v>3254</v>
      </c>
      <c r="E1009" s="16">
        <v>3.0</v>
      </c>
      <c r="F1009" s="18" t="s">
        <v>1002</v>
      </c>
    </row>
    <row r="1010">
      <c r="A1010" s="5" t="s">
        <v>3233</v>
      </c>
      <c r="B1010" s="6">
        <v>6.0</v>
      </c>
      <c r="C1010" s="7">
        <v>91.0</v>
      </c>
      <c r="D1010" s="6" t="s">
        <v>3178</v>
      </c>
      <c r="E1010" s="16">
        <v>3.0</v>
      </c>
      <c r="F1010" s="18" t="s">
        <v>1003</v>
      </c>
    </row>
    <row r="1011">
      <c r="A1011" s="5" t="s">
        <v>3240</v>
      </c>
      <c r="B1011" s="6">
        <v>2.0</v>
      </c>
      <c r="C1011" s="7">
        <v>29.0</v>
      </c>
      <c r="D1011" s="6" t="s">
        <v>3235</v>
      </c>
      <c r="E1011" s="16">
        <v>3.0</v>
      </c>
      <c r="F1011" s="18" t="s">
        <v>1004</v>
      </c>
    </row>
    <row r="1012">
      <c r="A1012" s="5" t="s">
        <v>3242</v>
      </c>
      <c r="B1012" s="6">
        <v>1.0</v>
      </c>
      <c r="C1012" s="7">
        <v>45.0</v>
      </c>
      <c r="D1012" s="6" t="s">
        <v>3241</v>
      </c>
      <c r="E1012" s="16">
        <v>3.0</v>
      </c>
      <c r="F1012" s="18" t="s">
        <v>914</v>
      </c>
    </row>
    <row r="1013">
      <c r="A1013" s="5" t="s">
        <v>3216</v>
      </c>
      <c r="B1013" s="6">
        <v>6.0</v>
      </c>
      <c r="C1013" s="7">
        <v>97.0</v>
      </c>
      <c r="D1013" s="6" t="s">
        <v>3194</v>
      </c>
      <c r="E1013" s="16">
        <v>3.0</v>
      </c>
      <c r="F1013" s="18" t="s">
        <v>1005</v>
      </c>
    </row>
    <row r="1014">
      <c r="A1014" s="5" t="s">
        <v>3261</v>
      </c>
      <c r="B1014" s="6">
        <v>4.0</v>
      </c>
      <c r="C1014" s="7">
        <v>73.0</v>
      </c>
      <c r="D1014" s="6" t="s">
        <v>3173</v>
      </c>
      <c r="E1014" s="16">
        <v>2.0</v>
      </c>
      <c r="F1014" s="18" t="s">
        <v>1006</v>
      </c>
    </row>
    <row r="1015">
      <c r="A1015" s="5" t="s">
        <v>3244</v>
      </c>
      <c r="B1015" s="6">
        <v>1.0</v>
      </c>
      <c r="C1015" s="7">
        <v>185.0</v>
      </c>
      <c r="D1015" s="6" t="s">
        <v>3173</v>
      </c>
      <c r="E1015" s="16">
        <v>2.0</v>
      </c>
      <c r="F1015" s="18" t="s">
        <v>1007</v>
      </c>
    </row>
    <row r="1016">
      <c r="A1016" s="5" t="s">
        <v>3204</v>
      </c>
      <c r="B1016" s="6">
        <v>1.0</v>
      </c>
      <c r="C1016" s="7">
        <v>74.0</v>
      </c>
      <c r="D1016" s="6" t="s">
        <v>3190</v>
      </c>
      <c r="E1016" s="16">
        <v>2.0</v>
      </c>
      <c r="F1016" s="18" t="s">
        <v>1008</v>
      </c>
    </row>
    <row r="1017">
      <c r="A1017" s="5" t="s">
        <v>3268</v>
      </c>
      <c r="B1017" s="6">
        <v>1.0</v>
      </c>
      <c r="C1017" s="7">
        <v>84.0</v>
      </c>
      <c r="D1017" s="6" t="s">
        <v>3203</v>
      </c>
      <c r="E1017" s="16">
        <v>2.0</v>
      </c>
      <c r="F1017" s="18" t="s">
        <v>1009</v>
      </c>
    </row>
    <row r="1018">
      <c r="A1018" s="5" t="s">
        <v>3195</v>
      </c>
      <c r="B1018" s="6">
        <v>4.0</v>
      </c>
      <c r="C1018" s="7">
        <v>46.0</v>
      </c>
      <c r="D1018" s="6" t="s">
        <v>3194</v>
      </c>
      <c r="E1018" s="16">
        <v>2.0</v>
      </c>
      <c r="F1018" s="18" t="s">
        <v>1010</v>
      </c>
    </row>
    <row r="1019">
      <c r="A1019" s="5" t="s">
        <v>3236</v>
      </c>
      <c r="B1019" s="6">
        <v>6.0</v>
      </c>
      <c r="C1019" s="7">
        <v>169.0</v>
      </c>
      <c r="D1019" s="6" t="s">
        <v>3200</v>
      </c>
      <c r="E1019" s="16">
        <v>2.0</v>
      </c>
      <c r="F1019" s="18" t="s">
        <v>1011</v>
      </c>
    </row>
    <row r="1020">
      <c r="A1020" s="5" t="s">
        <v>3243</v>
      </c>
      <c r="B1020" s="6">
        <v>4.0</v>
      </c>
      <c r="C1020" s="7">
        <v>158.0</v>
      </c>
      <c r="D1020" s="6" t="s">
        <v>3235</v>
      </c>
      <c r="E1020" s="16">
        <v>2.0</v>
      </c>
      <c r="F1020" s="18" t="s">
        <v>1012</v>
      </c>
    </row>
    <row r="1021">
      <c r="A1021" s="5" t="s">
        <v>3179</v>
      </c>
      <c r="B1021" s="6">
        <v>1.0</v>
      </c>
      <c r="C1021" s="7">
        <v>100.0</v>
      </c>
      <c r="D1021" s="6" t="s">
        <v>3196</v>
      </c>
      <c r="E1021" s="16">
        <v>2.0</v>
      </c>
      <c r="F1021" s="18" t="s">
        <v>1013</v>
      </c>
    </row>
    <row r="1022">
      <c r="A1022" s="5" t="s">
        <v>3244</v>
      </c>
      <c r="B1022" s="6">
        <v>1.0</v>
      </c>
      <c r="C1022" s="7">
        <v>2.0</v>
      </c>
      <c r="D1022" s="6" t="s">
        <v>3214</v>
      </c>
      <c r="E1022" s="16">
        <v>2.0</v>
      </c>
      <c r="F1022" s="18" t="s">
        <v>1014</v>
      </c>
    </row>
    <row r="1023">
      <c r="A1023" s="5" t="s">
        <v>3248</v>
      </c>
      <c r="B1023" s="6">
        <v>3.0</v>
      </c>
      <c r="C1023" s="7">
        <v>176.0</v>
      </c>
      <c r="D1023" s="6" t="s">
        <v>3232</v>
      </c>
      <c r="E1023" s="16">
        <v>2.0</v>
      </c>
      <c r="F1023" s="18" t="s">
        <v>1015</v>
      </c>
    </row>
    <row r="1024">
      <c r="A1024" s="5" t="s">
        <v>3191</v>
      </c>
      <c r="B1024" s="6">
        <v>5.0</v>
      </c>
      <c r="C1024" s="7">
        <v>26.0</v>
      </c>
      <c r="D1024" s="6" t="s">
        <v>3188</v>
      </c>
      <c r="E1024" s="16">
        <v>2.0</v>
      </c>
      <c r="F1024" s="18" t="s">
        <v>1016</v>
      </c>
    </row>
    <row r="1025">
      <c r="A1025" s="5" t="s">
        <v>3201</v>
      </c>
      <c r="B1025" s="6">
        <v>5.0</v>
      </c>
      <c r="C1025" s="7">
        <v>112.0</v>
      </c>
      <c r="D1025" s="6" t="s">
        <v>3227</v>
      </c>
      <c r="E1025" s="16">
        <v>2.0</v>
      </c>
      <c r="F1025" s="18" t="s">
        <v>1017</v>
      </c>
    </row>
    <row r="1026">
      <c r="A1026" s="5" t="s">
        <v>3230</v>
      </c>
      <c r="B1026" s="6">
        <v>1.0</v>
      </c>
      <c r="C1026" s="7">
        <v>187.0</v>
      </c>
      <c r="D1026" s="6" t="s">
        <v>3254</v>
      </c>
      <c r="E1026" s="16">
        <v>1.0</v>
      </c>
      <c r="F1026" s="18" t="s">
        <v>1018</v>
      </c>
    </row>
    <row r="1027">
      <c r="A1027" s="5" t="s">
        <v>3240</v>
      </c>
      <c r="B1027" s="6">
        <v>2.0</v>
      </c>
      <c r="C1027" s="7">
        <v>188.0</v>
      </c>
      <c r="D1027" s="6" t="s">
        <v>3198</v>
      </c>
      <c r="E1027" s="16">
        <v>1.0</v>
      </c>
      <c r="F1027" s="18" t="s">
        <v>1019</v>
      </c>
    </row>
    <row r="1028">
      <c r="A1028" s="5" t="s">
        <v>3260</v>
      </c>
      <c r="B1028" s="6">
        <v>1.0</v>
      </c>
      <c r="C1028" s="7">
        <v>2.0</v>
      </c>
      <c r="D1028" s="6" t="s">
        <v>3214</v>
      </c>
      <c r="E1028" s="16">
        <v>1.0</v>
      </c>
      <c r="F1028" s="18" t="s">
        <v>1020</v>
      </c>
    </row>
    <row r="1029">
      <c r="A1029" s="5" t="s">
        <v>3185</v>
      </c>
      <c r="B1029" s="6">
        <v>1.0</v>
      </c>
      <c r="C1029" s="7">
        <v>95.0</v>
      </c>
      <c r="D1029" s="6" t="s">
        <v>3227</v>
      </c>
      <c r="E1029" s="16">
        <v>1.0</v>
      </c>
      <c r="F1029" s="18" t="s">
        <v>1021</v>
      </c>
    </row>
    <row r="1030">
      <c r="A1030" s="5" t="s">
        <v>3189</v>
      </c>
      <c r="B1030" s="6">
        <v>6.0</v>
      </c>
      <c r="C1030" s="7">
        <v>165.0</v>
      </c>
      <c r="D1030" s="6" t="s">
        <v>3196</v>
      </c>
      <c r="E1030" s="16">
        <v>1.0</v>
      </c>
      <c r="F1030" s="18" t="s">
        <v>1022</v>
      </c>
    </row>
    <row r="1031">
      <c r="A1031" s="5" t="s">
        <v>3228</v>
      </c>
      <c r="B1031" s="6">
        <v>6.0</v>
      </c>
      <c r="C1031" s="7">
        <v>92.0</v>
      </c>
      <c r="D1031" s="6" t="s">
        <v>3215</v>
      </c>
      <c r="E1031" s="16">
        <v>1.0</v>
      </c>
      <c r="F1031" s="18" t="s">
        <v>1023</v>
      </c>
    </row>
    <row r="1032">
      <c r="A1032" s="5" t="s">
        <v>3208</v>
      </c>
      <c r="B1032" s="6">
        <v>4.0</v>
      </c>
      <c r="C1032" s="7">
        <v>128.0</v>
      </c>
      <c r="D1032" s="6" t="s">
        <v>3211</v>
      </c>
      <c r="E1032" s="16">
        <v>1.0</v>
      </c>
      <c r="F1032" s="18" t="s">
        <v>1024</v>
      </c>
    </row>
    <row r="1033">
      <c r="A1033" s="5" t="s">
        <v>3228</v>
      </c>
      <c r="B1033" s="6">
        <v>6.0</v>
      </c>
      <c r="C1033" s="7">
        <v>113.0</v>
      </c>
      <c r="D1033" s="6" t="s">
        <v>3207</v>
      </c>
      <c r="E1033" s="16">
        <v>1.0</v>
      </c>
      <c r="F1033" s="18" t="s">
        <v>1025</v>
      </c>
    </row>
    <row r="1034">
      <c r="A1034" s="5" t="s">
        <v>3240</v>
      </c>
      <c r="B1034" s="6">
        <v>2.0</v>
      </c>
      <c r="C1034" s="7">
        <v>116.0</v>
      </c>
      <c r="D1034" s="6" t="s">
        <v>3169</v>
      </c>
      <c r="E1034" s="16">
        <v>1.0</v>
      </c>
      <c r="F1034" s="18" t="s">
        <v>1026</v>
      </c>
    </row>
    <row r="1035">
      <c r="A1035" s="5" t="s">
        <v>3170</v>
      </c>
      <c r="B1035" s="6">
        <v>1.0</v>
      </c>
      <c r="C1035" s="7">
        <v>124.0</v>
      </c>
      <c r="D1035" s="6" t="s">
        <v>3238</v>
      </c>
      <c r="E1035" s="16">
        <v>1.0</v>
      </c>
      <c r="F1035" s="18" t="s">
        <v>1027</v>
      </c>
    </row>
    <row r="1036">
      <c r="A1036" s="5" t="s">
        <v>3260</v>
      </c>
      <c r="B1036" s="6">
        <v>1.0</v>
      </c>
      <c r="C1036" s="7">
        <v>54.0</v>
      </c>
      <c r="D1036" s="6" t="s">
        <v>3215</v>
      </c>
      <c r="E1036" s="16">
        <v>1.0</v>
      </c>
      <c r="F1036" s="18" t="s">
        <v>1028</v>
      </c>
    </row>
    <row r="1037">
      <c r="A1037" s="5" t="s">
        <v>3206</v>
      </c>
      <c r="B1037" s="6">
        <v>6.0</v>
      </c>
      <c r="C1037" s="7">
        <v>55.0</v>
      </c>
      <c r="D1037" s="6" t="s">
        <v>3198</v>
      </c>
      <c r="E1037" s="16">
        <v>1.0</v>
      </c>
      <c r="F1037" s="18" t="s">
        <v>1029</v>
      </c>
    </row>
    <row r="1038">
      <c r="A1038" s="5" t="s">
        <v>3195</v>
      </c>
      <c r="B1038" s="6">
        <v>4.0</v>
      </c>
      <c r="C1038" s="7">
        <v>151.0</v>
      </c>
      <c r="D1038" s="6" t="s">
        <v>3232</v>
      </c>
      <c r="E1038" s="16">
        <v>1.0</v>
      </c>
      <c r="F1038" s="18" t="s">
        <v>1030</v>
      </c>
    </row>
    <row r="1039">
      <c r="A1039" s="5" t="s">
        <v>3209</v>
      </c>
      <c r="B1039" s="6">
        <v>4.0</v>
      </c>
      <c r="C1039" s="7">
        <v>7.0</v>
      </c>
      <c r="D1039" s="6" t="s">
        <v>3180</v>
      </c>
      <c r="E1039" s="16">
        <v>1.0</v>
      </c>
      <c r="F1039" s="18" t="s">
        <v>1031</v>
      </c>
    </row>
    <row r="1040">
      <c r="A1040" s="5" t="s">
        <v>3248</v>
      </c>
      <c r="B1040" s="6">
        <v>3.0</v>
      </c>
      <c r="C1040" s="7">
        <v>171.0</v>
      </c>
      <c r="D1040" s="6" t="s">
        <v>3245</v>
      </c>
      <c r="E1040" s="16">
        <v>1.0</v>
      </c>
      <c r="F1040" s="18" t="s">
        <v>1032</v>
      </c>
    </row>
    <row r="1041">
      <c r="A1041" s="5" t="s">
        <v>3206</v>
      </c>
      <c r="B1041" s="6">
        <v>6.0</v>
      </c>
      <c r="C1041" s="7">
        <v>66.0</v>
      </c>
      <c r="D1041" s="6" t="s">
        <v>3171</v>
      </c>
      <c r="E1041" s="16">
        <v>5.0</v>
      </c>
      <c r="F1041" s="18" t="s">
        <v>1033</v>
      </c>
    </row>
    <row r="1042">
      <c r="A1042" s="5" t="s">
        <v>3179</v>
      </c>
      <c r="B1042" s="6">
        <v>1.0</v>
      </c>
      <c r="C1042" s="7">
        <v>74.0</v>
      </c>
      <c r="D1042" s="6" t="s">
        <v>3190</v>
      </c>
      <c r="E1042" s="16">
        <v>5.0</v>
      </c>
      <c r="F1042" s="18" t="s">
        <v>1034</v>
      </c>
    </row>
    <row r="1043">
      <c r="A1043" s="5" t="s">
        <v>3187</v>
      </c>
      <c r="B1043" s="6">
        <v>4.0</v>
      </c>
      <c r="C1043" s="7">
        <v>10.0</v>
      </c>
      <c r="D1043" s="6" t="s">
        <v>3249</v>
      </c>
      <c r="E1043" s="16">
        <v>5.0</v>
      </c>
      <c r="F1043" s="18" t="s">
        <v>1035</v>
      </c>
    </row>
    <row r="1044">
      <c r="A1044" s="5" t="s">
        <v>3187</v>
      </c>
      <c r="B1044" s="6">
        <v>4.0</v>
      </c>
      <c r="C1044" s="7">
        <v>7.0</v>
      </c>
      <c r="D1044" s="6" t="s">
        <v>3180</v>
      </c>
      <c r="E1044" s="16">
        <v>5.0</v>
      </c>
      <c r="F1044" s="18" t="s">
        <v>1036</v>
      </c>
    </row>
    <row r="1045">
      <c r="A1045" s="5" t="s">
        <v>3255</v>
      </c>
      <c r="B1045" s="6">
        <v>6.0</v>
      </c>
      <c r="C1045" s="7">
        <v>124.0</v>
      </c>
      <c r="D1045" s="6" t="s">
        <v>3238</v>
      </c>
      <c r="E1045" s="16">
        <v>5.0</v>
      </c>
      <c r="F1045" s="18" t="s">
        <v>1037</v>
      </c>
    </row>
    <row r="1046">
      <c r="A1046" s="5" t="s">
        <v>3252</v>
      </c>
      <c r="B1046" s="6">
        <v>6.0</v>
      </c>
      <c r="C1046" s="7">
        <v>164.0</v>
      </c>
      <c r="D1046" s="6" t="s">
        <v>3232</v>
      </c>
      <c r="E1046" s="16">
        <v>5.0</v>
      </c>
      <c r="F1046" s="18" t="s">
        <v>1038</v>
      </c>
    </row>
    <row r="1047">
      <c r="A1047" s="5" t="s">
        <v>3191</v>
      </c>
      <c r="B1047" s="6">
        <v>5.0</v>
      </c>
      <c r="C1047" s="7">
        <v>180.0</v>
      </c>
      <c r="D1047" s="6" t="s">
        <v>3192</v>
      </c>
      <c r="E1047" s="16">
        <v>5.0</v>
      </c>
      <c r="F1047" s="18" t="s">
        <v>1039</v>
      </c>
    </row>
    <row r="1048">
      <c r="A1048" s="5" t="s">
        <v>3229</v>
      </c>
      <c r="B1048" s="6">
        <v>4.0</v>
      </c>
      <c r="C1048" s="7">
        <v>7.0</v>
      </c>
      <c r="D1048" s="6" t="s">
        <v>3180</v>
      </c>
      <c r="E1048" s="16">
        <v>5.0</v>
      </c>
      <c r="F1048" s="18" t="s">
        <v>1040</v>
      </c>
    </row>
    <row r="1049">
      <c r="A1049" s="5" t="s">
        <v>3267</v>
      </c>
      <c r="B1049" s="6">
        <v>3.0</v>
      </c>
      <c r="C1049" s="7">
        <v>147.0</v>
      </c>
      <c r="D1049" s="6" t="s">
        <v>3196</v>
      </c>
      <c r="E1049" s="16">
        <v>5.0</v>
      </c>
      <c r="F1049" s="18" t="s">
        <v>1041</v>
      </c>
    </row>
    <row r="1050">
      <c r="A1050" s="5" t="s">
        <v>3168</v>
      </c>
      <c r="B1050" s="6">
        <v>1.0</v>
      </c>
      <c r="C1050" s="7">
        <v>132.0</v>
      </c>
      <c r="D1050" s="6" t="s">
        <v>3186</v>
      </c>
      <c r="E1050" s="16">
        <v>5.0</v>
      </c>
      <c r="F1050" s="18" t="s">
        <v>1042</v>
      </c>
    </row>
    <row r="1051">
      <c r="A1051" s="5" t="s">
        <v>3174</v>
      </c>
      <c r="B1051" s="6">
        <v>1.0</v>
      </c>
      <c r="C1051" s="7">
        <v>91.0</v>
      </c>
      <c r="D1051" s="6" t="s">
        <v>3178</v>
      </c>
      <c r="E1051" s="16">
        <v>5.0</v>
      </c>
      <c r="F1051" s="18" t="s">
        <v>1043</v>
      </c>
    </row>
    <row r="1052">
      <c r="A1052" s="5" t="s">
        <v>3181</v>
      </c>
      <c r="B1052" s="6">
        <v>1.0</v>
      </c>
      <c r="C1052" s="7">
        <v>46.0</v>
      </c>
      <c r="D1052" s="6" t="s">
        <v>3194</v>
      </c>
      <c r="E1052" s="16">
        <v>5.0</v>
      </c>
      <c r="F1052" s="18" t="s">
        <v>1044</v>
      </c>
    </row>
    <row r="1053">
      <c r="A1053" s="5" t="s">
        <v>3264</v>
      </c>
      <c r="B1053" s="6">
        <v>4.0</v>
      </c>
      <c r="C1053" s="7">
        <v>49.0</v>
      </c>
      <c r="D1053" s="6" t="s">
        <v>3254</v>
      </c>
      <c r="E1053" s="16">
        <v>5.0</v>
      </c>
      <c r="F1053" s="18" t="s">
        <v>1045</v>
      </c>
    </row>
    <row r="1054">
      <c r="A1054" s="5" t="s">
        <v>3175</v>
      </c>
      <c r="B1054" s="6">
        <v>5.0</v>
      </c>
      <c r="C1054" s="7">
        <v>77.0</v>
      </c>
      <c r="D1054" s="6" t="s">
        <v>3254</v>
      </c>
      <c r="E1054" s="16">
        <v>5.0</v>
      </c>
      <c r="F1054" s="18" t="s">
        <v>1046</v>
      </c>
    </row>
    <row r="1055">
      <c r="A1055" s="5" t="s">
        <v>3183</v>
      </c>
      <c r="B1055" s="6">
        <v>6.0</v>
      </c>
      <c r="C1055" s="7">
        <v>82.0</v>
      </c>
      <c r="D1055" s="6" t="s">
        <v>3190</v>
      </c>
      <c r="E1055" s="16">
        <v>5.0</v>
      </c>
      <c r="F1055" s="18" t="s">
        <v>1047</v>
      </c>
    </row>
    <row r="1056">
      <c r="A1056" s="5" t="s">
        <v>3218</v>
      </c>
      <c r="B1056" s="6">
        <v>5.0</v>
      </c>
      <c r="C1056" s="7">
        <v>1.0</v>
      </c>
      <c r="D1056" s="6" t="s">
        <v>3221</v>
      </c>
      <c r="E1056" s="16">
        <v>5.0</v>
      </c>
      <c r="F1056" s="18" t="s">
        <v>1048</v>
      </c>
    </row>
    <row r="1057">
      <c r="A1057" s="5" t="s">
        <v>3269</v>
      </c>
      <c r="B1057" s="6">
        <v>6.0</v>
      </c>
      <c r="C1057" s="7">
        <v>107.0</v>
      </c>
      <c r="D1057" s="6" t="s">
        <v>3207</v>
      </c>
      <c r="E1057" s="16">
        <v>5.0</v>
      </c>
      <c r="F1057" s="18" t="s">
        <v>1049</v>
      </c>
    </row>
    <row r="1058">
      <c r="A1058" s="5" t="s">
        <v>3209</v>
      </c>
      <c r="B1058" s="6">
        <v>4.0</v>
      </c>
      <c r="C1058" s="7">
        <v>112.0</v>
      </c>
      <c r="D1058" s="6" t="s">
        <v>3227</v>
      </c>
      <c r="E1058" s="16">
        <v>5.0</v>
      </c>
      <c r="F1058" s="18" t="s">
        <v>1050</v>
      </c>
    </row>
    <row r="1059">
      <c r="A1059" s="5" t="s">
        <v>3195</v>
      </c>
      <c r="B1059" s="6">
        <v>4.0</v>
      </c>
      <c r="C1059" s="7">
        <v>70.0</v>
      </c>
      <c r="D1059" s="6" t="s">
        <v>3222</v>
      </c>
      <c r="E1059" s="16">
        <v>5.0</v>
      </c>
      <c r="F1059" s="18" t="s">
        <v>1051</v>
      </c>
    </row>
    <row r="1060">
      <c r="A1060" s="5" t="s">
        <v>3248</v>
      </c>
      <c r="B1060" s="6">
        <v>3.0</v>
      </c>
      <c r="C1060" s="7">
        <v>116.0</v>
      </c>
      <c r="D1060" s="6" t="s">
        <v>3169</v>
      </c>
      <c r="E1060" s="16">
        <v>5.0</v>
      </c>
      <c r="F1060" s="18" t="s">
        <v>1052</v>
      </c>
    </row>
    <row r="1061">
      <c r="A1061" s="5" t="s">
        <v>3236</v>
      </c>
      <c r="B1061" s="6">
        <v>6.0</v>
      </c>
      <c r="C1061" s="7">
        <v>53.0</v>
      </c>
      <c r="D1061" s="6" t="s">
        <v>3249</v>
      </c>
      <c r="E1061" s="16">
        <v>5.0</v>
      </c>
      <c r="F1061" s="18" t="s">
        <v>1052</v>
      </c>
    </row>
    <row r="1062">
      <c r="A1062" s="5" t="s">
        <v>3168</v>
      </c>
      <c r="B1062" s="6">
        <v>1.0</v>
      </c>
      <c r="C1062" s="7">
        <v>155.0</v>
      </c>
      <c r="D1062" s="6" t="s">
        <v>3180</v>
      </c>
      <c r="E1062" s="16">
        <v>5.0</v>
      </c>
      <c r="F1062" s="18" t="s">
        <v>1053</v>
      </c>
    </row>
    <row r="1063">
      <c r="A1063" s="5" t="s">
        <v>3212</v>
      </c>
      <c r="B1063" s="6">
        <v>6.0</v>
      </c>
      <c r="C1063" s="7">
        <v>39.0</v>
      </c>
      <c r="D1063" s="6" t="s">
        <v>3254</v>
      </c>
      <c r="E1063" s="16">
        <v>5.0</v>
      </c>
      <c r="F1063" s="18" t="s">
        <v>1054</v>
      </c>
    </row>
    <row r="1064">
      <c r="A1064" s="5" t="s">
        <v>3247</v>
      </c>
      <c r="B1064" s="6">
        <v>6.0</v>
      </c>
      <c r="C1064" s="7">
        <v>138.0</v>
      </c>
      <c r="D1064" s="6" t="s">
        <v>3219</v>
      </c>
      <c r="E1064" s="16">
        <v>4.0</v>
      </c>
      <c r="F1064" s="18" t="s">
        <v>1055</v>
      </c>
    </row>
    <row r="1065">
      <c r="A1065" s="5" t="s">
        <v>3166</v>
      </c>
      <c r="B1065" s="6">
        <v>6.0</v>
      </c>
      <c r="C1065" s="7">
        <v>60.0</v>
      </c>
      <c r="D1065" s="6" t="s">
        <v>3196</v>
      </c>
      <c r="E1065" s="16">
        <v>4.0</v>
      </c>
      <c r="F1065" s="18" t="s">
        <v>1056</v>
      </c>
    </row>
    <row r="1066">
      <c r="A1066" s="5" t="s">
        <v>3216</v>
      </c>
      <c r="B1066" s="6">
        <v>6.0</v>
      </c>
      <c r="C1066" s="7">
        <v>127.0</v>
      </c>
      <c r="D1066" s="6" t="s">
        <v>3262</v>
      </c>
      <c r="E1066" s="16">
        <v>4.0</v>
      </c>
      <c r="F1066" s="18" t="s">
        <v>1057</v>
      </c>
    </row>
    <row r="1067">
      <c r="A1067" s="5" t="s">
        <v>3243</v>
      </c>
      <c r="B1067" s="6">
        <v>4.0</v>
      </c>
      <c r="C1067" s="7">
        <v>73.0</v>
      </c>
      <c r="D1067" s="6" t="s">
        <v>3173</v>
      </c>
      <c r="E1067" s="16">
        <v>4.0</v>
      </c>
      <c r="F1067" s="18" t="s">
        <v>1058</v>
      </c>
    </row>
    <row r="1068">
      <c r="A1068" s="5" t="s">
        <v>3246</v>
      </c>
      <c r="B1068" s="6">
        <v>4.0</v>
      </c>
      <c r="C1068" s="7">
        <v>121.0</v>
      </c>
      <c r="D1068" s="6" t="s">
        <v>3173</v>
      </c>
      <c r="E1068" s="16">
        <v>4.0</v>
      </c>
      <c r="F1068" s="18" t="s">
        <v>1059</v>
      </c>
    </row>
    <row r="1069">
      <c r="A1069" s="5" t="s">
        <v>3216</v>
      </c>
      <c r="B1069" s="6">
        <v>6.0</v>
      </c>
      <c r="C1069" s="7">
        <v>32.0</v>
      </c>
      <c r="D1069" s="6" t="s">
        <v>3173</v>
      </c>
      <c r="E1069" s="16">
        <v>4.0</v>
      </c>
      <c r="F1069" s="18" t="s">
        <v>1060</v>
      </c>
    </row>
    <row r="1070">
      <c r="A1070" s="5" t="s">
        <v>3210</v>
      </c>
      <c r="B1070" s="6">
        <v>1.0</v>
      </c>
      <c r="C1070" s="7">
        <v>123.0</v>
      </c>
      <c r="D1070" s="6" t="s">
        <v>3192</v>
      </c>
      <c r="E1070" s="16">
        <v>3.0</v>
      </c>
      <c r="F1070" s="18" t="s">
        <v>1061</v>
      </c>
    </row>
    <row r="1071">
      <c r="A1071" s="5" t="s">
        <v>3201</v>
      </c>
      <c r="B1071" s="6">
        <v>5.0</v>
      </c>
      <c r="C1071" s="7">
        <v>193.0</v>
      </c>
      <c r="D1071" s="6" t="s">
        <v>3249</v>
      </c>
      <c r="E1071" s="16">
        <v>3.0</v>
      </c>
      <c r="F1071" s="18" t="s">
        <v>1062</v>
      </c>
    </row>
    <row r="1072">
      <c r="A1072" s="5" t="s">
        <v>3205</v>
      </c>
      <c r="B1072" s="6">
        <v>1.0</v>
      </c>
      <c r="C1072" s="7">
        <v>180.0</v>
      </c>
      <c r="D1072" s="6" t="s">
        <v>3192</v>
      </c>
      <c r="E1072" s="16">
        <v>3.0</v>
      </c>
      <c r="F1072" s="18" t="s">
        <v>1063</v>
      </c>
    </row>
    <row r="1073">
      <c r="A1073" s="5" t="s">
        <v>3268</v>
      </c>
      <c r="B1073" s="6">
        <v>1.0</v>
      </c>
      <c r="C1073" s="7">
        <v>22.0</v>
      </c>
      <c r="D1073" s="6" t="s">
        <v>3167</v>
      </c>
      <c r="E1073" s="16">
        <v>2.0</v>
      </c>
      <c r="F1073" s="18" t="s">
        <v>1064</v>
      </c>
    </row>
    <row r="1074">
      <c r="A1074" s="5" t="s">
        <v>3172</v>
      </c>
      <c r="B1074" s="6">
        <v>1.0</v>
      </c>
      <c r="C1074" s="7">
        <v>4.0</v>
      </c>
      <c r="D1074" s="6" t="s">
        <v>3196</v>
      </c>
      <c r="E1074" s="16">
        <v>2.0</v>
      </c>
      <c r="F1074" s="18" t="s">
        <v>1065</v>
      </c>
    </row>
    <row r="1075">
      <c r="A1075" s="5" t="s">
        <v>3175</v>
      </c>
      <c r="B1075" s="6">
        <v>5.0</v>
      </c>
      <c r="C1075" s="7">
        <v>51.0</v>
      </c>
      <c r="D1075" s="6" t="s">
        <v>3169</v>
      </c>
      <c r="E1075" s="16">
        <v>2.0</v>
      </c>
      <c r="F1075" s="18" t="s">
        <v>1066</v>
      </c>
    </row>
    <row r="1076">
      <c r="A1076" s="5" t="s">
        <v>3189</v>
      </c>
      <c r="B1076" s="6">
        <v>6.0</v>
      </c>
      <c r="C1076" s="7">
        <v>86.0</v>
      </c>
      <c r="D1076" s="6" t="s">
        <v>3245</v>
      </c>
      <c r="E1076" s="16">
        <v>2.0</v>
      </c>
      <c r="F1076" s="18" t="s">
        <v>1067</v>
      </c>
    </row>
    <row r="1077">
      <c r="A1077" s="5" t="s">
        <v>3220</v>
      </c>
      <c r="B1077" s="6">
        <v>6.0</v>
      </c>
      <c r="C1077" s="7">
        <v>14.0</v>
      </c>
      <c r="D1077" s="6" t="s">
        <v>3196</v>
      </c>
      <c r="E1077" s="16">
        <v>2.0</v>
      </c>
      <c r="F1077" s="18" t="s">
        <v>1068</v>
      </c>
    </row>
    <row r="1078">
      <c r="A1078" s="5" t="s">
        <v>3236</v>
      </c>
      <c r="B1078" s="6">
        <v>6.0</v>
      </c>
      <c r="C1078" s="7">
        <v>83.0</v>
      </c>
      <c r="D1078" s="6" t="s">
        <v>3203</v>
      </c>
      <c r="E1078" s="16">
        <v>2.0</v>
      </c>
      <c r="F1078" s="18" t="s">
        <v>1069</v>
      </c>
    </row>
    <row r="1079">
      <c r="A1079" s="5" t="s">
        <v>3177</v>
      </c>
      <c r="B1079" s="6">
        <v>5.0</v>
      </c>
      <c r="C1079" s="7">
        <v>139.0</v>
      </c>
      <c r="D1079" s="6" t="s">
        <v>3182</v>
      </c>
      <c r="E1079" s="16">
        <v>2.0</v>
      </c>
      <c r="F1079" s="18" t="s">
        <v>1070</v>
      </c>
    </row>
    <row r="1080">
      <c r="A1080" s="5" t="s">
        <v>3177</v>
      </c>
      <c r="B1080" s="6">
        <v>5.0</v>
      </c>
      <c r="C1080" s="7">
        <v>92.0</v>
      </c>
      <c r="D1080" s="6" t="s">
        <v>3215</v>
      </c>
      <c r="E1080" s="16">
        <v>2.0</v>
      </c>
      <c r="F1080" s="18" t="s">
        <v>1071</v>
      </c>
    </row>
    <row r="1081">
      <c r="A1081" s="5" t="s">
        <v>3210</v>
      </c>
      <c r="B1081" s="6">
        <v>1.0</v>
      </c>
      <c r="C1081" s="7">
        <v>144.0</v>
      </c>
      <c r="D1081" s="6" t="s">
        <v>3173</v>
      </c>
      <c r="E1081" s="16">
        <v>1.0</v>
      </c>
      <c r="F1081" s="18" t="s">
        <v>1072</v>
      </c>
    </row>
    <row r="1082">
      <c r="A1082" s="5" t="s">
        <v>3174</v>
      </c>
      <c r="B1082" s="6">
        <v>1.0</v>
      </c>
      <c r="C1082" s="7">
        <v>152.0</v>
      </c>
      <c r="D1082" s="6" t="s">
        <v>3203</v>
      </c>
      <c r="E1082" s="16">
        <v>1.0</v>
      </c>
      <c r="F1082" s="18" t="s">
        <v>1073</v>
      </c>
    </row>
    <row r="1083">
      <c r="A1083" s="5" t="s">
        <v>3174</v>
      </c>
      <c r="B1083" s="6">
        <v>1.0</v>
      </c>
      <c r="C1083" s="7">
        <v>189.0</v>
      </c>
      <c r="D1083" s="6" t="s">
        <v>3225</v>
      </c>
      <c r="E1083" s="16">
        <v>1.0</v>
      </c>
      <c r="F1083" s="18" t="s">
        <v>1074</v>
      </c>
    </row>
    <row r="1084">
      <c r="A1084" s="5" t="s">
        <v>3252</v>
      </c>
      <c r="B1084" s="6">
        <v>6.0</v>
      </c>
      <c r="C1084" s="7">
        <v>119.0</v>
      </c>
      <c r="D1084" s="6" t="s">
        <v>3178</v>
      </c>
      <c r="E1084" s="16">
        <v>1.0</v>
      </c>
      <c r="F1084" s="18" t="s">
        <v>1075</v>
      </c>
    </row>
    <row r="1085">
      <c r="A1085" s="5" t="s">
        <v>3229</v>
      </c>
      <c r="B1085" s="6">
        <v>4.0</v>
      </c>
      <c r="C1085" s="7">
        <v>76.0</v>
      </c>
      <c r="D1085" s="6" t="s">
        <v>3190</v>
      </c>
      <c r="E1085" s="16">
        <v>1.0</v>
      </c>
      <c r="F1085" s="18" t="s">
        <v>1076</v>
      </c>
    </row>
    <row r="1086">
      <c r="A1086" s="5" t="s">
        <v>3260</v>
      </c>
      <c r="B1086" s="6">
        <v>1.0</v>
      </c>
      <c r="C1086" s="7">
        <v>78.0</v>
      </c>
      <c r="D1086" s="6" t="s">
        <v>3176</v>
      </c>
      <c r="E1086" s="16">
        <v>1.0</v>
      </c>
      <c r="F1086" s="18" t="s">
        <v>1077</v>
      </c>
    </row>
    <row r="1087">
      <c r="A1087" s="5" t="s">
        <v>3212</v>
      </c>
      <c r="B1087" s="6">
        <v>6.0</v>
      </c>
      <c r="C1087" s="7">
        <v>22.0</v>
      </c>
      <c r="D1087" s="6" t="s">
        <v>3167</v>
      </c>
      <c r="E1087" s="16">
        <v>1.0</v>
      </c>
      <c r="F1087" s="18" t="s">
        <v>1078</v>
      </c>
    </row>
    <row r="1088">
      <c r="A1088" s="5" t="s">
        <v>3266</v>
      </c>
      <c r="B1088" s="6">
        <v>3.0</v>
      </c>
      <c r="C1088" s="7">
        <v>18.0</v>
      </c>
      <c r="D1088" s="6" t="s">
        <v>3225</v>
      </c>
      <c r="E1088" s="16">
        <v>1.0</v>
      </c>
      <c r="F1088" s="18" t="s">
        <v>1079</v>
      </c>
    </row>
    <row r="1089">
      <c r="A1089" s="5" t="s">
        <v>3189</v>
      </c>
      <c r="B1089" s="6">
        <v>6.0</v>
      </c>
      <c r="C1089" s="7">
        <v>67.0</v>
      </c>
      <c r="D1089" s="6" t="s">
        <v>3186</v>
      </c>
      <c r="E1089" s="16">
        <v>1.0</v>
      </c>
      <c r="F1089" s="18" t="s">
        <v>1080</v>
      </c>
    </row>
    <row r="1090">
      <c r="A1090" s="5" t="s">
        <v>3226</v>
      </c>
      <c r="B1090" s="6">
        <v>1.0</v>
      </c>
      <c r="C1090" s="7">
        <v>57.0</v>
      </c>
      <c r="D1090" s="6" t="s">
        <v>3239</v>
      </c>
      <c r="E1090" s="16">
        <v>1.0</v>
      </c>
      <c r="F1090" s="18" t="s">
        <v>1081</v>
      </c>
    </row>
    <row r="1091">
      <c r="A1091" s="5" t="s">
        <v>3209</v>
      </c>
      <c r="B1091" s="6">
        <v>4.0</v>
      </c>
      <c r="C1091" s="7">
        <v>166.0</v>
      </c>
      <c r="D1091" s="6" t="s">
        <v>3227</v>
      </c>
      <c r="E1091" s="16">
        <v>5.0</v>
      </c>
      <c r="F1091" s="18" t="s">
        <v>1082</v>
      </c>
    </row>
    <row r="1092">
      <c r="A1092" s="5" t="s">
        <v>3270</v>
      </c>
      <c r="B1092" s="6">
        <v>3.0</v>
      </c>
      <c r="C1092" s="7">
        <v>91.0</v>
      </c>
      <c r="D1092" s="6" t="s">
        <v>3178</v>
      </c>
      <c r="E1092" s="16">
        <v>5.0</v>
      </c>
      <c r="F1092" s="18" t="s">
        <v>1083</v>
      </c>
    </row>
    <row r="1093">
      <c r="A1093" s="5" t="s">
        <v>3172</v>
      </c>
      <c r="B1093" s="6">
        <v>1.0</v>
      </c>
      <c r="C1093" s="7">
        <v>148.0</v>
      </c>
      <c r="D1093" s="6" t="s">
        <v>3262</v>
      </c>
      <c r="E1093" s="16">
        <v>5.0</v>
      </c>
      <c r="F1093" s="18" t="s">
        <v>1084</v>
      </c>
    </row>
    <row r="1094">
      <c r="A1094" s="5" t="s">
        <v>3226</v>
      </c>
      <c r="B1094" s="6">
        <v>1.0</v>
      </c>
      <c r="C1094" s="7">
        <v>91.0</v>
      </c>
      <c r="D1094" s="6" t="s">
        <v>3178</v>
      </c>
      <c r="E1094" s="16">
        <v>5.0</v>
      </c>
      <c r="F1094" s="18" t="s">
        <v>1085</v>
      </c>
    </row>
    <row r="1095">
      <c r="A1095" s="5" t="s">
        <v>3226</v>
      </c>
      <c r="B1095" s="6">
        <v>1.0</v>
      </c>
      <c r="C1095" s="7">
        <v>161.0</v>
      </c>
      <c r="D1095" s="6" t="s">
        <v>3192</v>
      </c>
      <c r="E1095" s="16">
        <v>5.0</v>
      </c>
      <c r="F1095" s="18" t="s">
        <v>1086</v>
      </c>
    </row>
    <row r="1096">
      <c r="A1096" s="5" t="s">
        <v>3236</v>
      </c>
      <c r="B1096" s="6">
        <v>6.0</v>
      </c>
      <c r="C1096" s="7">
        <v>153.0</v>
      </c>
      <c r="D1096" s="6" t="s">
        <v>3180</v>
      </c>
      <c r="E1096" s="16">
        <v>5.0</v>
      </c>
      <c r="F1096" s="18" t="s">
        <v>1087</v>
      </c>
    </row>
    <row r="1097">
      <c r="A1097" s="5" t="s">
        <v>3259</v>
      </c>
      <c r="B1097" s="6">
        <v>6.0</v>
      </c>
      <c r="C1097" s="7">
        <v>50.0</v>
      </c>
      <c r="D1097" s="6" t="s">
        <v>3238</v>
      </c>
      <c r="E1097" s="16">
        <v>5.0</v>
      </c>
      <c r="F1097" s="18" t="s">
        <v>1088</v>
      </c>
    </row>
    <row r="1098">
      <c r="A1098" s="5" t="s">
        <v>3236</v>
      </c>
      <c r="B1098" s="6">
        <v>6.0</v>
      </c>
      <c r="C1098" s="7">
        <v>65.0</v>
      </c>
      <c r="D1098" s="6" t="s">
        <v>3221</v>
      </c>
      <c r="E1098" s="16">
        <v>5.0</v>
      </c>
      <c r="F1098" s="18" t="s">
        <v>1089</v>
      </c>
    </row>
    <row r="1099">
      <c r="A1099" s="5" t="s">
        <v>3265</v>
      </c>
      <c r="B1099" s="6">
        <v>1.0</v>
      </c>
      <c r="C1099" s="7">
        <v>114.0</v>
      </c>
      <c r="D1099" s="6" t="s">
        <v>3245</v>
      </c>
      <c r="E1099" s="16">
        <v>5.0</v>
      </c>
      <c r="F1099" s="18" t="s">
        <v>1090</v>
      </c>
    </row>
    <row r="1100">
      <c r="A1100" s="5" t="s">
        <v>3226</v>
      </c>
      <c r="B1100" s="6">
        <v>1.0</v>
      </c>
      <c r="C1100" s="7">
        <v>189.0</v>
      </c>
      <c r="D1100" s="6" t="s">
        <v>3225</v>
      </c>
      <c r="E1100" s="16">
        <v>5.0</v>
      </c>
      <c r="F1100" s="18" t="s">
        <v>1091</v>
      </c>
    </row>
    <row r="1101">
      <c r="A1101" s="5" t="s">
        <v>3231</v>
      </c>
      <c r="B1101" s="6">
        <v>4.0</v>
      </c>
      <c r="C1101" s="7">
        <v>4.0</v>
      </c>
      <c r="D1101" s="6" t="s">
        <v>3196</v>
      </c>
      <c r="E1101" s="16">
        <v>5.0</v>
      </c>
      <c r="F1101" s="18" t="s">
        <v>1092</v>
      </c>
    </row>
    <row r="1102">
      <c r="A1102" s="5" t="s">
        <v>3237</v>
      </c>
      <c r="B1102" s="6">
        <v>2.0</v>
      </c>
      <c r="C1102" s="7">
        <v>168.0</v>
      </c>
      <c r="D1102" s="6" t="s">
        <v>3194</v>
      </c>
      <c r="E1102" s="16">
        <v>5.0</v>
      </c>
      <c r="F1102" s="18" t="s">
        <v>1093</v>
      </c>
    </row>
    <row r="1103">
      <c r="A1103" s="5" t="s">
        <v>3261</v>
      </c>
      <c r="B1103" s="6">
        <v>4.0</v>
      </c>
      <c r="C1103" s="7">
        <v>97.0</v>
      </c>
      <c r="D1103" s="6" t="s">
        <v>3194</v>
      </c>
      <c r="E1103" s="16">
        <v>5.0</v>
      </c>
      <c r="F1103" s="18" t="s">
        <v>1094</v>
      </c>
    </row>
    <row r="1104">
      <c r="A1104" s="5" t="s">
        <v>3236</v>
      </c>
      <c r="B1104" s="6">
        <v>6.0</v>
      </c>
      <c r="C1104" s="7">
        <v>79.0</v>
      </c>
      <c r="D1104" s="6" t="s">
        <v>3232</v>
      </c>
      <c r="E1104" s="16">
        <v>5.0</v>
      </c>
      <c r="F1104" s="18" t="s">
        <v>1095</v>
      </c>
    </row>
    <row r="1105">
      <c r="A1105" s="5" t="s">
        <v>3250</v>
      </c>
      <c r="B1105" s="6">
        <v>4.0</v>
      </c>
      <c r="C1105" s="7">
        <v>198.0</v>
      </c>
      <c r="D1105" s="6" t="s">
        <v>3180</v>
      </c>
      <c r="E1105" s="16">
        <v>5.0</v>
      </c>
      <c r="F1105" s="18" t="s">
        <v>1096</v>
      </c>
    </row>
    <row r="1106">
      <c r="A1106" s="5" t="s">
        <v>3179</v>
      </c>
      <c r="B1106" s="6">
        <v>1.0</v>
      </c>
      <c r="C1106" s="7">
        <v>125.0</v>
      </c>
      <c r="D1106" s="6" t="s">
        <v>3180</v>
      </c>
      <c r="E1106" s="16">
        <v>5.0</v>
      </c>
      <c r="F1106" s="18" t="s">
        <v>1097</v>
      </c>
    </row>
    <row r="1107">
      <c r="A1107" s="5" t="s">
        <v>3216</v>
      </c>
      <c r="B1107" s="6">
        <v>6.0</v>
      </c>
      <c r="C1107" s="7">
        <v>39.0</v>
      </c>
      <c r="D1107" s="6" t="s">
        <v>3254</v>
      </c>
      <c r="E1107" s="16">
        <v>4.0</v>
      </c>
      <c r="F1107" s="18" t="s">
        <v>1098</v>
      </c>
    </row>
    <row r="1108">
      <c r="A1108" s="5" t="s">
        <v>3269</v>
      </c>
      <c r="B1108" s="6">
        <v>6.0</v>
      </c>
      <c r="C1108" s="7">
        <v>144.0</v>
      </c>
      <c r="D1108" s="6" t="s">
        <v>3173</v>
      </c>
      <c r="E1108" s="16">
        <v>4.0</v>
      </c>
      <c r="F1108" s="18" t="s">
        <v>1099</v>
      </c>
    </row>
    <row r="1109">
      <c r="A1109" s="5" t="s">
        <v>3202</v>
      </c>
      <c r="B1109" s="6">
        <v>4.0</v>
      </c>
      <c r="C1109" s="7">
        <v>154.0</v>
      </c>
      <c r="D1109" s="6" t="s">
        <v>3171</v>
      </c>
      <c r="E1109" s="16">
        <v>4.0</v>
      </c>
      <c r="F1109" s="18" t="s">
        <v>1100</v>
      </c>
    </row>
    <row r="1110">
      <c r="A1110" s="5" t="s">
        <v>3220</v>
      </c>
      <c r="B1110" s="6">
        <v>6.0</v>
      </c>
      <c r="C1110" s="7">
        <v>184.0</v>
      </c>
      <c r="D1110" s="6" t="s">
        <v>3169</v>
      </c>
      <c r="E1110" s="16">
        <v>4.0</v>
      </c>
      <c r="F1110" s="18" t="s">
        <v>1101</v>
      </c>
    </row>
    <row r="1111">
      <c r="A1111" s="5" t="s">
        <v>3201</v>
      </c>
      <c r="B1111" s="6">
        <v>5.0</v>
      </c>
      <c r="C1111" s="7">
        <v>8.0</v>
      </c>
      <c r="D1111" s="6" t="s">
        <v>3169</v>
      </c>
      <c r="E1111" s="16">
        <v>4.0</v>
      </c>
      <c r="F1111" s="18" t="s">
        <v>1102</v>
      </c>
    </row>
    <row r="1112">
      <c r="A1112" s="5" t="s">
        <v>3175</v>
      </c>
      <c r="B1112" s="6">
        <v>5.0</v>
      </c>
      <c r="C1112" s="7">
        <v>1.0</v>
      </c>
      <c r="D1112" s="6" t="s">
        <v>3221</v>
      </c>
      <c r="E1112" s="16">
        <v>4.0</v>
      </c>
      <c r="F1112" s="18" t="s">
        <v>1103</v>
      </c>
    </row>
    <row r="1113">
      <c r="A1113" s="5" t="s">
        <v>3234</v>
      </c>
      <c r="B1113" s="6">
        <v>6.0</v>
      </c>
      <c r="C1113" s="7">
        <v>138.0</v>
      </c>
      <c r="D1113" s="6" t="s">
        <v>3219</v>
      </c>
      <c r="E1113" s="16">
        <v>3.0</v>
      </c>
      <c r="F1113" s="18" t="s">
        <v>1104</v>
      </c>
    </row>
    <row r="1114">
      <c r="A1114" s="5" t="s">
        <v>3251</v>
      </c>
      <c r="B1114" s="6">
        <v>6.0</v>
      </c>
      <c r="C1114" s="7">
        <v>60.0</v>
      </c>
      <c r="D1114" s="6" t="s">
        <v>3196</v>
      </c>
      <c r="E1114" s="16">
        <v>3.0</v>
      </c>
      <c r="F1114" s="18" t="s">
        <v>1105</v>
      </c>
    </row>
    <row r="1115">
      <c r="A1115" s="5" t="s">
        <v>3181</v>
      </c>
      <c r="B1115" s="6">
        <v>1.0</v>
      </c>
      <c r="C1115" s="7">
        <v>35.0</v>
      </c>
      <c r="D1115" s="6" t="s">
        <v>3196</v>
      </c>
      <c r="E1115" s="16">
        <v>3.0</v>
      </c>
      <c r="F1115" s="18" t="s">
        <v>1106</v>
      </c>
    </row>
    <row r="1116">
      <c r="A1116" s="5" t="s">
        <v>3258</v>
      </c>
      <c r="B1116" s="6">
        <v>6.0</v>
      </c>
      <c r="C1116" s="7">
        <v>200.0</v>
      </c>
      <c r="D1116" s="6" t="s">
        <v>3238</v>
      </c>
      <c r="E1116" s="16">
        <v>2.0</v>
      </c>
      <c r="F1116" s="18" t="s">
        <v>1107</v>
      </c>
    </row>
    <row r="1117">
      <c r="A1117" s="5" t="s">
        <v>3234</v>
      </c>
      <c r="B1117" s="6">
        <v>6.0</v>
      </c>
      <c r="C1117" s="7">
        <v>64.0</v>
      </c>
      <c r="D1117" s="6" t="s">
        <v>3180</v>
      </c>
      <c r="E1117" s="16">
        <v>2.0</v>
      </c>
      <c r="F1117" s="18" t="s">
        <v>1108</v>
      </c>
    </row>
    <row r="1118">
      <c r="A1118" s="5" t="s">
        <v>3226</v>
      </c>
      <c r="B1118" s="6">
        <v>1.0</v>
      </c>
      <c r="C1118" s="7">
        <v>6.0</v>
      </c>
      <c r="D1118" s="6" t="s">
        <v>3180</v>
      </c>
      <c r="E1118" s="16">
        <v>2.0</v>
      </c>
      <c r="F1118" s="18" t="s">
        <v>1109</v>
      </c>
    </row>
    <row r="1119">
      <c r="A1119" s="5" t="s">
        <v>3172</v>
      </c>
      <c r="B1119" s="6">
        <v>1.0</v>
      </c>
      <c r="C1119" s="7">
        <v>100.0</v>
      </c>
      <c r="D1119" s="6" t="s">
        <v>3196</v>
      </c>
      <c r="E1119" s="16">
        <v>2.0</v>
      </c>
      <c r="F1119" s="18" t="s">
        <v>1110</v>
      </c>
    </row>
    <row r="1120">
      <c r="A1120" s="5" t="s">
        <v>3187</v>
      </c>
      <c r="B1120" s="6">
        <v>4.0</v>
      </c>
      <c r="C1120" s="7">
        <v>172.0</v>
      </c>
      <c r="D1120" s="6" t="s">
        <v>3178</v>
      </c>
      <c r="E1120" s="16">
        <v>2.0</v>
      </c>
      <c r="F1120" s="18" t="s">
        <v>1111</v>
      </c>
    </row>
    <row r="1121">
      <c r="A1121" s="5" t="s">
        <v>3251</v>
      </c>
      <c r="B1121" s="6">
        <v>6.0</v>
      </c>
      <c r="C1121" s="7">
        <v>168.0</v>
      </c>
      <c r="D1121" s="6" t="s">
        <v>3194</v>
      </c>
      <c r="E1121" s="16">
        <v>2.0</v>
      </c>
      <c r="F1121" s="18" t="s">
        <v>1112</v>
      </c>
    </row>
    <row r="1122">
      <c r="A1122" s="5" t="s">
        <v>3220</v>
      </c>
      <c r="B1122" s="6">
        <v>6.0</v>
      </c>
      <c r="C1122" s="7">
        <v>143.0</v>
      </c>
      <c r="D1122" s="6" t="s">
        <v>3176</v>
      </c>
      <c r="E1122" s="16">
        <v>2.0</v>
      </c>
      <c r="F1122" s="18" t="s">
        <v>1113</v>
      </c>
    </row>
    <row r="1123">
      <c r="A1123" s="5" t="s">
        <v>3246</v>
      </c>
      <c r="B1123" s="6">
        <v>4.0</v>
      </c>
      <c r="C1123" s="7">
        <v>164.0</v>
      </c>
      <c r="D1123" s="6" t="s">
        <v>3232</v>
      </c>
      <c r="E1123" s="16">
        <v>2.0</v>
      </c>
      <c r="F1123" s="18" t="s">
        <v>1114</v>
      </c>
    </row>
    <row r="1124">
      <c r="A1124" s="5" t="s">
        <v>3233</v>
      </c>
      <c r="B1124" s="6">
        <v>6.0</v>
      </c>
      <c r="C1124" s="7">
        <v>119.0</v>
      </c>
      <c r="D1124" s="6" t="s">
        <v>3178</v>
      </c>
      <c r="E1124" s="16">
        <v>2.0</v>
      </c>
      <c r="F1124" s="18" t="s">
        <v>1115</v>
      </c>
    </row>
    <row r="1125">
      <c r="A1125" s="5" t="s">
        <v>3177</v>
      </c>
      <c r="B1125" s="6">
        <v>5.0</v>
      </c>
      <c r="C1125" s="7">
        <v>103.0</v>
      </c>
      <c r="D1125" s="6" t="s">
        <v>3254</v>
      </c>
      <c r="E1125" s="16">
        <v>2.0</v>
      </c>
      <c r="F1125" s="18" t="s">
        <v>1116</v>
      </c>
    </row>
    <row r="1126">
      <c r="A1126" s="5" t="s">
        <v>3224</v>
      </c>
      <c r="B1126" s="6">
        <v>6.0</v>
      </c>
      <c r="C1126" s="7">
        <v>97.0</v>
      </c>
      <c r="D1126" s="6" t="s">
        <v>3194</v>
      </c>
      <c r="E1126" s="16">
        <v>2.0</v>
      </c>
      <c r="F1126" s="18" t="s">
        <v>1117</v>
      </c>
    </row>
    <row r="1127">
      <c r="A1127" s="5" t="s">
        <v>3236</v>
      </c>
      <c r="B1127" s="6">
        <v>6.0</v>
      </c>
      <c r="C1127" s="7">
        <v>24.0</v>
      </c>
      <c r="D1127" s="6" t="s">
        <v>3194</v>
      </c>
      <c r="E1127" s="16">
        <v>1.0</v>
      </c>
      <c r="F1127" s="18" t="s">
        <v>1118</v>
      </c>
    </row>
    <row r="1128">
      <c r="A1128" s="5" t="s">
        <v>3237</v>
      </c>
      <c r="B1128" s="6">
        <v>2.0</v>
      </c>
      <c r="C1128" s="7">
        <v>24.0</v>
      </c>
      <c r="D1128" s="6" t="s">
        <v>3194</v>
      </c>
      <c r="E1128" s="16">
        <v>1.0</v>
      </c>
      <c r="F1128" s="18" t="s">
        <v>1119</v>
      </c>
    </row>
    <row r="1129">
      <c r="A1129" s="5" t="s">
        <v>3270</v>
      </c>
      <c r="B1129" s="6">
        <v>3.0</v>
      </c>
      <c r="C1129" s="7">
        <v>138.0</v>
      </c>
      <c r="D1129" s="6" t="s">
        <v>3219</v>
      </c>
      <c r="E1129" s="16">
        <v>1.0</v>
      </c>
      <c r="F1129" s="18" t="s">
        <v>1120</v>
      </c>
    </row>
    <row r="1130">
      <c r="A1130" s="5" t="s">
        <v>3252</v>
      </c>
      <c r="B1130" s="6">
        <v>6.0</v>
      </c>
      <c r="C1130" s="7">
        <v>32.0</v>
      </c>
      <c r="D1130" s="6" t="s">
        <v>3173</v>
      </c>
      <c r="E1130" s="16">
        <v>1.0</v>
      </c>
      <c r="F1130" s="18" t="s">
        <v>1121</v>
      </c>
    </row>
    <row r="1131">
      <c r="A1131" s="5" t="s">
        <v>3181</v>
      </c>
      <c r="B1131" s="6">
        <v>1.0</v>
      </c>
      <c r="C1131" s="7">
        <v>32.0</v>
      </c>
      <c r="D1131" s="6" t="s">
        <v>3173</v>
      </c>
      <c r="E1131" s="16">
        <v>1.0</v>
      </c>
      <c r="F1131" s="18" t="s">
        <v>1122</v>
      </c>
    </row>
    <row r="1132">
      <c r="A1132" s="5" t="s">
        <v>3269</v>
      </c>
      <c r="B1132" s="6">
        <v>6.0</v>
      </c>
      <c r="C1132" s="7">
        <v>196.0</v>
      </c>
      <c r="D1132" s="6" t="s">
        <v>3169</v>
      </c>
      <c r="E1132" s="16">
        <v>1.0</v>
      </c>
      <c r="F1132" s="18" t="s">
        <v>1123</v>
      </c>
    </row>
    <row r="1133">
      <c r="A1133" s="5" t="s">
        <v>3264</v>
      </c>
      <c r="B1133" s="6">
        <v>4.0</v>
      </c>
      <c r="C1133" s="7">
        <v>129.0</v>
      </c>
      <c r="D1133" s="6" t="s">
        <v>3182</v>
      </c>
      <c r="E1133" s="16">
        <v>1.0</v>
      </c>
      <c r="F1133" s="18" t="s">
        <v>1124</v>
      </c>
    </row>
    <row r="1134">
      <c r="A1134" s="5" t="s">
        <v>3268</v>
      </c>
      <c r="B1134" s="6">
        <v>1.0</v>
      </c>
      <c r="C1134" s="7">
        <v>7.0</v>
      </c>
      <c r="D1134" s="6" t="s">
        <v>3180</v>
      </c>
      <c r="E1134" s="16">
        <v>1.0</v>
      </c>
      <c r="F1134" s="18" t="s">
        <v>1125</v>
      </c>
    </row>
    <row r="1135">
      <c r="A1135" s="5" t="s">
        <v>3255</v>
      </c>
      <c r="B1135" s="6">
        <v>6.0</v>
      </c>
      <c r="C1135" s="7">
        <v>14.0</v>
      </c>
      <c r="D1135" s="6" t="s">
        <v>3196</v>
      </c>
      <c r="E1135" s="16">
        <v>1.0</v>
      </c>
      <c r="F1135" s="18" t="s">
        <v>1126</v>
      </c>
    </row>
    <row r="1136">
      <c r="A1136" s="5" t="s">
        <v>3195</v>
      </c>
      <c r="B1136" s="6">
        <v>4.0</v>
      </c>
      <c r="C1136" s="7">
        <v>10.0</v>
      </c>
      <c r="D1136" s="6" t="s">
        <v>3249</v>
      </c>
      <c r="E1136" s="16">
        <v>5.0</v>
      </c>
      <c r="F1136" s="18" t="s">
        <v>1127</v>
      </c>
    </row>
    <row r="1137">
      <c r="A1137" s="5" t="s">
        <v>3216</v>
      </c>
      <c r="B1137" s="6">
        <v>6.0</v>
      </c>
      <c r="C1137" s="7">
        <v>173.0</v>
      </c>
      <c r="D1137" s="6" t="s">
        <v>3167</v>
      </c>
      <c r="E1137" s="16">
        <v>5.0</v>
      </c>
      <c r="F1137" s="18" t="s">
        <v>1128</v>
      </c>
    </row>
    <row r="1138">
      <c r="A1138" s="5" t="s">
        <v>3236</v>
      </c>
      <c r="B1138" s="6">
        <v>6.0</v>
      </c>
      <c r="C1138" s="7">
        <v>153.0</v>
      </c>
      <c r="D1138" s="6" t="s">
        <v>3180</v>
      </c>
      <c r="E1138" s="16">
        <v>5.0</v>
      </c>
      <c r="F1138" s="18" t="s">
        <v>1129</v>
      </c>
    </row>
    <row r="1139">
      <c r="A1139" s="5" t="s">
        <v>3256</v>
      </c>
      <c r="B1139" s="6">
        <v>6.0</v>
      </c>
      <c r="C1139" s="7">
        <v>30.0</v>
      </c>
      <c r="D1139" s="6" t="s">
        <v>3171</v>
      </c>
      <c r="E1139" s="16">
        <v>5.0</v>
      </c>
      <c r="F1139" s="18" t="s">
        <v>1130</v>
      </c>
    </row>
    <row r="1140">
      <c r="A1140" s="5" t="s">
        <v>3170</v>
      </c>
      <c r="B1140" s="6">
        <v>1.0</v>
      </c>
      <c r="C1140" s="7">
        <v>70.0</v>
      </c>
      <c r="D1140" s="6" t="s">
        <v>3222</v>
      </c>
      <c r="E1140" s="16">
        <v>5.0</v>
      </c>
      <c r="F1140" s="18" t="s">
        <v>1131</v>
      </c>
    </row>
    <row r="1141">
      <c r="A1141" s="5" t="s">
        <v>3264</v>
      </c>
      <c r="B1141" s="6">
        <v>4.0</v>
      </c>
      <c r="C1141" s="7">
        <v>47.0</v>
      </c>
      <c r="D1141" s="6" t="s">
        <v>3221</v>
      </c>
      <c r="E1141" s="16">
        <v>5.0</v>
      </c>
      <c r="F1141" s="18" t="s">
        <v>1132</v>
      </c>
    </row>
    <row r="1142">
      <c r="A1142" s="5" t="s">
        <v>3269</v>
      </c>
      <c r="B1142" s="6">
        <v>6.0</v>
      </c>
      <c r="C1142" s="7">
        <v>85.0</v>
      </c>
      <c r="D1142" s="6" t="s">
        <v>3192</v>
      </c>
      <c r="E1142" s="16">
        <v>5.0</v>
      </c>
      <c r="F1142" s="18" t="s">
        <v>1133</v>
      </c>
    </row>
    <row r="1143">
      <c r="A1143" s="5" t="s">
        <v>3250</v>
      </c>
      <c r="B1143" s="6">
        <v>4.0</v>
      </c>
      <c r="C1143" s="7">
        <v>104.0</v>
      </c>
      <c r="D1143" s="6" t="s">
        <v>3257</v>
      </c>
      <c r="E1143" s="16">
        <v>5.0</v>
      </c>
      <c r="F1143" s="18" t="s">
        <v>1134</v>
      </c>
    </row>
    <row r="1144">
      <c r="A1144" s="5" t="s">
        <v>3246</v>
      </c>
      <c r="B1144" s="6">
        <v>4.0</v>
      </c>
      <c r="C1144" s="7">
        <v>157.0</v>
      </c>
      <c r="D1144" s="6" t="s">
        <v>3219</v>
      </c>
      <c r="E1144" s="16">
        <v>5.0</v>
      </c>
      <c r="F1144" s="18" t="s">
        <v>1135</v>
      </c>
    </row>
    <row r="1145">
      <c r="A1145" s="5" t="s">
        <v>3201</v>
      </c>
      <c r="B1145" s="6">
        <v>5.0</v>
      </c>
      <c r="C1145" s="7">
        <v>10.0</v>
      </c>
      <c r="D1145" s="6" t="s">
        <v>3249</v>
      </c>
      <c r="E1145" s="16">
        <v>5.0</v>
      </c>
      <c r="F1145" s="18" t="s">
        <v>1136</v>
      </c>
    </row>
    <row r="1146">
      <c r="A1146" s="5" t="s">
        <v>3189</v>
      </c>
      <c r="B1146" s="6">
        <v>6.0</v>
      </c>
      <c r="C1146" s="7">
        <v>82.0</v>
      </c>
      <c r="D1146" s="6" t="s">
        <v>3190</v>
      </c>
      <c r="E1146" s="16">
        <v>5.0</v>
      </c>
      <c r="F1146" s="18" t="s">
        <v>1137</v>
      </c>
    </row>
    <row r="1147">
      <c r="A1147" s="5" t="s">
        <v>3236</v>
      </c>
      <c r="B1147" s="6">
        <v>6.0</v>
      </c>
      <c r="C1147" s="7">
        <v>175.0</v>
      </c>
      <c r="D1147" s="6" t="s">
        <v>3257</v>
      </c>
      <c r="E1147" s="16">
        <v>5.0</v>
      </c>
      <c r="F1147" s="18" t="s">
        <v>116</v>
      </c>
    </row>
    <row r="1148">
      <c r="A1148" s="5" t="s">
        <v>3195</v>
      </c>
      <c r="B1148" s="6">
        <v>4.0</v>
      </c>
      <c r="C1148" s="7">
        <v>9.0</v>
      </c>
      <c r="D1148" s="6" t="s">
        <v>3232</v>
      </c>
      <c r="E1148" s="16">
        <v>5.0</v>
      </c>
      <c r="F1148" s="18" t="s">
        <v>1138</v>
      </c>
    </row>
    <row r="1149">
      <c r="A1149" s="5" t="s">
        <v>3243</v>
      </c>
      <c r="B1149" s="6">
        <v>4.0</v>
      </c>
      <c r="C1149" s="7">
        <v>124.0</v>
      </c>
      <c r="D1149" s="6" t="s">
        <v>3238</v>
      </c>
      <c r="E1149" s="16">
        <v>5.0</v>
      </c>
      <c r="F1149" s="18" t="s">
        <v>1139</v>
      </c>
    </row>
    <row r="1150">
      <c r="A1150" s="5" t="s">
        <v>3179</v>
      </c>
      <c r="B1150" s="6">
        <v>1.0</v>
      </c>
      <c r="C1150" s="7">
        <v>175.0</v>
      </c>
      <c r="D1150" s="6" t="s">
        <v>3257</v>
      </c>
      <c r="E1150" s="16">
        <v>4.0</v>
      </c>
      <c r="F1150" s="18" t="s">
        <v>1140</v>
      </c>
    </row>
    <row r="1151">
      <c r="A1151" s="5" t="s">
        <v>3228</v>
      </c>
      <c r="B1151" s="6">
        <v>6.0</v>
      </c>
      <c r="C1151" s="7">
        <v>17.0</v>
      </c>
      <c r="D1151" s="6" t="s">
        <v>3241</v>
      </c>
      <c r="E1151" s="16">
        <v>4.0</v>
      </c>
      <c r="F1151" s="18" t="s">
        <v>1141</v>
      </c>
    </row>
    <row r="1152">
      <c r="A1152" s="5" t="s">
        <v>3270</v>
      </c>
      <c r="B1152" s="6">
        <v>3.0</v>
      </c>
      <c r="C1152" s="7">
        <v>50.0</v>
      </c>
      <c r="D1152" s="6" t="s">
        <v>3238</v>
      </c>
      <c r="E1152" s="16">
        <v>4.0</v>
      </c>
      <c r="F1152" s="18" t="s">
        <v>1142</v>
      </c>
    </row>
    <row r="1153">
      <c r="A1153" s="5" t="s">
        <v>3205</v>
      </c>
      <c r="B1153" s="6">
        <v>1.0</v>
      </c>
      <c r="C1153" s="7">
        <v>154.0</v>
      </c>
      <c r="D1153" s="6" t="s">
        <v>3171</v>
      </c>
      <c r="E1153" s="16">
        <v>4.0</v>
      </c>
      <c r="F1153" s="18" t="s">
        <v>1143</v>
      </c>
    </row>
    <row r="1154">
      <c r="A1154" s="5" t="s">
        <v>3256</v>
      </c>
      <c r="B1154" s="6">
        <v>6.0</v>
      </c>
      <c r="C1154" s="7">
        <v>113.0</v>
      </c>
      <c r="D1154" s="6" t="s">
        <v>3207</v>
      </c>
      <c r="E1154" s="16">
        <v>4.0</v>
      </c>
      <c r="F1154" s="18" t="s">
        <v>1144</v>
      </c>
    </row>
    <row r="1155">
      <c r="A1155" s="5" t="s">
        <v>3233</v>
      </c>
      <c r="B1155" s="6">
        <v>6.0</v>
      </c>
      <c r="C1155" s="7">
        <v>13.0</v>
      </c>
      <c r="D1155" s="6" t="s">
        <v>3245</v>
      </c>
      <c r="E1155" s="16">
        <v>4.0</v>
      </c>
      <c r="F1155" s="18" t="s">
        <v>1145</v>
      </c>
    </row>
    <row r="1156">
      <c r="A1156" s="5" t="s">
        <v>3223</v>
      </c>
      <c r="B1156" s="6">
        <v>3.0</v>
      </c>
      <c r="C1156" s="7">
        <v>158.0</v>
      </c>
      <c r="D1156" s="6" t="s">
        <v>3235</v>
      </c>
      <c r="E1156" s="16">
        <v>3.0</v>
      </c>
      <c r="F1156" s="18" t="s">
        <v>1146</v>
      </c>
    </row>
    <row r="1157">
      <c r="A1157" s="5" t="s">
        <v>3259</v>
      </c>
      <c r="B1157" s="6">
        <v>6.0</v>
      </c>
      <c r="C1157" s="7">
        <v>101.0</v>
      </c>
      <c r="D1157" s="6" t="s">
        <v>3238</v>
      </c>
      <c r="E1157" s="16">
        <v>3.0</v>
      </c>
      <c r="F1157" s="18" t="s">
        <v>1147</v>
      </c>
    </row>
    <row r="1158">
      <c r="A1158" s="5" t="s">
        <v>3166</v>
      </c>
      <c r="B1158" s="6">
        <v>6.0</v>
      </c>
      <c r="C1158" s="7">
        <v>118.0</v>
      </c>
      <c r="D1158" s="6" t="s">
        <v>3200</v>
      </c>
      <c r="E1158" s="16">
        <v>3.0</v>
      </c>
      <c r="F1158" s="18" t="s">
        <v>1148</v>
      </c>
    </row>
    <row r="1159">
      <c r="A1159" s="5" t="s">
        <v>3240</v>
      </c>
      <c r="B1159" s="6">
        <v>2.0</v>
      </c>
      <c r="C1159" s="7">
        <v>189.0</v>
      </c>
      <c r="D1159" s="6" t="s">
        <v>3225</v>
      </c>
      <c r="E1159" s="16">
        <v>3.0</v>
      </c>
      <c r="F1159" s="18" t="s">
        <v>1149</v>
      </c>
    </row>
    <row r="1160">
      <c r="A1160" s="5" t="s">
        <v>3229</v>
      </c>
      <c r="B1160" s="6">
        <v>4.0</v>
      </c>
      <c r="C1160" s="7">
        <v>144.0</v>
      </c>
      <c r="D1160" s="6" t="s">
        <v>3173</v>
      </c>
      <c r="E1160" s="16">
        <v>3.0</v>
      </c>
      <c r="F1160" s="18" t="s">
        <v>1150</v>
      </c>
    </row>
    <row r="1161">
      <c r="A1161" s="5" t="s">
        <v>3233</v>
      </c>
      <c r="B1161" s="6">
        <v>6.0</v>
      </c>
      <c r="C1161" s="7">
        <v>119.0</v>
      </c>
      <c r="D1161" s="6" t="s">
        <v>3178</v>
      </c>
      <c r="E1161" s="16">
        <v>2.0</v>
      </c>
      <c r="F1161" s="18" t="s">
        <v>1151</v>
      </c>
    </row>
    <row r="1162">
      <c r="A1162" s="5" t="s">
        <v>3174</v>
      </c>
      <c r="B1162" s="6">
        <v>1.0</v>
      </c>
      <c r="C1162" s="7">
        <v>60.0</v>
      </c>
      <c r="D1162" s="6" t="s">
        <v>3196</v>
      </c>
      <c r="E1162" s="16">
        <v>2.0</v>
      </c>
      <c r="F1162" s="18" t="s">
        <v>1152</v>
      </c>
    </row>
    <row r="1163">
      <c r="A1163" s="5" t="s">
        <v>3231</v>
      </c>
      <c r="B1163" s="6">
        <v>4.0</v>
      </c>
      <c r="C1163" s="7">
        <v>37.0</v>
      </c>
      <c r="D1163" s="6" t="s">
        <v>3194</v>
      </c>
      <c r="E1163" s="16">
        <v>2.0</v>
      </c>
      <c r="F1163" s="18" t="s">
        <v>1153</v>
      </c>
    </row>
    <row r="1164">
      <c r="A1164" s="5" t="s">
        <v>3258</v>
      </c>
      <c r="B1164" s="6">
        <v>6.0</v>
      </c>
      <c r="C1164" s="7">
        <v>119.0</v>
      </c>
      <c r="D1164" s="6" t="s">
        <v>3178</v>
      </c>
      <c r="E1164" s="16">
        <v>2.0</v>
      </c>
      <c r="F1164" s="18" t="s">
        <v>1154</v>
      </c>
    </row>
    <row r="1165">
      <c r="A1165" s="5" t="s">
        <v>3179</v>
      </c>
      <c r="B1165" s="6">
        <v>1.0</v>
      </c>
      <c r="C1165" s="7">
        <v>194.0</v>
      </c>
      <c r="D1165" s="6" t="s">
        <v>3215</v>
      </c>
      <c r="E1165" s="16">
        <v>2.0</v>
      </c>
      <c r="F1165" s="18" t="s">
        <v>1155</v>
      </c>
    </row>
    <row r="1166">
      <c r="A1166" s="5" t="s">
        <v>3189</v>
      </c>
      <c r="B1166" s="6">
        <v>6.0</v>
      </c>
      <c r="C1166" s="7">
        <v>136.0</v>
      </c>
      <c r="D1166" s="6" t="s">
        <v>3221</v>
      </c>
      <c r="E1166" s="16">
        <v>2.0</v>
      </c>
      <c r="F1166" s="18" t="s">
        <v>1156</v>
      </c>
    </row>
    <row r="1167">
      <c r="A1167" s="5" t="s">
        <v>3189</v>
      </c>
      <c r="B1167" s="6">
        <v>6.0</v>
      </c>
      <c r="C1167" s="7">
        <v>16.0</v>
      </c>
      <c r="D1167" s="6" t="s">
        <v>3178</v>
      </c>
      <c r="E1167" s="16">
        <v>2.0</v>
      </c>
      <c r="F1167" s="18" t="s">
        <v>1157</v>
      </c>
    </row>
    <row r="1168">
      <c r="A1168" s="5" t="s">
        <v>3228</v>
      </c>
      <c r="B1168" s="6">
        <v>6.0</v>
      </c>
      <c r="C1168" s="7">
        <v>8.0</v>
      </c>
      <c r="D1168" s="6" t="s">
        <v>3169</v>
      </c>
      <c r="E1168" s="16">
        <v>2.0</v>
      </c>
      <c r="F1168" s="18" t="s">
        <v>1158</v>
      </c>
    </row>
    <row r="1169">
      <c r="A1169" s="5" t="s">
        <v>3229</v>
      </c>
      <c r="B1169" s="6">
        <v>4.0</v>
      </c>
      <c r="C1169" s="7">
        <v>68.0</v>
      </c>
      <c r="D1169" s="6" t="s">
        <v>3182</v>
      </c>
      <c r="E1169" s="16">
        <v>2.0</v>
      </c>
      <c r="F1169" s="18" t="s">
        <v>1159</v>
      </c>
    </row>
    <row r="1170">
      <c r="A1170" s="5" t="s">
        <v>3226</v>
      </c>
      <c r="B1170" s="6">
        <v>1.0</v>
      </c>
      <c r="C1170" s="7">
        <v>194.0</v>
      </c>
      <c r="D1170" s="6" t="s">
        <v>3215</v>
      </c>
      <c r="E1170" s="16">
        <v>2.0</v>
      </c>
      <c r="F1170" s="18" t="s">
        <v>1160</v>
      </c>
    </row>
    <row r="1171">
      <c r="A1171" s="5" t="s">
        <v>3175</v>
      </c>
      <c r="B1171" s="6">
        <v>5.0</v>
      </c>
      <c r="C1171" s="7">
        <v>146.0</v>
      </c>
      <c r="D1171" s="6" t="s">
        <v>3200</v>
      </c>
      <c r="E1171" s="16">
        <v>2.0</v>
      </c>
      <c r="F1171" s="18" t="s">
        <v>1161</v>
      </c>
    </row>
    <row r="1172">
      <c r="A1172" s="5" t="s">
        <v>3253</v>
      </c>
      <c r="B1172" s="6">
        <v>1.0</v>
      </c>
      <c r="C1172" s="7">
        <v>70.0</v>
      </c>
      <c r="D1172" s="6" t="s">
        <v>3222</v>
      </c>
      <c r="E1172" s="16">
        <v>2.0</v>
      </c>
      <c r="F1172" s="18" t="s">
        <v>1162</v>
      </c>
    </row>
    <row r="1173">
      <c r="A1173" s="5" t="s">
        <v>3244</v>
      </c>
      <c r="B1173" s="6">
        <v>1.0</v>
      </c>
      <c r="C1173" s="7">
        <v>114.0</v>
      </c>
      <c r="D1173" s="6" t="s">
        <v>3245</v>
      </c>
      <c r="E1173" s="16">
        <v>1.0</v>
      </c>
      <c r="F1173" s="18" t="s">
        <v>1163</v>
      </c>
    </row>
    <row r="1174">
      <c r="A1174" s="5" t="s">
        <v>3233</v>
      </c>
      <c r="B1174" s="6">
        <v>6.0</v>
      </c>
      <c r="C1174" s="7">
        <v>195.0</v>
      </c>
      <c r="D1174" s="6" t="s">
        <v>3239</v>
      </c>
      <c r="E1174" s="16">
        <v>1.0</v>
      </c>
      <c r="F1174" s="18" t="s">
        <v>1164</v>
      </c>
    </row>
    <row r="1175">
      <c r="A1175" s="5" t="s">
        <v>3267</v>
      </c>
      <c r="B1175" s="6">
        <v>3.0</v>
      </c>
      <c r="C1175" s="7">
        <v>74.0</v>
      </c>
      <c r="D1175" s="6" t="s">
        <v>3190</v>
      </c>
      <c r="E1175" s="16">
        <v>1.0</v>
      </c>
      <c r="F1175" s="18" t="s">
        <v>1165</v>
      </c>
    </row>
    <row r="1176">
      <c r="A1176" s="5" t="s">
        <v>3234</v>
      </c>
      <c r="B1176" s="6">
        <v>6.0</v>
      </c>
      <c r="C1176" s="7">
        <v>128.0</v>
      </c>
      <c r="D1176" s="6" t="s">
        <v>3211</v>
      </c>
      <c r="E1176" s="16">
        <v>1.0</v>
      </c>
      <c r="F1176" s="18" t="s">
        <v>1166</v>
      </c>
    </row>
    <row r="1177">
      <c r="A1177" s="5" t="s">
        <v>3231</v>
      </c>
      <c r="B1177" s="6">
        <v>4.0</v>
      </c>
      <c r="C1177" s="7">
        <v>14.0</v>
      </c>
      <c r="D1177" s="6" t="s">
        <v>3196</v>
      </c>
      <c r="E1177" s="16">
        <v>1.0</v>
      </c>
      <c r="F1177" s="18" t="s">
        <v>1167</v>
      </c>
    </row>
    <row r="1178">
      <c r="A1178" s="5" t="s">
        <v>3258</v>
      </c>
      <c r="B1178" s="6">
        <v>6.0</v>
      </c>
      <c r="C1178" s="7">
        <v>44.0</v>
      </c>
      <c r="D1178" s="6" t="s">
        <v>3239</v>
      </c>
      <c r="E1178" s="16">
        <v>1.0</v>
      </c>
      <c r="F1178" s="18" t="s">
        <v>1168</v>
      </c>
    </row>
    <row r="1179">
      <c r="A1179" s="5" t="s">
        <v>3234</v>
      </c>
      <c r="B1179" s="6">
        <v>6.0</v>
      </c>
      <c r="C1179" s="7">
        <v>138.0</v>
      </c>
      <c r="D1179" s="6" t="s">
        <v>3219</v>
      </c>
      <c r="E1179" s="16">
        <v>1.0</v>
      </c>
      <c r="F1179" s="18" t="s">
        <v>1169</v>
      </c>
    </row>
    <row r="1180">
      <c r="A1180" s="5" t="s">
        <v>3177</v>
      </c>
      <c r="B1180" s="6">
        <v>5.0</v>
      </c>
      <c r="C1180" s="7">
        <v>66.0</v>
      </c>
      <c r="D1180" s="6" t="s">
        <v>3171</v>
      </c>
      <c r="E1180" s="16">
        <v>1.0</v>
      </c>
      <c r="F1180" s="18" t="s">
        <v>1170</v>
      </c>
    </row>
    <row r="1181">
      <c r="A1181" s="5" t="s">
        <v>3181</v>
      </c>
      <c r="B1181" s="6">
        <v>1.0</v>
      </c>
      <c r="C1181" s="7">
        <v>101.0</v>
      </c>
      <c r="D1181" s="6" t="s">
        <v>3238</v>
      </c>
      <c r="E1181" s="16">
        <v>1.0</v>
      </c>
      <c r="F1181" s="18" t="s">
        <v>1171</v>
      </c>
    </row>
    <row r="1182">
      <c r="A1182" s="5" t="s">
        <v>3247</v>
      </c>
      <c r="B1182" s="6">
        <v>6.0</v>
      </c>
      <c r="C1182" s="7">
        <v>151.0</v>
      </c>
      <c r="D1182" s="6" t="s">
        <v>3232</v>
      </c>
      <c r="E1182" s="16">
        <v>1.0</v>
      </c>
      <c r="F1182" s="18" t="s">
        <v>1172</v>
      </c>
    </row>
    <row r="1183">
      <c r="A1183" s="5" t="s">
        <v>3256</v>
      </c>
      <c r="B1183" s="6">
        <v>6.0</v>
      </c>
      <c r="C1183" s="7">
        <v>134.0</v>
      </c>
      <c r="D1183" s="6" t="s">
        <v>3239</v>
      </c>
      <c r="E1183" s="16">
        <v>1.0</v>
      </c>
      <c r="F1183" s="18" t="s">
        <v>1173</v>
      </c>
    </row>
    <row r="1184">
      <c r="A1184" s="5" t="s">
        <v>3268</v>
      </c>
      <c r="B1184" s="6">
        <v>1.0</v>
      </c>
      <c r="C1184" s="7">
        <v>145.0</v>
      </c>
      <c r="D1184" s="6" t="s">
        <v>3222</v>
      </c>
      <c r="E1184" s="16">
        <v>1.0</v>
      </c>
      <c r="F1184" s="18" t="s">
        <v>1174</v>
      </c>
    </row>
    <row r="1185">
      <c r="A1185" s="5" t="s">
        <v>3247</v>
      </c>
      <c r="B1185" s="6">
        <v>6.0</v>
      </c>
      <c r="C1185" s="7">
        <v>199.0</v>
      </c>
      <c r="D1185" s="6" t="s">
        <v>3169</v>
      </c>
      <c r="E1185" s="16">
        <v>1.0</v>
      </c>
      <c r="F1185" s="18" t="s">
        <v>1175</v>
      </c>
    </row>
    <row r="1186">
      <c r="A1186" s="5" t="s">
        <v>3258</v>
      </c>
      <c r="B1186" s="6">
        <v>6.0</v>
      </c>
      <c r="C1186" s="7">
        <v>74.0</v>
      </c>
      <c r="D1186" s="6" t="s">
        <v>3190</v>
      </c>
      <c r="E1186" s="16">
        <v>1.0</v>
      </c>
      <c r="F1186" s="18" t="s">
        <v>1176</v>
      </c>
    </row>
    <row r="1187">
      <c r="A1187" s="5" t="s">
        <v>3236</v>
      </c>
      <c r="B1187" s="6">
        <v>6.0</v>
      </c>
      <c r="C1187" s="7">
        <v>46.0</v>
      </c>
      <c r="D1187" s="6" t="s">
        <v>3194</v>
      </c>
      <c r="E1187" s="16">
        <v>1.0</v>
      </c>
      <c r="F1187" s="18" t="s">
        <v>1177</v>
      </c>
    </row>
    <row r="1188">
      <c r="A1188" s="5" t="s">
        <v>3181</v>
      </c>
      <c r="B1188" s="6">
        <v>1.0</v>
      </c>
      <c r="C1188" s="7">
        <v>48.0</v>
      </c>
      <c r="D1188" s="6" t="s">
        <v>3232</v>
      </c>
      <c r="E1188" s="16">
        <v>1.0</v>
      </c>
      <c r="F1188" s="18" t="s">
        <v>1178</v>
      </c>
    </row>
    <row r="1189">
      <c r="A1189" s="5" t="s">
        <v>3243</v>
      </c>
      <c r="B1189" s="6">
        <v>4.0</v>
      </c>
      <c r="C1189" s="7">
        <v>14.0</v>
      </c>
      <c r="D1189" s="6" t="s">
        <v>3196</v>
      </c>
      <c r="E1189" s="16">
        <v>1.0</v>
      </c>
      <c r="F1189" s="18" t="s">
        <v>1179</v>
      </c>
    </row>
    <row r="1190">
      <c r="A1190" s="5" t="s">
        <v>3218</v>
      </c>
      <c r="B1190" s="6">
        <v>5.0</v>
      </c>
      <c r="C1190" s="7">
        <v>66.0</v>
      </c>
      <c r="D1190" s="6" t="s">
        <v>3171</v>
      </c>
      <c r="E1190" s="16">
        <v>5.0</v>
      </c>
      <c r="F1190" s="18" t="s">
        <v>1180</v>
      </c>
    </row>
    <row r="1191">
      <c r="A1191" s="5" t="s">
        <v>3193</v>
      </c>
      <c r="B1191" s="6">
        <v>5.0</v>
      </c>
      <c r="C1191" s="7">
        <v>190.0</v>
      </c>
      <c r="D1191" s="6" t="s">
        <v>3186</v>
      </c>
      <c r="E1191" s="16">
        <v>5.0</v>
      </c>
      <c r="F1191" s="18" t="s">
        <v>1181</v>
      </c>
    </row>
    <row r="1192">
      <c r="A1192" s="5" t="s">
        <v>3261</v>
      </c>
      <c r="B1192" s="6">
        <v>4.0</v>
      </c>
      <c r="C1192" s="7">
        <v>67.0</v>
      </c>
      <c r="D1192" s="6" t="s">
        <v>3186</v>
      </c>
      <c r="E1192" s="16">
        <v>5.0</v>
      </c>
      <c r="F1192" s="18" t="s">
        <v>1182</v>
      </c>
    </row>
    <row r="1193">
      <c r="A1193" s="5" t="s">
        <v>3230</v>
      </c>
      <c r="B1193" s="6">
        <v>1.0</v>
      </c>
      <c r="C1193" s="7">
        <v>110.0</v>
      </c>
      <c r="D1193" s="6" t="s">
        <v>3211</v>
      </c>
      <c r="E1193" s="16">
        <v>5.0</v>
      </c>
      <c r="F1193" s="18" t="s">
        <v>1183</v>
      </c>
    </row>
    <row r="1194">
      <c r="A1194" s="5" t="s">
        <v>3240</v>
      </c>
      <c r="B1194" s="6">
        <v>2.0</v>
      </c>
      <c r="C1194" s="7">
        <v>63.0</v>
      </c>
      <c r="D1194" s="6" t="s">
        <v>3257</v>
      </c>
      <c r="E1194" s="16">
        <v>5.0</v>
      </c>
      <c r="F1194" s="18" t="s">
        <v>1184</v>
      </c>
    </row>
    <row r="1195">
      <c r="A1195" s="5" t="s">
        <v>3175</v>
      </c>
      <c r="B1195" s="6">
        <v>5.0</v>
      </c>
      <c r="C1195" s="7">
        <v>195.0</v>
      </c>
      <c r="D1195" s="6" t="s">
        <v>3239</v>
      </c>
      <c r="E1195" s="16">
        <v>5.0</v>
      </c>
      <c r="F1195" s="18" t="s">
        <v>1185</v>
      </c>
    </row>
    <row r="1196">
      <c r="A1196" s="5" t="s">
        <v>3234</v>
      </c>
      <c r="B1196" s="6">
        <v>6.0</v>
      </c>
      <c r="C1196" s="7">
        <v>109.0</v>
      </c>
      <c r="D1196" s="6" t="s">
        <v>3249</v>
      </c>
      <c r="E1196" s="16">
        <v>5.0</v>
      </c>
      <c r="F1196" s="18" t="s">
        <v>1186</v>
      </c>
    </row>
    <row r="1197">
      <c r="A1197" s="5" t="s">
        <v>3177</v>
      </c>
      <c r="B1197" s="6">
        <v>5.0</v>
      </c>
      <c r="C1197" s="7">
        <v>148.0</v>
      </c>
      <c r="D1197" s="6" t="s">
        <v>3262</v>
      </c>
      <c r="E1197" s="16">
        <v>5.0</v>
      </c>
      <c r="F1197" s="18" t="s">
        <v>1187</v>
      </c>
    </row>
    <row r="1198">
      <c r="A1198" s="5" t="s">
        <v>3199</v>
      </c>
      <c r="B1198" s="6">
        <v>3.0</v>
      </c>
      <c r="C1198" s="7">
        <v>184.0</v>
      </c>
      <c r="D1198" s="6" t="s">
        <v>3169</v>
      </c>
      <c r="E1198" s="16">
        <v>5.0</v>
      </c>
      <c r="F1198" s="18" t="s">
        <v>1188</v>
      </c>
    </row>
    <row r="1199">
      <c r="A1199" s="5" t="s">
        <v>3191</v>
      </c>
      <c r="B1199" s="6">
        <v>5.0</v>
      </c>
      <c r="C1199" s="7">
        <v>34.0</v>
      </c>
      <c r="D1199" s="6" t="s">
        <v>3227</v>
      </c>
      <c r="E1199" s="16">
        <v>5.0</v>
      </c>
      <c r="F1199" s="18" t="s">
        <v>1189</v>
      </c>
    </row>
    <row r="1200">
      <c r="A1200" s="5" t="s">
        <v>3248</v>
      </c>
      <c r="B1200" s="6">
        <v>3.0</v>
      </c>
      <c r="C1200" s="7">
        <v>36.0</v>
      </c>
      <c r="D1200" s="6" t="s">
        <v>3227</v>
      </c>
      <c r="E1200" s="16">
        <v>5.0</v>
      </c>
      <c r="F1200" s="18" t="s">
        <v>1190</v>
      </c>
    </row>
    <row r="1201">
      <c r="A1201" s="5" t="s">
        <v>3266</v>
      </c>
      <c r="B1201" s="6">
        <v>3.0</v>
      </c>
      <c r="C1201" s="7">
        <v>42.0</v>
      </c>
      <c r="D1201" s="6" t="s">
        <v>3182</v>
      </c>
      <c r="E1201" s="16">
        <v>4.0</v>
      </c>
      <c r="F1201" s="18" t="s">
        <v>1191</v>
      </c>
    </row>
    <row r="1202">
      <c r="A1202" s="5" t="s">
        <v>3195</v>
      </c>
      <c r="B1202" s="6">
        <v>4.0</v>
      </c>
      <c r="C1202" s="7">
        <v>105.0</v>
      </c>
      <c r="D1202" s="6" t="s">
        <v>3167</v>
      </c>
      <c r="E1202" s="16">
        <v>4.0</v>
      </c>
      <c r="F1202" s="18" t="s">
        <v>1192</v>
      </c>
    </row>
    <row r="1203">
      <c r="A1203" s="5" t="s">
        <v>3253</v>
      </c>
      <c r="B1203" s="6">
        <v>1.0</v>
      </c>
      <c r="C1203" s="7">
        <v>122.0</v>
      </c>
      <c r="D1203" s="6" t="s">
        <v>3232</v>
      </c>
      <c r="E1203" s="16">
        <v>4.0</v>
      </c>
      <c r="F1203" s="18" t="s">
        <v>1193</v>
      </c>
    </row>
    <row r="1204">
      <c r="A1204" s="5" t="s">
        <v>3177</v>
      </c>
      <c r="B1204" s="6">
        <v>5.0</v>
      </c>
      <c r="C1204" s="7">
        <v>12.0</v>
      </c>
      <c r="D1204" s="6" t="s">
        <v>3225</v>
      </c>
      <c r="E1204" s="16">
        <v>4.0</v>
      </c>
      <c r="F1204" s="18" t="s">
        <v>1194</v>
      </c>
    </row>
    <row r="1205">
      <c r="A1205" s="5" t="s">
        <v>3166</v>
      </c>
      <c r="B1205" s="6">
        <v>6.0</v>
      </c>
      <c r="C1205" s="7">
        <v>144.0</v>
      </c>
      <c r="D1205" s="6" t="s">
        <v>3173</v>
      </c>
      <c r="E1205" s="16">
        <v>3.0</v>
      </c>
      <c r="F1205" s="18" t="s">
        <v>1195</v>
      </c>
    </row>
    <row r="1206">
      <c r="A1206" s="5" t="s">
        <v>3204</v>
      </c>
      <c r="B1206" s="6">
        <v>1.0</v>
      </c>
      <c r="C1206" s="7">
        <v>76.0</v>
      </c>
      <c r="D1206" s="6" t="s">
        <v>3190</v>
      </c>
      <c r="E1206" s="16">
        <v>3.0</v>
      </c>
      <c r="F1206" s="18" t="s">
        <v>1196</v>
      </c>
    </row>
    <row r="1207">
      <c r="A1207" s="5" t="s">
        <v>3210</v>
      </c>
      <c r="B1207" s="6">
        <v>1.0</v>
      </c>
      <c r="C1207" s="7">
        <v>98.0</v>
      </c>
      <c r="D1207" s="6" t="s">
        <v>3211</v>
      </c>
      <c r="E1207" s="16">
        <v>3.0</v>
      </c>
      <c r="F1207" s="18" t="s">
        <v>914</v>
      </c>
    </row>
    <row r="1208">
      <c r="A1208" s="5" t="s">
        <v>3174</v>
      </c>
      <c r="B1208" s="6">
        <v>1.0</v>
      </c>
      <c r="C1208" s="7">
        <v>75.0</v>
      </c>
      <c r="D1208" s="6" t="s">
        <v>3257</v>
      </c>
      <c r="E1208" s="16">
        <v>2.0</v>
      </c>
      <c r="F1208" s="18" t="s">
        <v>1197</v>
      </c>
    </row>
    <row r="1209">
      <c r="A1209" s="5" t="s">
        <v>3267</v>
      </c>
      <c r="B1209" s="6">
        <v>3.0</v>
      </c>
      <c r="C1209" s="7">
        <v>185.0</v>
      </c>
      <c r="D1209" s="6" t="s">
        <v>3173</v>
      </c>
      <c r="E1209" s="16">
        <v>2.0</v>
      </c>
      <c r="F1209" s="18" t="s">
        <v>1198</v>
      </c>
    </row>
    <row r="1210">
      <c r="A1210" s="5" t="s">
        <v>3270</v>
      </c>
      <c r="B1210" s="6">
        <v>3.0</v>
      </c>
      <c r="C1210" s="7">
        <v>149.0</v>
      </c>
      <c r="D1210" s="6" t="s">
        <v>3239</v>
      </c>
      <c r="E1210" s="16">
        <v>2.0</v>
      </c>
      <c r="F1210" s="18" t="s">
        <v>1199</v>
      </c>
    </row>
    <row r="1211">
      <c r="A1211" s="5" t="s">
        <v>3206</v>
      </c>
      <c r="B1211" s="6">
        <v>6.0</v>
      </c>
      <c r="C1211" s="7">
        <v>102.0</v>
      </c>
      <c r="D1211" s="6" t="s">
        <v>3178</v>
      </c>
      <c r="E1211" s="16">
        <v>2.0</v>
      </c>
      <c r="F1211" s="18" t="s">
        <v>1200</v>
      </c>
    </row>
    <row r="1212">
      <c r="A1212" s="5" t="s">
        <v>3250</v>
      </c>
      <c r="B1212" s="6">
        <v>4.0</v>
      </c>
      <c r="C1212" s="7">
        <v>44.0</v>
      </c>
      <c r="D1212" s="6" t="s">
        <v>3239</v>
      </c>
      <c r="E1212" s="16">
        <v>2.0</v>
      </c>
      <c r="F1212" s="18" t="s">
        <v>1201</v>
      </c>
    </row>
    <row r="1213">
      <c r="A1213" s="5" t="s">
        <v>3209</v>
      </c>
      <c r="B1213" s="6">
        <v>4.0</v>
      </c>
      <c r="C1213" s="7">
        <v>144.0</v>
      </c>
      <c r="D1213" s="6" t="s">
        <v>3173</v>
      </c>
      <c r="E1213" s="16">
        <v>2.0</v>
      </c>
      <c r="F1213" s="18" t="s">
        <v>1202</v>
      </c>
    </row>
    <row r="1214">
      <c r="A1214" s="5" t="s">
        <v>3179</v>
      </c>
      <c r="B1214" s="6">
        <v>1.0</v>
      </c>
      <c r="C1214" s="7">
        <v>133.0</v>
      </c>
      <c r="D1214" s="6" t="s">
        <v>3192</v>
      </c>
      <c r="E1214" s="16">
        <v>2.0</v>
      </c>
      <c r="F1214" s="18" t="s">
        <v>1203</v>
      </c>
    </row>
    <row r="1215">
      <c r="A1215" s="5" t="s">
        <v>3259</v>
      </c>
      <c r="B1215" s="6">
        <v>6.0</v>
      </c>
      <c r="C1215" s="7">
        <v>191.0</v>
      </c>
      <c r="D1215" s="6" t="s">
        <v>3221</v>
      </c>
      <c r="E1215" s="16">
        <v>2.0</v>
      </c>
      <c r="F1215" s="18" t="s">
        <v>1204</v>
      </c>
    </row>
    <row r="1216">
      <c r="A1216" s="5" t="s">
        <v>3267</v>
      </c>
      <c r="B1216" s="6">
        <v>3.0</v>
      </c>
      <c r="C1216" s="7">
        <v>110.0</v>
      </c>
      <c r="D1216" s="6" t="s">
        <v>3211</v>
      </c>
      <c r="E1216" s="16">
        <v>2.0</v>
      </c>
      <c r="F1216" s="18" t="s">
        <v>1205</v>
      </c>
    </row>
    <row r="1217">
      <c r="A1217" s="5" t="s">
        <v>3265</v>
      </c>
      <c r="B1217" s="6">
        <v>1.0</v>
      </c>
      <c r="C1217" s="7">
        <v>31.0</v>
      </c>
      <c r="D1217" s="6" t="s">
        <v>3227</v>
      </c>
      <c r="E1217" s="16">
        <v>2.0</v>
      </c>
      <c r="F1217" s="18" t="s">
        <v>1206</v>
      </c>
    </row>
    <row r="1218">
      <c r="A1218" s="5" t="s">
        <v>3270</v>
      </c>
      <c r="B1218" s="6">
        <v>3.0</v>
      </c>
      <c r="C1218" s="7">
        <v>87.0</v>
      </c>
      <c r="D1218" s="6" t="s">
        <v>3227</v>
      </c>
      <c r="E1218" s="16">
        <v>2.0</v>
      </c>
      <c r="F1218" s="18" t="s">
        <v>1207</v>
      </c>
    </row>
    <row r="1219">
      <c r="A1219" s="5" t="s">
        <v>3197</v>
      </c>
      <c r="B1219" s="6">
        <v>1.0</v>
      </c>
      <c r="C1219" s="7">
        <v>147.0</v>
      </c>
      <c r="D1219" s="6" t="s">
        <v>3196</v>
      </c>
      <c r="E1219" s="16">
        <v>2.0</v>
      </c>
      <c r="F1219" s="18" t="s">
        <v>1208</v>
      </c>
    </row>
    <row r="1220">
      <c r="A1220" s="5" t="s">
        <v>3231</v>
      </c>
      <c r="B1220" s="6">
        <v>4.0</v>
      </c>
      <c r="C1220" s="7">
        <v>84.0</v>
      </c>
      <c r="D1220" s="6" t="s">
        <v>3203</v>
      </c>
      <c r="E1220" s="16">
        <v>2.0</v>
      </c>
      <c r="F1220" s="18" t="s">
        <v>1209</v>
      </c>
    </row>
    <row r="1221">
      <c r="A1221" s="5" t="s">
        <v>3170</v>
      </c>
      <c r="B1221" s="6">
        <v>1.0</v>
      </c>
      <c r="C1221" s="7">
        <v>73.0</v>
      </c>
      <c r="D1221" s="6" t="s">
        <v>3173</v>
      </c>
      <c r="E1221" s="16">
        <v>1.0</v>
      </c>
      <c r="F1221" s="18" t="s">
        <v>1210</v>
      </c>
    </row>
    <row r="1222">
      <c r="A1222" s="5" t="s">
        <v>3195</v>
      </c>
      <c r="B1222" s="6">
        <v>4.0</v>
      </c>
      <c r="C1222" s="7">
        <v>13.0</v>
      </c>
      <c r="D1222" s="6" t="s">
        <v>3245</v>
      </c>
      <c r="E1222" s="16">
        <v>1.0</v>
      </c>
      <c r="F1222" s="18" t="s">
        <v>1211</v>
      </c>
    </row>
    <row r="1223">
      <c r="A1223" s="5" t="s">
        <v>3174</v>
      </c>
      <c r="B1223" s="6">
        <v>1.0</v>
      </c>
      <c r="C1223" s="7">
        <v>163.0</v>
      </c>
      <c r="D1223" s="6" t="s">
        <v>3173</v>
      </c>
      <c r="E1223" s="16">
        <v>1.0</v>
      </c>
      <c r="F1223" s="18" t="s">
        <v>1212</v>
      </c>
    </row>
    <row r="1224">
      <c r="A1224" s="5" t="s">
        <v>3246</v>
      </c>
      <c r="B1224" s="6">
        <v>4.0</v>
      </c>
      <c r="C1224" s="7">
        <v>187.0</v>
      </c>
      <c r="D1224" s="6" t="s">
        <v>3254</v>
      </c>
      <c r="E1224" s="16">
        <v>1.0</v>
      </c>
      <c r="F1224" s="18" t="s">
        <v>777</v>
      </c>
    </row>
    <row r="1225">
      <c r="A1225" s="5" t="s">
        <v>3230</v>
      </c>
      <c r="B1225" s="6">
        <v>1.0</v>
      </c>
      <c r="C1225" s="7">
        <v>179.0</v>
      </c>
      <c r="D1225" s="6" t="s">
        <v>3214</v>
      </c>
      <c r="E1225" s="16">
        <v>1.0</v>
      </c>
      <c r="F1225" s="18" t="s">
        <v>1213</v>
      </c>
    </row>
    <row r="1226">
      <c r="A1226" s="5" t="s">
        <v>3251</v>
      </c>
      <c r="B1226" s="6">
        <v>6.0</v>
      </c>
      <c r="C1226" s="7">
        <v>37.0</v>
      </c>
      <c r="D1226" s="6" t="s">
        <v>3194</v>
      </c>
      <c r="E1226" s="16">
        <v>1.0</v>
      </c>
      <c r="F1226" s="18" t="s">
        <v>1214</v>
      </c>
    </row>
    <row r="1227">
      <c r="A1227" s="5" t="s">
        <v>3183</v>
      </c>
      <c r="B1227" s="6">
        <v>6.0</v>
      </c>
      <c r="C1227" s="7">
        <v>119.0</v>
      </c>
      <c r="D1227" s="6" t="s">
        <v>3178</v>
      </c>
      <c r="E1227" s="16">
        <v>1.0</v>
      </c>
      <c r="F1227" s="18" t="s">
        <v>1215</v>
      </c>
    </row>
    <row r="1228">
      <c r="A1228" s="5" t="s">
        <v>3218</v>
      </c>
      <c r="B1228" s="6">
        <v>5.0</v>
      </c>
      <c r="C1228" s="7">
        <v>64.0</v>
      </c>
      <c r="D1228" s="6" t="s">
        <v>3180</v>
      </c>
      <c r="E1228" s="16">
        <v>1.0</v>
      </c>
      <c r="F1228" s="18" t="s">
        <v>1216</v>
      </c>
    </row>
    <row r="1229">
      <c r="A1229" s="5" t="s">
        <v>3253</v>
      </c>
      <c r="B1229" s="6">
        <v>1.0</v>
      </c>
      <c r="C1229" s="7">
        <v>92.0</v>
      </c>
      <c r="D1229" s="6" t="s">
        <v>3215</v>
      </c>
      <c r="E1229" s="16">
        <v>1.0</v>
      </c>
      <c r="F1229" s="18" t="s">
        <v>1217</v>
      </c>
    </row>
    <row r="1230">
      <c r="A1230" s="5" t="s">
        <v>3246</v>
      </c>
      <c r="B1230" s="6">
        <v>4.0</v>
      </c>
      <c r="C1230" s="7">
        <v>127.0</v>
      </c>
      <c r="D1230" s="6" t="s">
        <v>3262</v>
      </c>
      <c r="E1230" s="16">
        <v>1.0</v>
      </c>
      <c r="F1230" s="18" t="s">
        <v>1218</v>
      </c>
    </row>
    <row r="1231">
      <c r="A1231" s="5" t="s">
        <v>3191</v>
      </c>
      <c r="B1231" s="6">
        <v>5.0</v>
      </c>
      <c r="C1231" s="7">
        <v>6.0</v>
      </c>
      <c r="D1231" s="6" t="s">
        <v>3180</v>
      </c>
      <c r="E1231" s="16">
        <v>1.0</v>
      </c>
      <c r="F1231" s="18" t="s">
        <v>1219</v>
      </c>
    </row>
    <row r="1232">
      <c r="A1232" s="5" t="s">
        <v>3267</v>
      </c>
      <c r="B1232" s="6">
        <v>3.0</v>
      </c>
      <c r="C1232" s="7">
        <v>70.0</v>
      </c>
      <c r="D1232" s="6" t="s">
        <v>3222</v>
      </c>
      <c r="E1232" s="16">
        <v>1.0</v>
      </c>
      <c r="F1232" s="18" t="s">
        <v>1220</v>
      </c>
    </row>
    <row r="1233">
      <c r="A1233" s="5" t="s">
        <v>3187</v>
      </c>
      <c r="B1233" s="6">
        <v>4.0</v>
      </c>
      <c r="C1233" s="7">
        <v>35.0</v>
      </c>
      <c r="D1233" s="6" t="s">
        <v>3196</v>
      </c>
      <c r="E1233" s="16">
        <v>1.0</v>
      </c>
      <c r="F1233" s="18" t="s">
        <v>1221</v>
      </c>
    </row>
    <row r="1234">
      <c r="A1234" s="5" t="s">
        <v>3251</v>
      </c>
      <c r="B1234" s="6">
        <v>6.0</v>
      </c>
      <c r="C1234" s="7">
        <v>110.0</v>
      </c>
      <c r="D1234" s="6" t="s">
        <v>3211</v>
      </c>
      <c r="E1234" s="16">
        <v>1.0</v>
      </c>
      <c r="F1234" s="18" t="s">
        <v>1222</v>
      </c>
    </row>
    <row r="1235">
      <c r="A1235" s="5" t="s">
        <v>3166</v>
      </c>
      <c r="B1235" s="6">
        <v>6.0</v>
      </c>
      <c r="C1235" s="7">
        <v>101.0</v>
      </c>
      <c r="D1235" s="6" t="s">
        <v>3238</v>
      </c>
      <c r="E1235" s="16">
        <v>1.0</v>
      </c>
      <c r="F1235" s="18" t="s">
        <v>1223</v>
      </c>
    </row>
    <row r="1236">
      <c r="A1236" s="5" t="s">
        <v>3264</v>
      </c>
      <c r="B1236" s="6">
        <v>4.0</v>
      </c>
      <c r="C1236" s="7">
        <v>17.0</v>
      </c>
      <c r="D1236" s="6" t="s">
        <v>3241</v>
      </c>
      <c r="E1236" s="16">
        <v>1.0</v>
      </c>
      <c r="F1236" s="18" t="s">
        <v>1224</v>
      </c>
    </row>
    <row r="1237">
      <c r="A1237" s="5" t="s">
        <v>3231</v>
      </c>
      <c r="B1237" s="6">
        <v>4.0</v>
      </c>
      <c r="C1237" s="7">
        <v>194.0</v>
      </c>
      <c r="D1237" s="6" t="s">
        <v>3215</v>
      </c>
      <c r="E1237" s="16">
        <v>1.0</v>
      </c>
      <c r="F1237" s="18" t="s">
        <v>1225</v>
      </c>
    </row>
    <row r="1238">
      <c r="A1238" s="5" t="s">
        <v>3204</v>
      </c>
      <c r="B1238" s="6">
        <v>1.0</v>
      </c>
      <c r="C1238" s="7">
        <v>72.0</v>
      </c>
      <c r="D1238" s="6" t="s">
        <v>3171</v>
      </c>
      <c r="E1238" s="16">
        <v>5.0</v>
      </c>
      <c r="F1238" s="18" t="s">
        <v>1226</v>
      </c>
    </row>
    <row r="1239">
      <c r="A1239" s="5" t="s">
        <v>3258</v>
      </c>
      <c r="B1239" s="6">
        <v>6.0</v>
      </c>
      <c r="C1239" s="7">
        <v>137.0</v>
      </c>
      <c r="D1239" s="6" t="s">
        <v>3215</v>
      </c>
      <c r="E1239" s="16">
        <v>5.0</v>
      </c>
      <c r="F1239" s="18" t="s">
        <v>1227</v>
      </c>
    </row>
    <row r="1240">
      <c r="A1240" s="5" t="s">
        <v>3252</v>
      </c>
      <c r="B1240" s="6">
        <v>6.0</v>
      </c>
      <c r="C1240" s="7">
        <v>54.0</v>
      </c>
      <c r="D1240" s="6" t="s">
        <v>3215</v>
      </c>
      <c r="E1240" s="16">
        <v>5.0</v>
      </c>
      <c r="F1240" s="18" t="s">
        <v>1228</v>
      </c>
    </row>
    <row r="1241">
      <c r="A1241" s="5" t="s">
        <v>3267</v>
      </c>
      <c r="B1241" s="6">
        <v>3.0</v>
      </c>
      <c r="C1241" s="7">
        <v>197.0</v>
      </c>
      <c r="D1241" s="6" t="s">
        <v>3173</v>
      </c>
      <c r="E1241" s="16">
        <v>5.0</v>
      </c>
      <c r="F1241" s="18" t="s">
        <v>1229</v>
      </c>
    </row>
    <row r="1242">
      <c r="A1242" s="5" t="s">
        <v>3252</v>
      </c>
      <c r="B1242" s="6">
        <v>6.0</v>
      </c>
      <c r="C1242" s="7">
        <v>199.0</v>
      </c>
      <c r="D1242" s="6" t="s">
        <v>3169</v>
      </c>
      <c r="E1242" s="16">
        <v>5.0</v>
      </c>
      <c r="F1242" s="18" t="s">
        <v>1230</v>
      </c>
    </row>
    <row r="1243">
      <c r="A1243" s="5" t="s">
        <v>3248</v>
      </c>
      <c r="B1243" s="6">
        <v>3.0</v>
      </c>
      <c r="C1243" s="7">
        <v>195.0</v>
      </c>
      <c r="D1243" s="6" t="s">
        <v>3239</v>
      </c>
      <c r="E1243" s="16">
        <v>5.0</v>
      </c>
      <c r="F1243" s="18" t="s">
        <v>1231</v>
      </c>
    </row>
    <row r="1244">
      <c r="A1244" s="5" t="s">
        <v>3252</v>
      </c>
      <c r="B1244" s="6">
        <v>6.0</v>
      </c>
      <c r="C1244" s="7">
        <v>175.0</v>
      </c>
      <c r="D1244" s="6" t="s">
        <v>3257</v>
      </c>
      <c r="E1244" s="16">
        <v>5.0</v>
      </c>
      <c r="F1244" s="18" t="s">
        <v>1232</v>
      </c>
    </row>
    <row r="1245">
      <c r="A1245" s="5" t="s">
        <v>3193</v>
      </c>
      <c r="B1245" s="6">
        <v>5.0</v>
      </c>
      <c r="C1245" s="7">
        <v>114.0</v>
      </c>
      <c r="D1245" s="6" t="s">
        <v>3245</v>
      </c>
      <c r="E1245" s="16">
        <v>5.0</v>
      </c>
      <c r="F1245" s="18" t="s">
        <v>1233</v>
      </c>
    </row>
    <row r="1246">
      <c r="A1246" s="5" t="s">
        <v>3217</v>
      </c>
      <c r="B1246" s="6">
        <v>5.0</v>
      </c>
      <c r="C1246" s="7">
        <v>185.0</v>
      </c>
      <c r="D1246" s="6" t="s">
        <v>3173</v>
      </c>
      <c r="E1246" s="16">
        <v>4.0</v>
      </c>
      <c r="F1246" s="18" t="s">
        <v>1234</v>
      </c>
    </row>
    <row r="1247">
      <c r="A1247" s="5" t="s">
        <v>3183</v>
      </c>
      <c r="B1247" s="6">
        <v>6.0</v>
      </c>
      <c r="C1247" s="7">
        <v>70.0</v>
      </c>
      <c r="D1247" s="6" t="s">
        <v>3222</v>
      </c>
      <c r="E1247" s="16">
        <v>4.0</v>
      </c>
      <c r="F1247" s="18" t="s">
        <v>1235</v>
      </c>
    </row>
    <row r="1248">
      <c r="A1248" s="5" t="s">
        <v>3247</v>
      </c>
      <c r="B1248" s="6">
        <v>6.0</v>
      </c>
      <c r="C1248" s="7">
        <v>79.0</v>
      </c>
      <c r="D1248" s="6" t="s">
        <v>3232</v>
      </c>
      <c r="E1248" s="16">
        <v>4.0</v>
      </c>
      <c r="F1248" s="18" t="s">
        <v>1236</v>
      </c>
    </row>
    <row r="1249">
      <c r="A1249" s="5" t="s">
        <v>3265</v>
      </c>
      <c r="B1249" s="6">
        <v>1.0</v>
      </c>
      <c r="C1249" s="7">
        <v>101.0</v>
      </c>
      <c r="D1249" s="6" t="s">
        <v>3238</v>
      </c>
      <c r="E1249" s="16">
        <v>4.0</v>
      </c>
      <c r="F1249" s="18" t="s">
        <v>1237</v>
      </c>
    </row>
    <row r="1250">
      <c r="A1250" s="5" t="s">
        <v>3210</v>
      </c>
      <c r="B1250" s="6">
        <v>1.0</v>
      </c>
      <c r="C1250" s="7">
        <v>4.0</v>
      </c>
      <c r="D1250" s="6" t="s">
        <v>3196</v>
      </c>
      <c r="E1250" s="16">
        <v>4.0</v>
      </c>
      <c r="F1250" s="18" t="s">
        <v>1238</v>
      </c>
    </row>
    <row r="1251">
      <c r="A1251" s="5" t="s">
        <v>3170</v>
      </c>
      <c r="B1251" s="6">
        <v>1.0</v>
      </c>
      <c r="C1251" s="7">
        <v>180.0</v>
      </c>
      <c r="D1251" s="6" t="s">
        <v>3192</v>
      </c>
      <c r="E1251" s="16">
        <v>4.0</v>
      </c>
      <c r="F1251" s="18" t="s">
        <v>1239</v>
      </c>
    </row>
    <row r="1252">
      <c r="A1252" s="5" t="s">
        <v>3237</v>
      </c>
      <c r="B1252" s="6">
        <v>2.0</v>
      </c>
      <c r="C1252" s="7">
        <v>23.0</v>
      </c>
      <c r="D1252" s="6" t="s">
        <v>3219</v>
      </c>
      <c r="E1252" s="16">
        <v>4.0</v>
      </c>
      <c r="F1252" s="18" t="s">
        <v>1240</v>
      </c>
    </row>
    <row r="1253">
      <c r="A1253" s="5" t="s">
        <v>3206</v>
      </c>
      <c r="B1253" s="6">
        <v>6.0</v>
      </c>
      <c r="C1253" s="7">
        <v>198.0</v>
      </c>
      <c r="D1253" s="6" t="s">
        <v>3180</v>
      </c>
      <c r="E1253" s="16">
        <v>4.0</v>
      </c>
      <c r="F1253" s="18" t="s">
        <v>1241</v>
      </c>
    </row>
    <row r="1254">
      <c r="A1254" s="5" t="s">
        <v>3166</v>
      </c>
      <c r="B1254" s="6">
        <v>6.0</v>
      </c>
      <c r="C1254" s="7">
        <v>37.0</v>
      </c>
      <c r="D1254" s="6" t="s">
        <v>3194</v>
      </c>
      <c r="E1254" s="16">
        <v>4.0</v>
      </c>
      <c r="F1254" s="18" t="s">
        <v>1242</v>
      </c>
    </row>
    <row r="1255">
      <c r="A1255" s="5" t="s">
        <v>3247</v>
      </c>
      <c r="B1255" s="6">
        <v>6.0</v>
      </c>
      <c r="C1255" s="7">
        <v>124.0</v>
      </c>
      <c r="D1255" s="6" t="s">
        <v>3238</v>
      </c>
      <c r="E1255" s="16">
        <v>4.0</v>
      </c>
      <c r="F1255" s="18" t="s">
        <v>1243</v>
      </c>
    </row>
    <row r="1256">
      <c r="A1256" s="5" t="s">
        <v>3244</v>
      </c>
      <c r="B1256" s="6">
        <v>1.0</v>
      </c>
      <c r="C1256" s="7">
        <v>60.0</v>
      </c>
      <c r="D1256" s="6" t="s">
        <v>3196</v>
      </c>
      <c r="E1256" s="16">
        <v>3.0</v>
      </c>
      <c r="F1256" s="18" t="s">
        <v>1244</v>
      </c>
    </row>
    <row r="1257">
      <c r="A1257" s="5" t="s">
        <v>3217</v>
      </c>
      <c r="B1257" s="6">
        <v>5.0</v>
      </c>
      <c r="C1257" s="7">
        <v>29.0</v>
      </c>
      <c r="D1257" s="6" t="s">
        <v>3235</v>
      </c>
      <c r="E1257" s="16">
        <v>3.0</v>
      </c>
      <c r="F1257" s="18" t="s">
        <v>1245</v>
      </c>
    </row>
    <row r="1258">
      <c r="A1258" s="5" t="s">
        <v>3201</v>
      </c>
      <c r="B1258" s="6">
        <v>5.0</v>
      </c>
      <c r="C1258" s="7">
        <v>115.0</v>
      </c>
      <c r="D1258" s="6" t="s">
        <v>3173</v>
      </c>
      <c r="E1258" s="16">
        <v>3.0</v>
      </c>
      <c r="F1258" s="18" t="s">
        <v>1246</v>
      </c>
    </row>
    <row r="1259">
      <c r="A1259" s="5" t="s">
        <v>3175</v>
      </c>
      <c r="B1259" s="6">
        <v>5.0</v>
      </c>
      <c r="C1259" s="7">
        <v>96.0</v>
      </c>
      <c r="D1259" s="6" t="s">
        <v>3190</v>
      </c>
      <c r="E1259" s="16">
        <v>3.0</v>
      </c>
      <c r="F1259" s="18" t="s">
        <v>1247</v>
      </c>
    </row>
    <row r="1260">
      <c r="A1260" s="5" t="s">
        <v>3172</v>
      </c>
      <c r="B1260" s="6">
        <v>1.0</v>
      </c>
      <c r="C1260" s="7">
        <v>63.0</v>
      </c>
      <c r="D1260" s="6" t="s">
        <v>3257</v>
      </c>
      <c r="E1260" s="16">
        <v>2.0</v>
      </c>
      <c r="F1260" s="18" t="s">
        <v>1248</v>
      </c>
    </row>
    <row r="1261">
      <c r="A1261" s="5" t="s">
        <v>3264</v>
      </c>
      <c r="B1261" s="6">
        <v>4.0</v>
      </c>
      <c r="C1261" s="7">
        <v>112.0</v>
      </c>
      <c r="D1261" s="6" t="s">
        <v>3227</v>
      </c>
      <c r="E1261" s="16">
        <v>2.0</v>
      </c>
      <c r="F1261" s="18" t="s">
        <v>1249</v>
      </c>
    </row>
    <row r="1262">
      <c r="A1262" s="5" t="s">
        <v>3265</v>
      </c>
      <c r="B1262" s="6">
        <v>1.0</v>
      </c>
      <c r="C1262" s="7">
        <v>139.0</v>
      </c>
      <c r="D1262" s="6" t="s">
        <v>3182</v>
      </c>
      <c r="E1262" s="16">
        <v>2.0</v>
      </c>
      <c r="F1262" s="18" t="s">
        <v>1250</v>
      </c>
    </row>
    <row r="1263">
      <c r="A1263" s="5" t="s">
        <v>3236</v>
      </c>
      <c r="B1263" s="6">
        <v>6.0</v>
      </c>
      <c r="C1263" s="7">
        <v>65.0</v>
      </c>
      <c r="D1263" s="6" t="s">
        <v>3221</v>
      </c>
      <c r="E1263" s="16">
        <v>2.0</v>
      </c>
      <c r="F1263" s="18" t="s">
        <v>1251</v>
      </c>
    </row>
    <row r="1264">
      <c r="A1264" s="5" t="s">
        <v>3218</v>
      </c>
      <c r="B1264" s="6">
        <v>5.0</v>
      </c>
      <c r="C1264" s="7">
        <v>37.0</v>
      </c>
      <c r="D1264" s="6" t="s">
        <v>3194</v>
      </c>
      <c r="E1264" s="16">
        <v>2.0</v>
      </c>
      <c r="F1264" s="18" t="s">
        <v>1252</v>
      </c>
    </row>
    <row r="1265">
      <c r="A1265" s="5" t="s">
        <v>3260</v>
      </c>
      <c r="B1265" s="6">
        <v>1.0</v>
      </c>
      <c r="C1265" s="7">
        <v>163.0</v>
      </c>
      <c r="D1265" s="6" t="s">
        <v>3173</v>
      </c>
      <c r="E1265" s="16">
        <v>2.0</v>
      </c>
      <c r="F1265" s="18" t="s">
        <v>1253</v>
      </c>
    </row>
    <row r="1266">
      <c r="A1266" s="5" t="s">
        <v>3166</v>
      </c>
      <c r="B1266" s="6">
        <v>6.0</v>
      </c>
      <c r="C1266" s="7">
        <v>63.0</v>
      </c>
      <c r="D1266" s="6" t="s">
        <v>3257</v>
      </c>
      <c r="E1266" s="16">
        <v>2.0</v>
      </c>
      <c r="F1266" s="18" t="s">
        <v>1254</v>
      </c>
    </row>
    <row r="1267">
      <c r="A1267" s="5" t="s">
        <v>3177</v>
      </c>
      <c r="B1267" s="6">
        <v>5.0</v>
      </c>
      <c r="C1267" s="7">
        <v>84.0</v>
      </c>
      <c r="D1267" s="6" t="s">
        <v>3203</v>
      </c>
      <c r="E1267" s="16">
        <v>1.0</v>
      </c>
      <c r="F1267" s="18" t="s">
        <v>1255</v>
      </c>
    </row>
    <row r="1268">
      <c r="A1268" s="5" t="s">
        <v>3187</v>
      </c>
      <c r="B1268" s="6">
        <v>4.0</v>
      </c>
      <c r="C1268" s="7">
        <v>101.0</v>
      </c>
      <c r="D1268" s="6" t="s">
        <v>3238</v>
      </c>
      <c r="E1268" s="16">
        <v>1.0</v>
      </c>
      <c r="F1268" s="18" t="s">
        <v>1256</v>
      </c>
    </row>
    <row r="1269">
      <c r="A1269" s="5" t="s">
        <v>3174</v>
      </c>
      <c r="B1269" s="6">
        <v>1.0</v>
      </c>
      <c r="C1269" s="7">
        <v>140.0</v>
      </c>
      <c r="D1269" s="6" t="s">
        <v>3190</v>
      </c>
      <c r="E1269" s="16">
        <v>1.0</v>
      </c>
      <c r="F1269" s="18" t="s">
        <v>1257</v>
      </c>
    </row>
    <row r="1270">
      <c r="A1270" s="5" t="s">
        <v>3170</v>
      </c>
      <c r="B1270" s="6">
        <v>1.0</v>
      </c>
      <c r="C1270" s="7">
        <v>171.0</v>
      </c>
      <c r="D1270" s="6" t="s">
        <v>3245</v>
      </c>
      <c r="E1270" s="16">
        <v>1.0</v>
      </c>
      <c r="F1270" s="18" t="s">
        <v>1258</v>
      </c>
    </row>
    <row r="1271">
      <c r="A1271" s="5" t="s">
        <v>3179</v>
      </c>
      <c r="B1271" s="6">
        <v>1.0</v>
      </c>
      <c r="C1271" s="7">
        <v>44.0</v>
      </c>
      <c r="D1271" s="6" t="s">
        <v>3239</v>
      </c>
      <c r="E1271" s="16">
        <v>1.0</v>
      </c>
      <c r="F1271" s="18" t="s">
        <v>1259</v>
      </c>
    </row>
    <row r="1272">
      <c r="A1272" s="5" t="s">
        <v>3217</v>
      </c>
      <c r="B1272" s="6">
        <v>5.0</v>
      </c>
      <c r="C1272" s="7">
        <v>164.0</v>
      </c>
      <c r="D1272" s="6" t="s">
        <v>3232</v>
      </c>
      <c r="E1272" s="16">
        <v>1.0</v>
      </c>
      <c r="F1272" s="18" t="s">
        <v>1260</v>
      </c>
    </row>
    <row r="1273">
      <c r="A1273" s="5" t="s">
        <v>3226</v>
      </c>
      <c r="B1273" s="6">
        <v>1.0</v>
      </c>
      <c r="C1273" s="7">
        <v>66.0</v>
      </c>
      <c r="D1273" s="6" t="s">
        <v>3171</v>
      </c>
      <c r="E1273" s="16">
        <v>1.0</v>
      </c>
      <c r="F1273" s="18" t="s">
        <v>1261</v>
      </c>
    </row>
    <row r="1274">
      <c r="A1274" s="5" t="s">
        <v>3191</v>
      </c>
      <c r="B1274" s="6">
        <v>5.0</v>
      </c>
      <c r="C1274" s="7">
        <v>81.0</v>
      </c>
      <c r="D1274" s="6" t="s">
        <v>3169</v>
      </c>
      <c r="E1274" s="16">
        <v>1.0</v>
      </c>
      <c r="F1274" s="18" t="s">
        <v>1262</v>
      </c>
    </row>
    <row r="1275">
      <c r="A1275" s="5" t="s">
        <v>3255</v>
      </c>
      <c r="B1275" s="6">
        <v>6.0</v>
      </c>
      <c r="C1275" s="7">
        <v>62.0</v>
      </c>
      <c r="D1275" s="6" t="s">
        <v>3200</v>
      </c>
      <c r="E1275" s="16">
        <v>5.0</v>
      </c>
      <c r="F1275" s="18" t="s">
        <v>1263</v>
      </c>
    </row>
    <row r="1276">
      <c r="A1276" s="5" t="s">
        <v>3248</v>
      </c>
      <c r="B1276" s="6">
        <v>3.0</v>
      </c>
      <c r="C1276" s="7">
        <v>107.0</v>
      </c>
      <c r="D1276" s="6" t="s">
        <v>3207</v>
      </c>
      <c r="E1276" s="16">
        <v>5.0</v>
      </c>
      <c r="F1276" s="18" t="s">
        <v>1264</v>
      </c>
    </row>
    <row r="1277">
      <c r="A1277" s="5" t="s">
        <v>3174</v>
      </c>
      <c r="B1277" s="6">
        <v>1.0</v>
      </c>
      <c r="C1277" s="7">
        <v>49.0</v>
      </c>
      <c r="D1277" s="6" t="s">
        <v>3254</v>
      </c>
      <c r="E1277" s="16">
        <v>5.0</v>
      </c>
      <c r="F1277" s="18" t="s">
        <v>1265</v>
      </c>
    </row>
    <row r="1278">
      <c r="A1278" s="5" t="s">
        <v>3256</v>
      </c>
      <c r="B1278" s="6">
        <v>6.0</v>
      </c>
      <c r="C1278" s="7">
        <v>119.0</v>
      </c>
      <c r="D1278" s="6" t="s">
        <v>3178</v>
      </c>
      <c r="E1278" s="16">
        <v>5.0</v>
      </c>
      <c r="F1278" s="18" t="s">
        <v>1266</v>
      </c>
    </row>
    <row r="1279">
      <c r="A1279" s="5" t="s">
        <v>3210</v>
      </c>
      <c r="B1279" s="6">
        <v>1.0</v>
      </c>
      <c r="C1279" s="7">
        <v>14.0</v>
      </c>
      <c r="D1279" s="6" t="s">
        <v>3196</v>
      </c>
      <c r="E1279" s="16">
        <v>5.0</v>
      </c>
      <c r="F1279" s="18" t="s">
        <v>1267</v>
      </c>
    </row>
    <row r="1280">
      <c r="A1280" s="5" t="s">
        <v>3260</v>
      </c>
      <c r="B1280" s="6">
        <v>1.0</v>
      </c>
      <c r="C1280" s="7">
        <v>19.0</v>
      </c>
      <c r="D1280" s="6" t="s">
        <v>3169</v>
      </c>
      <c r="E1280" s="16">
        <v>5.0</v>
      </c>
      <c r="F1280" s="18" t="s">
        <v>1268</v>
      </c>
    </row>
    <row r="1281">
      <c r="A1281" s="5" t="s">
        <v>3242</v>
      </c>
      <c r="B1281" s="6">
        <v>1.0</v>
      </c>
      <c r="C1281" s="7">
        <v>200.0</v>
      </c>
      <c r="D1281" s="6" t="s">
        <v>3238</v>
      </c>
      <c r="E1281" s="16">
        <v>5.0</v>
      </c>
      <c r="F1281" s="18" t="s">
        <v>469</v>
      </c>
    </row>
    <row r="1282">
      <c r="A1282" s="5" t="s">
        <v>3259</v>
      </c>
      <c r="B1282" s="6">
        <v>6.0</v>
      </c>
      <c r="C1282" s="7">
        <v>161.0</v>
      </c>
      <c r="D1282" s="6" t="s">
        <v>3192</v>
      </c>
      <c r="E1282" s="16">
        <v>5.0</v>
      </c>
      <c r="F1282" s="18" t="s">
        <v>1269</v>
      </c>
    </row>
    <row r="1283">
      <c r="A1283" s="5" t="s">
        <v>3237</v>
      </c>
      <c r="B1283" s="6">
        <v>2.0</v>
      </c>
      <c r="C1283" s="7">
        <v>58.0</v>
      </c>
      <c r="D1283" s="6" t="s">
        <v>3257</v>
      </c>
      <c r="E1283" s="16">
        <v>5.0</v>
      </c>
      <c r="F1283" s="18" t="s">
        <v>1270</v>
      </c>
    </row>
    <row r="1284">
      <c r="A1284" s="5" t="s">
        <v>3251</v>
      </c>
      <c r="B1284" s="6">
        <v>6.0</v>
      </c>
      <c r="C1284" s="7">
        <v>163.0</v>
      </c>
      <c r="D1284" s="6" t="s">
        <v>3173</v>
      </c>
      <c r="E1284" s="16">
        <v>5.0</v>
      </c>
      <c r="F1284" s="18" t="s">
        <v>1271</v>
      </c>
    </row>
    <row r="1285">
      <c r="A1285" s="5" t="s">
        <v>3240</v>
      </c>
      <c r="B1285" s="6">
        <v>2.0</v>
      </c>
      <c r="C1285" s="7">
        <v>172.0</v>
      </c>
      <c r="D1285" s="6" t="s">
        <v>3178</v>
      </c>
      <c r="E1285" s="16">
        <v>5.0</v>
      </c>
      <c r="F1285" s="18" t="s">
        <v>1272</v>
      </c>
    </row>
    <row r="1286">
      <c r="A1286" s="5" t="s">
        <v>3260</v>
      </c>
      <c r="B1286" s="6">
        <v>1.0</v>
      </c>
      <c r="C1286" s="7">
        <v>121.0</v>
      </c>
      <c r="D1286" s="6" t="s">
        <v>3173</v>
      </c>
      <c r="E1286" s="16">
        <v>5.0</v>
      </c>
      <c r="F1286" s="18" t="s">
        <v>1273</v>
      </c>
    </row>
    <row r="1287">
      <c r="A1287" s="5" t="s">
        <v>3252</v>
      </c>
      <c r="B1287" s="6">
        <v>6.0</v>
      </c>
      <c r="C1287" s="7">
        <v>96.0</v>
      </c>
      <c r="D1287" s="6" t="s">
        <v>3190</v>
      </c>
      <c r="E1287" s="16">
        <v>4.0</v>
      </c>
      <c r="F1287" s="18" t="s">
        <v>1274</v>
      </c>
    </row>
    <row r="1288">
      <c r="A1288" s="5" t="s">
        <v>3220</v>
      </c>
      <c r="B1288" s="6">
        <v>6.0</v>
      </c>
      <c r="C1288" s="7">
        <v>175.0</v>
      </c>
      <c r="D1288" s="6" t="s">
        <v>3257</v>
      </c>
      <c r="E1288" s="16">
        <v>4.0</v>
      </c>
      <c r="F1288" s="18" t="s">
        <v>1275</v>
      </c>
    </row>
    <row r="1289">
      <c r="A1289" s="5" t="s">
        <v>3244</v>
      </c>
      <c r="B1289" s="6">
        <v>1.0</v>
      </c>
      <c r="C1289" s="7">
        <v>131.0</v>
      </c>
      <c r="D1289" s="6" t="s">
        <v>3227</v>
      </c>
      <c r="E1289" s="16">
        <v>4.0</v>
      </c>
      <c r="F1289" s="18" t="s">
        <v>1276</v>
      </c>
    </row>
    <row r="1290">
      <c r="A1290" s="5" t="s">
        <v>3264</v>
      </c>
      <c r="B1290" s="6">
        <v>4.0</v>
      </c>
      <c r="C1290" s="7">
        <v>63.0</v>
      </c>
      <c r="D1290" s="6" t="s">
        <v>3257</v>
      </c>
      <c r="E1290" s="16">
        <v>4.0</v>
      </c>
      <c r="F1290" s="18" t="s">
        <v>1277</v>
      </c>
    </row>
    <row r="1291">
      <c r="A1291" s="5" t="s">
        <v>3226</v>
      </c>
      <c r="B1291" s="6">
        <v>1.0</v>
      </c>
      <c r="C1291" s="7">
        <v>78.0</v>
      </c>
      <c r="D1291" s="6" t="s">
        <v>3176</v>
      </c>
      <c r="E1291" s="16">
        <v>4.0</v>
      </c>
      <c r="F1291" s="18" t="s">
        <v>1278</v>
      </c>
    </row>
    <row r="1292">
      <c r="A1292" s="5" t="s">
        <v>3243</v>
      </c>
      <c r="B1292" s="6">
        <v>4.0</v>
      </c>
      <c r="C1292" s="7">
        <v>48.0</v>
      </c>
      <c r="D1292" s="6" t="s">
        <v>3232</v>
      </c>
      <c r="E1292" s="16">
        <v>3.0</v>
      </c>
      <c r="F1292" s="18" t="s">
        <v>1279</v>
      </c>
    </row>
    <row r="1293">
      <c r="A1293" s="5" t="s">
        <v>3265</v>
      </c>
      <c r="B1293" s="6">
        <v>1.0</v>
      </c>
      <c r="C1293" s="7">
        <v>175.0</v>
      </c>
      <c r="D1293" s="6" t="s">
        <v>3257</v>
      </c>
      <c r="E1293" s="16">
        <v>3.0</v>
      </c>
      <c r="F1293" s="18" t="s">
        <v>1280</v>
      </c>
    </row>
    <row r="1294">
      <c r="A1294" s="5" t="s">
        <v>3247</v>
      </c>
      <c r="B1294" s="6">
        <v>6.0</v>
      </c>
      <c r="C1294" s="7">
        <v>105.0</v>
      </c>
      <c r="D1294" s="6" t="s">
        <v>3167</v>
      </c>
      <c r="E1294" s="16">
        <v>3.0</v>
      </c>
      <c r="F1294" s="18" t="s">
        <v>1281</v>
      </c>
    </row>
    <row r="1295">
      <c r="A1295" s="5" t="s">
        <v>3247</v>
      </c>
      <c r="B1295" s="6">
        <v>6.0</v>
      </c>
      <c r="C1295" s="7">
        <v>178.0</v>
      </c>
      <c r="D1295" s="6" t="s">
        <v>3190</v>
      </c>
      <c r="E1295" s="16">
        <v>3.0</v>
      </c>
      <c r="F1295" s="18" t="s">
        <v>1282</v>
      </c>
    </row>
    <row r="1296">
      <c r="A1296" s="5" t="s">
        <v>3195</v>
      </c>
      <c r="B1296" s="6">
        <v>4.0</v>
      </c>
      <c r="C1296" s="7">
        <v>200.0</v>
      </c>
      <c r="D1296" s="6" t="s">
        <v>3238</v>
      </c>
      <c r="E1296" s="16">
        <v>3.0</v>
      </c>
      <c r="F1296" s="18" t="s">
        <v>1283</v>
      </c>
    </row>
    <row r="1297">
      <c r="A1297" s="5" t="s">
        <v>3236</v>
      </c>
      <c r="B1297" s="6">
        <v>6.0</v>
      </c>
      <c r="C1297" s="7">
        <v>158.0</v>
      </c>
      <c r="D1297" s="6" t="s">
        <v>3235</v>
      </c>
      <c r="E1297" s="16">
        <v>3.0</v>
      </c>
      <c r="F1297" s="18" t="s">
        <v>1284</v>
      </c>
    </row>
    <row r="1298">
      <c r="A1298" s="5" t="s">
        <v>3193</v>
      </c>
      <c r="B1298" s="6">
        <v>5.0</v>
      </c>
      <c r="C1298" s="7">
        <v>162.0</v>
      </c>
      <c r="D1298" s="6" t="s">
        <v>3257</v>
      </c>
      <c r="E1298" s="16">
        <v>3.0</v>
      </c>
      <c r="F1298" s="18" t="s">
        <v>1285</v>
      </c>
    </row>
    <row r="1299">
      <c r="A1299" s="5" t="s">
        <v>3193</v>
      </c>
      <c r="B1299" s="6">
        <v>5.0</v>
      </c>
      <c r="C1299" s="7">
        <v>25.0</v>
      </c>
      <c r="D1299" s="6" t="s">
        <v>3173</v>
      </c>
      <c r="E1299" s="16">
        <v>2.0</v>
      </c>
      <c r="F1299" s="18" t="s">
        <v>1286</v>
      </c>
    </row>
    <row r="1300">
      <c r="A1300" s="5" t="s">
        <v>3226</v>
      </c>
      <c r="B1300" s="6">
        <v>1.0</v>
      </c>
      <c r="C1300" s="7">
        <v>69.0</v>
      </c>
      <c r="D1300" s="6" t="s">
        <v>3203</v>
      </c>
      <c r="E1300" s="16">
        <v>2.0</v>
      </c>
      <c r="F1300" s="18" t="s">
        <v>1287</v>
      </c>
    </row>
    <row r="1301">
      <c r="A1301" s="5" t="s">
        <v>3270</v>
      </c>
      <c r="B1301" s="6">
        <v>3.0</v>
      </c>
      <c r="C1301" s="7">
        <v>75.0</v>
      </c>
      <c r="D1301" s="6" t="s">
        <v>3257</v>
      </c>
      <c r="E1301" s="16">
        <v>2.0</v>
      </c>
      <c r="F1301" s="18" t="s">
        <v>1288</v>
      </c>
    </row>
    <row r="1302">
      <c r="A1302" s="5" t="s">
        <v>3213</v>
      </c>
      <c r="B1302" s="6">
        <v>2.0</v>
      </c>
      <c r="C1302" s="7">
        <v>135.0</v>
      </c>
      <c r="D1302" s="6" t="s">
        <v>3207</v>
      </c>
      <c r="E1302" s="16">
        <v>2.0</v>
      </c>
      <c r="F1302" s="18" t="s">
        <v>1289</v>
      </c>
    </row>
    <row r="1303">
      <c r="A1303" s="5" t="s">
        <v>3230</v>
      </c>
      <c r="B1303" s="6">
        <v>1.0</v>
      </c>
      <c r="C1303" s="7">
        <v>110.0</v>
      </c>
      <c r="D1303" s="6" t="s">
        <v>3211</v>
      </c>
      <c r="E1303" s="16">
        <v>2.0</v>
      </c>
      <c r="F1303" s="18" t="s">
        <v>1290</v>
      </c>
    </row>
    <row r="1304">
      <c r="A1304" s="5" t="s">
        <v>3253</v>
      </c>
      <c r="B1304" s="6">
        <v>1.0</v>
      </c>
      <c r="C1304" s="7">
        <v>142.0</v>
      </c>
      <c r="D1304" s="6" t="s">
        <v>3173</v>
      </c>
      <c r="E1304" s="16">
        <v>2.0</v>
      </c>
      <c r="F1304" s="18" t="s">
        <v>1291</v>
      </c>
    </row>
    <row r="1305">
      <c r="A1305" s="5" t="s">
        <v>3209</v>
      </c>
      <c r="B1305" s="6">
        <v>4.0</v>
      </c>
      <c r="C1305" s="7">
        <v>110.0</v>
      </c>
      <c r="D1305" s="6" t="s">
        <v>3211</v>
      </c>
      <c r="E1305" s="16">
        <v>2.0</v>
      </c>
      <c r="F1305" s="18" t="s">
        <v>1292</v>
      </c>
    </row>
    <row r="1306">
      <c r="A1306" s="5" t="s">
        <v>3258</v>
      </c>
      <c r="B1306" s="6">
        <v>6.0</v>
      </c>
      <c r="C1306" s="7">
        <v>83.0</v>
      </c>
      <c r="D1306" s="6" t="s">
        <v>3203</v>
      </c>
      <c r="E1306" s="16">
        <v>2.0</v>
      </c>
      <c r="F1306" s="18" t="s">
        <v>1293</v>
      </c>
    </row>
    <row r="1307">
      <c r="A1307" s="5" t="s">
        <v>3266</v>
      </c>
      <c r="B1307" s="6">
        <v>3.0</v>
      </c>
      <c r="C1307" s="7">
        <v>69.0</v>
      </c>
      <c r="D1307" s="6" t="s">
        <v>3203</v>
      </c>
      <c r="E1307" s="16">
        <v>2.0</v>
      </c>
      <c r="F1307" s="18" t="s">
        <v>1294</v>
      </c>
    </row>
    <row r="1308">
      <c r="A1308" s="5" t="s">
        <v>3234</v>
      </c>
      <c r="B1308" s="6">
        <v>6.0</v>
      </c>
      <c r="C1308" s="7">
        <v>5.0</v>
      </c>
      <c r="D1308" s="6" t="s">
        <v>3207</v>
      </c>
      <c r="E1308" s="16">
        <v>2.0</v>
      </c>
      <c r="F1308" s="18" t="s">
        <v>1295</v>
      </c>
    </row>
    <row r="1309">
      <c r="A1309" s="5" t="s">
        <v>3231</v>
      </c>
      <c r="B1309" s="6">
        <v>4.0</v>
      </c>
      <c r="C1309" s="7">
        <v>75.0</v>
      </c>
      <c r="D1309" s="6" t="s">
        <v>3257</v>
      </c>
      <c r="E1309" s="16">
        <v>1.0</v>
      </c>
      <c r="F1309" s="18" t="s">
        <v>1296</v>
      </c>
    </row>
    <row r="1310">
      <c r="A1310" s="5" t="s">
        <v>3233</v>
      </c>
      <c r="B1310" s="6">
        <v>6.0</v>
      </c>
      <c r="C1310" s="7">
        <v>33.0</v>
      </c>
      <c r="D1310" s="6" t="s">
        <v>3225</v>
      </c>
      <c r="E1310" s="16">
        <v>1.0</v>
      </c>
      <c r="F1310" s="18" t="s">
        <v>1297</v>
      </c>
    </row>
    <row r="1311">
      <c r="A1311" s="5" t="s">
        <v>3244</v>
      </c>
      <c r="B1311" s="6">
        <v>1.0</v>
      </c>
      <c r="C1311" s="7">
        <v>90.0</v>
      </c>
      <c r="D1311" s="6" t="s">
        <v>3178</v>
      </c>
      <c r="E1311" s="16">
        <v>1.0</v>
      </c>
      <c r="F1311" s="18" t="s">
        <v>1298</v>
      </c>
    </row>
    <row r="1312">
      <c r="A1312" s="5" t="s">
        <v>3209</v>
      </c>
      <c r="B1312" s="6">
        <v>4.0</v>
      </c>
      <c r="C1312" s="7">
        <v>148.0</v>
      </c>
      <c r="D1312" s="6" t="s">
        <v>3262</v>
      </c>
      <c r="E1312" s="16">
        <v>1.0</v>
      </c>
      <c r="F1312" s="18" t="s">
        <v>1299</v>
      </c>
    </row>
    <row r="1313">
      <c r="A1313" s="5" t="s">
        <v>3250</v>
      </c>
      <c r="B1313" s="6">
        <v>4.0</v>
      </c>
      <c r="C1313" s="7">
        <v>126.0</v>
      </c>
      <c r="D1313" s="6" t="s">
        <v>3211</v>
      </c>
      <c r="E1313" s="16">
        <v>1.0</v>
      </c>
      <c r="F1313" s="18" t="s">
        <v>1300</v>
      </c>
    </row>
    <row r="1314">
      <c r="A1314" s="5" t="s">
        <v>3199</v>
      </c>
      <c r="B1314" s="6">
        <v>3.0</v>
      </c>
      <c r="C1314" s="7">
        <v>112.0</v>
      </c>
      <c r="D1314" s="6" t="s">
        <v>3227</v>
      </c>
      <c r="E1314" s="16">
        <v>1.0</v>
      </c>
      <c r="F1314" s="18" t="s">
        <v>1301</v>
      </c>
    </row>
    <row r="1315">
      <c r="A1315" s="5" t="s">
        <v>3204</v>
      </c>
      <c r="B1315" s="6">
        <v>1.0</v>
      </c>
      <c r="C1315" s="7">
        <v>64.0</v>
      </c>
      <c r="D1315" s="6" t="s">
        <v>3180</v>
      </c>
      <c r="E1315" s="16">
        <v>1.0</v>
      </c>
      <c r="F1315" s="18" t="s">
        <v>1302</v>
      </c>
    </row>
    <row r="1316">
      <c r="A1316" s="5" t="s">
        <v>3261</v>
      </c>
      <c r="B1316" s="6">
        <v>4.0</v>
      </c>
      <c r="C1316" s="7">
        <v>53.0</v>
      </c>
      <c r="D1316" s="6" t="s">
        <v>3249</v>
      </c>
      <c r="E1316" s="16">
        <v>1.0</v>
      </c>
      <c r="F1316" s="18" t="s">
        <v>1303</v>
      </c>
    </row>
    <row r="1317">
      <c r="A1317" s="5" t="s">
        <v>3223</v>
      </c>
      <c r="B1317" s="6">
        <v>3.0</v>
      </c>
      <c r="C1317" s="7">
        <v>62.0</v>
      </c>
      <c r="D1317" s="6" t="s">
        <v>3200</v>
      </c>
      <c r="E1317" s="16">
        <v>1.0</v>
      </c>
      <c r="F1317" s="18" t="s">
        <v>1304</v>
      </c>
    </row>
    <row r="1318">
      <c r="A1318" s="5" t="s">
        <v>3195</v>
      </c>
      <c r="B1318" s="6">
        <v>4.0</v>
      </c>
      <c r="C1318" s="7">
        <v>95.0</v>
      </c>
      <c r="D1318" s="6" t="s">
        <v>3227</v>
      </c>
      <c r="E1318" s="16">
        <v>1.0</v>
      </c>
      <c r="F1318" s="18" t="s">
        <v>1305</v>
      </c>
    </row>
    <row r="1319">
      <c r="A1319" s="5" t="s">
        <v>3208</v>
      </c>
      <c r="B1319" s="6">
        <v>4.0</v>
      </c>
      <c r="C1319" s="7">
        <v>92.0</v>
      </c>
      <c r="D1319" s="6" t="s">
        <v>3215</v>
      </c>
      <c r="E1319" s="16">
        <v>1.0</v>
      </c>
      <c r="F1319" s="18" t="s">
        <v>1306</v>
      </c>
    </row>
    <row r="1320">
      <c r="A1320" s="5" t="s">
        <v>3205</v>
      </c>
      <c r="B1320" s="6">
        <v>1.0</v>
      </c>
      <c r="C1320" s="7">
        <v>181.0</v>
      </c>
      <c r="D1320" s="6" t="s">
        <v>3190</v>
      </c>
      <c r="E1320" s="16">
        <v>1.0</v>
      </c>
      <c r="F1320" s="18" t="s">
        <v>1307</v>
      </c>
    </row>
    <row r="1321">
      <c r="A1321" s="5" t="s">
        <v>3233</v>
      </c>
      <c r="B1321" s="6">
        <v>6.0</v>
      </c>
      <c r="C1321" s="7">
        <v>99.0</v>
      </c>
      <c r="D1321" s="6" t="s">
        <v>3200</v>
      </c>
      <c r="E1321" s="16">
        <v>5.0</v>
      </c>
      <c r="F1321" s="18" t="s">
        <v>1308</v>
      </c>
    </row>
    <row r="1322">
      <c r="A1322" s="5" t="s">
        <v>3205</v>
      </c>
      <c r="B1322" s="6">
        <v>1.0</v>
      </c>
      <c r="C1322" s="7">
        <v>39.0</v>
      </c>
      <c r="D1322" s="6" t="s">
        <v>3254</v>
      </c>
      <c r="E1322" s="16">
        <v>5.0</v>
      </c>
      <c r="F1322" s="18" t="s">
        <v>1309</v>
      </c>
    </row>
    <row r="1323">
      <c r="A1323" s="5" t="s">
        <v>3223</v>
      </c>
      <c r="B1323" s="6">
        <v>3.0</v>
      </c>
      <c r="C1323" s="7">
        <v>112.0</v>
      </c>
      <c r="D1323" s="6" t="s">
        <v>3227</v>
      </c>
      <c r="E1323" s="16">
        <v>5.0</v>
      </c>
      <c r="F1323" s="18" t="s">
        <v>1310</v>
      </c>
    </row>
    <row r="1324">
      <c r="A1324" s="5" t="s">
        <v>3255</v>
      </c>
      <c r="B1324" s="6">
        <v>6.0</v>
      </c>
      <c r="C1324" s="7">
        <v>148.0</v>
      </c>
      <c r="D1324" s="6" t="s">
        <v>3262</v>
      </c>
      <c r="E1324" s="16">
        <v>5.0</v>
      </c>
      <c r="F1324" s="18" t="s">
        <v>1311</v>
      </c>
    </row>
    <row r="1325">
      <c r="A1325" s="5" t="s">
        <v>3237</v>
      </c>
      <c r="B1325" s="6">
        <v>2.0</v>
      </c>
      <c r="C1325" s="7">
        <v>58.0</v>
      </c>
      <c r="D1325" s="6" t="s">
        <v>3257</v>
      </c>
      <c r="E1325" s="16">
        <v>5.0</v>
      </c>
      <c r="F1325" s="18" t="s">
        <v>1312</v>
      </c>
    </row>
    <row r="1326">
      <c r="A1326" s="5" t="s">
        <v>3258</v>
      </c>
      <c r="B1326" s="6">
        <v>6.0</v>
      </c>
      <c r="C1326" s="7">
        <v>176.0</v>
      </c>
      <c r="D1326" s="6" t="s">
        <v>3232</v>
      </c>
      <c r="E1326" s="16">
        <v>5.0</v>
      </c>
      <c r="F1326" s="18" t="s">
        <v>1313</v>
      </c>
    </row>
    <row r="1327">
      <c r="A1327" s="5" t="s">
        <v>3233</v>
      </c>
      <c r="B1327" s="6">
        <v>6.0</v>
      </c>
      <c r="C1327" s="7">
        <v>40.0</v>
      </c>
      <c r="D1327" s="6" t="s">
        <v>3221</v>
      </c>
      <c r="E1327" s="16">
        <v>5.0</v>
      </c>
      <c r="F1327" s="18" t="s">
        <v>1314</v>
      </c>
    </row>
    <row r="1328">
      <c r="A1328" s="5" t="s">
        <v>3260</v>
      </c>
      <c r="B1328" s="6">
        <v>1.0</v>
      </c>
      <c r="C1328" s="7">
        <v>196.0</v>
      </c>
      <c r="D1328" s="6" t="s">
        <v>3169</v>
      </c>
      <c r="E1328" s="16">
        <v>5.0</v>
      </c>
      <c r="F1328" s="18" t="s">
        <v>1315</v>
      </c>
    </row>
    <row r="1329">
      <c r="A1329" s="5" t="s">
        <v>3261</v>
      </c>
      <c r="B1329" s="6">
        <v>4.0</v>
      </c>
      <c r="C1329" s="7">
        <v>68.0</v>
      </c>
      <c r="D1329" s="6" t="s">
        <v>3182</v>
      </c>
      <c r="E1329" s="16">
        <v>5.0</v>
      </c>
      <c r="F1329" s="18" t="s">
        <v>1316</v>
      </c>
    </row>
    <row r="1330">
      <c r="A1330" s="5" t="s">
        <v>3265</v>
      </c>
      <c r="B1330" s="6">
        <v>1.0</v>
      </c>
      <c r="C1330" s="7">
        <v>117.0</v>
      </c>
      <c r="D1330" s="6" t="s">
        <v>3225</v>
      </c>
      <c r="E1330" s="16">
        <v>5.0</v>
      </c>
      <c r="F1330" s="18" t="s">
        <v>1317</v>
      </c>
    </row>
    <row r="1331">
      <c r="A1331" s="5" t="s">
        <v>3213</v>
      </c>
      <c r="B1331" s="6">
        <v>2.0</v>
      </c>
      <c r="C1331" s="7">
        <v>180.0</v>
      </c>
      <c r="D1331" s="6" t="s">
        <v>3192</v>
      </c>
      <c r="E1331" s="16">
        <v>4.0</v>
      </c>
      <c r="F1331" s="18" t="s">
        <v>1318</v>
      </c>
    </row>
    <row r="1332">
      <c r="A1332" s="5" t="s">
        <v>3228</v>
      </c>
      <c r="B1332" s="6">
        <v>6.0</v>
      </c>
      <c r="C1332" s="7">
        <v>57.0</v>
      </c>
      <c r="D1332" s="6" t="s">
        <v>3239</v>
      </c>
      <c r="E1332" s="16">
        <v>4.0</v>
      </c>
      <c r="F1332" s="18" t="s">
        <v>1319</v>
      </c>
    </row>
    <row r="1333">
      <c r="A1333" s="5" t="s">
        <v>3183</v>
      </c>
      <c r="B1333" s="6">
        <v>6.0</v>
      </c>
      <c r="C1333" s="7">
        <v>164.0</v>
      </c>
      <c r="D1333" s="6" t="s">
        <v>3232</v>
      </c>
      <c r="E1333" s="16">
        <v>4.0</v>
      </c>
      <c r="F1333" s="18" t="s">
        <v>1320</v>
      </c>
    </row>
    <row r="1334">
      <c r="A1334" s="5" t="s">
        <v>3187</v>
      </c>
      <c r="B1334" s="6">
        <v>4.0</v>
      </c>
      <c r="C1334" s="7">
        <v>61.0</v>
      </c>
      <c r="D1334" s="6" t="s">
        <v>3249</v>
      </c>
      <c r="E1334" s="16">
        <v>4.0</v>
      </c>
      <c r="F1334" s="18" t="s">
        <v>1321</v>
      </c>
    </row>
    <row r="1335">
      <c r="A1335" s="5" t="s">
        <v>3191</v>
      </c>
      <c r="B1335" s="6">
        <v>5.0</v>
      </c>
      <c r="C1335" s="7">
        <v>72.0</v>
      </c>
      <c r="D1335" s="6" t="s">
        <v>3171</v>
      </c>
      <c r="E1335" s="16">
        <v>4.0</v>
      </c>
      <c r="F1335" s="18" t="s">
        <v>1322</v>
      </c>
    </row>
    <row r="1336">
      <c r="A1336" s="5" t="s">
        <v>3212</v>
      </c>
      <c r="B1336" s="6">
        <v>6.0</v>
      </c>
      <c r="C1336" s="7">
        <v>16.0</v>
      </c>
      <c r="D1336" s="6" t="s">
        <v>3178</v>
      </c>
      <c r="E1336" s="16">
        <v>4.0</v>
      </c>
      <c r="F1336" s="18" t="s">
        <v>1323</v>
      </c>
    </row>
    <row r="1337">
      <c r="A1337" s="5" t="s">
        <v>3216</v>
      </c>
      <c r="B1337" s="6">
        <v>6.0</v>
      </c>
      <c r="C1337" s="7">
        <v>151.0</v>
      </c>
      <c r="D1337" s="6" t="s">
        <v>3232</v>
      </c>
      <c r="E1337" s="16">
        <v>4.0</v>
      </c>
      <c r="F1337" s="18" t="s">
        <v>1324</v>
      </c>
    </row>
    <row r="1338">
      <c r="A1338" s="5" t="s">
        <v>3264</v>
      </c>
      <c r="B1338" s="6">
        <v>4.0</v>
      </c>
      <c r="C1338" s="7">
        <v>79.0</v>
      </c>
      <c r="D1338" s="6" t="s">
        <v>3232</v>
      </c>
      <c r="E1338" s="16">
        <v>4.0</v>
      </c>
      <c r="F1338" s="18" t="s">
        <v>482</v>
      </c>
    </row>
    <row r="1339">
      <c r="A1339" s="5" t="s">
        <v>3193</v>
      </c>
      <c r="B1339" s="6">
        <v>5.0</v>
      </c>
      <c r="C1339" s="7">
        <v>166.0</v>
      </c>
      <c r="D1339" s="6" t="s">
        <v>3227</v>
      </c>
      <c r="E1339" s="16">
        <v>4.0</v>
      </c>
      <c r="F1339" s="18" t="s">
        <v>1325</v>
      </c>
    </row>
    <row r="1340">
      <c r="A1340" s="5" t="s">
        <v>3255</v>
      </c>
      <c r="B1340" s="6">
        <v>6.0</v>
      </c>
      <c r="C1340" s="7">
        <v>109.0</v>
      </c>
      <c r="D1340" s="6" t="s">
        <v>3249</v>
      </c>
      <c r="E1340" s="16">
        <v>4.0</v>
      </c>
      <c r="F1340" s="18" t="s">
        <v>1326</v>
      </c>
    </row>
    <row r="1341">
      <c r="A1341" s="5" t="s">
        <v>3230</v>
      </c>
      <c r="B1341" s="6">
        <v>1.0</v>
      </c>
      <c r="C1341" s="7">
        <v>170.0</v>
      </c>
      <c r="D1341" s="6" t="s">
        <v>3182</v>
      </c>
      <c r="E1341" s="16">
        <v>4.0</v>
      </c>
      <c r="F1341" s="18" t="s">
        <v>1327</v>
      </c>
    </row>
    <row r="1342">
      <c r="A1342" s="5" t="s">
        <v>3264</v>
      </c>
      <c r="B1342" s="6">
        <v>4.0</v>
      </c>
      <c r="C1342" s="7">
        <v>84.0</v>
      </c>
      <c r="D1342" s="6" t="s">
        <v>3203</v>
      </c>
      <c r="E1342" s="16">
        <v>3.0</v>
      </c>
      <c r="F1342" s="18" t="s">
        <v>1328</v>
      </c>
    </row>
    <row r="1343">
      <c r="A1343" s="5" t="s">
        <v>3240</v>
      </c>
      <c r="B1343" s="6">
        <v>2.0</v>
      </c>
      <c r="C1343" s="7">
        <v>104.0</v>
      </c>
      <c r="D1343" s="6" t="s">
        <v>3257</v>
      </c>
      <c r="E1343" s="16">
        <v>2.0</v>
      </c>
      <c r="F1343" s="18" t="s">
        <v>1329</v>
      </c>
    </row>
    <row r="1344">
      <c r="A1344" s="5" t="s">
        <v>3234</v>
      </c>
      <c r="B1344" s="6">
        <v>6.0</v>
      </c>
      <c r="C1344" s="7">
        <v>191.0</v>
      </c>
      <c r="D1344" s="6" t="s">
        <v>3221</v>
      </c>
      <c r="E1344" s="16">
        <v>2.0</v>
      </c>
      <c r="F1344" s="18" t="s">
        <v>1330</v>
      </c>
    </row>
    <row r="1345">
      <c r="A1345" s="5" t="s">
        <v>3185</v>
      </c>
      <c r="B1345" s="6">
        <v>1.0</v>
      </c>
      <c r="C1345" s="7">
        <v>11.0</v>
      </c>
      <c r="D1345" s="6" t="s">
        <v>3180</v>
      </c>
      <c r="E1345" s="16">
        <v>2.0</v>
      </c>
      <c r="F1345" s="18" t="s">
        <v>1331</v>
      </c>
    </row>
    <row r="1346">
      <c r="A1346" s="5" t="s">
        <v>3204</v>
      </c>
      <c r="B1346" s="6">
        <v>1.0</v>
      </c>
      <c r="C1346" s="7">
        <v>21.0</v>
      </c>
      <c r="D1346" s="6" t="s">
        <v>3200</v>
      </c>
      <c r="E1346" s="16">
        <v>2.0</v>
      </c>
      <c r="F1346" s="18" t="s">
        <v>1332</v>
      </c>
    </row>
    <row r="1347">
      <c r="A1347" s="5" t="s">
        <v>3216</v>
      </c>
      <c r="B1347" s="6">
        <v>6.0</v>
      </c>
      <c r="C1347" s="7">
        <v>24.0</v>
      </c>
      <c r="D1347" s="6" t="s">
        <v>3194</v>
      </c>
      <c r="E1347" s="16">
        <v>2.0</v>
      </c>
      <c r="F1347" s="18" t="s">
        <v>1333</v>
      </c>
    </row>
    <row r="1348">
      <c r="A1348" s="5" t="s">
        <v>3213</v>
      </c>
      <c r="B1348" s="6">
        <v>2.0</v>
      </c>
      <c r="C1348" s="7">
        <v>62.0</v>
      </c>
      <c r="D1348" s="6" t="s">
        <v>3200</v>
      </c>
      <c r="E1348" s="16">
        <v>2.0</v>
      </c>
      <c r="F1348" s="18" t="s">
        <v>1334</v>
      </c>
    </row>
    <row r="1349">
      <c r="A1349" s="5" t="s">
        <v>3172</v>
      </c>
      <c r="B1349" s="6">
        <v>1.0</v>
      </c>
      <c r="C1349" s="7">
        <v>101.0</v>
      </c>
      <c r="D1349" s="6" t="s">
        <v>3238</v>
      </c>
      <c r="E1349" s="16">
        <v>2.0</v>
      </c>
      <c r="F1349" s="18" t="s">
        <v>1335</v>
      </c>
    </row>
    <row r="1350">
      <c r="A1350" s="5" t="s">
        <v>3168</v>
      </c>
      <c r="B1350" s="6">
        <v>1.0</v>
      </c>
      <c r="C1350" s="7">
        <v>31.0</v>
      </c>
      <c r="D1350" s="6" t="s">
        <v>3227</v>
      </c>
      <c r="E1350" s="16">
        <v>2.0</v>
      </c>
      <c r="F1350" s="18" t="s">
        <v>1336</v>
      </c>
    </row>
    <row r="1351">
      <c r="A1351" s="5" t="s">
        <v>3243</v>
      </c>
      <c r="B1351" s="6">
        <v>4.0</v>
      </c>
      <c r="C1351" s="7">
        <v>137.0</v>
      </c>
      <c r="D1351" s="6" t="s">
        <v>3215</v>
      </c>
      <c r="E1351" s="16">
        <v>2.0</v>
      </c>
      <c r="F1351" s="18" t="s">
        <v>1337</v>
      </c>
    </row>
    <row r="1352">
      <c r="A1352" s="5" t="s">
        <v>3210</v>
      </c>
      <c r="B1352" s="6">
        <v>1.0</v>
      </c>
      <c r="C1352" s="7">
        <v>159.0</v>
      </c>
      <c r="D1352" s="6" t="s">
        <v>3188</v>
      </c>
      <c r="E1352" s="16">
        <v>2.0</v>
      </c>
      <c r="F1352" s="18" t="s">
        <v>1338</v>
      </c>
    </row>
    <row r="1353">
      <c r="A1353" s="5" t="s">
        <v>3193</v>
      </c>
      <c r="B1353" s="6">
        <v>5.0</v>
      </c>
      <c r="C1353" s="7">
        <v>129.0</v>
      </c>
      <c r="D1353" s="6" t="s">
        <v>3182</v>
      </c>
      <c r="E1353" s="16">
        <v>2.0</v>
      </c>
      <c r="F1353" s="18" t="s">
        <v>1339</v>
      </c>
    </row>
    <row r="1354">
      <c r="A1354" s="5" t="s">
        <v>3212</v>
      </c>
      <c r="B1354" s="6">
        <v>6.0</v>
      </c>
      <c r="C1354" s="7">
        <v>190.0</v>
      </c>
      <c r="D1354" s="6" t="s">
        <v>3186</v>
      </c>
      <c r="E1354" s="16">
        <v>2.0</v>
      </c>
      <c r="F1354" s="18" t="s">
        <v>1340</v>
      </c>
    </row>
    <row r="1355">
      <c r="A1355" s="5" t="s">
        <v>3210</v>
      </c>
      <c r="B1355" s="6">
        <v>1.0</v>
      </c>
      <c r="C1355" s="7">
        <v>27.0</v>
      </c>
      <c r="D1355" s="6" t="s">
        <v>3182</v>
      </c>
      <c r="E1355" s="16">
        <v>2.0</v>
      </c>
      <c r="F1355" s="18" t="s">
        <v>1341</v>
      </c>
    </row>
    <row r="1356">
      <c r="A1356" s="5" t="s">
        <v>3174</v>
      </c>
      <c r="B1356" s="6">
        <v>1.0</v>
      </c>
      <c r="C1356" s="7">
        <v>63.0</v>
      </c>
      <c r="D1356" s="6" t="s">
        <v>3257</v>
      </c>
      <c r="E1356" s="16">
        <v>1.0</v>
      </c>
      <c r="F1356" s="18" t="s">
        <v>1342</v>
      </c>
    </row>
    <row r="1357">
      <c r="A1357" s="5" t="s">
        <v>3206</v>
      </c>
      <c r="B1357" s="6">
        <v>6.0</v>
      </c>
      <c r="C1357" s="7">
        <v>144.0</v>
      </c>
      <c r="D1357" s="6" t="s">
        <v>3173</v>
      </c>
      <c r="E1357" s="16">
        <v>1.0</v>
      </c>
      <c r="F1357" s="18" t="s">
        <v>1343</v>
      </c>
    </row>
    <row r="1358">
      <c r="A1358" s="5" t="s">
        <v>3246</v>
      </c>
      <c r="B1358" s="6">
        <v>4.0</v>
      </c>
      <c r="C1358" s="7">
        <v>180.0</v>
      </c>
      <c r="D1358" s="6" t="s">
        <v>3192</v>
      </c>
      <c r="E1358" s="16">
        <v>1.0</v>
      </c>
      <c r="F1358" s="18" t="s">
        <v>1344</v>
      </c>
    </row>
    <row r="1359">
      <c r="A1359" s="5" t="s">
        <v>3229</v>
      </c>
      <c r="B1359" s="6">
        <v>4.0</v>
      </c>
      <c r="C1359" s="7">
        <v>13.0</v>
      </c>
      <c r="D1359" s="6" t="s">
        <v>3245</v>
      </c>
      <c r="E1359" s="16">
        <v>1.0</v>
      </c>
      <c r="F1359" s="18" t="s">
        <v>1345</v>
      </c>
    </row>
    <row r="1360">
      <c r="A1360" s="5" t="s">
        <v>3251</v>
      </c>
      <c r="B1360" s="6">
        <v>6.0</v>
      </c>
      <c r="C1360" s="7">
        <v>117.0</v>
      </c>
      <c r="D1360" s="6" t="s">
        <v>3225</v>
      </c>
      <c r="E1360" s="16">
        <v>1.0</v>
      </c>
      <c r="F1360" s="18" t="s">
        <v>1346</v>
      </c>
    </row>
    <row r="1361">
      <c r="A1361" s="5" t="s">
        <v>3258</v>
      </c>
      <c r="B1361" s="6">
        <v>6.0</v>
      </c>
      <c r="C1361" s="7">
        <v>196.0</v>
      </c>
      <c r="D1361" s="6" t="s">
        <v>3169</v>
      </c>
      <c r="E1361" s="16">
        <v>1.0</v>
      </c>
      <c r="F1361" s="18" t="s">
        <v>1347</v>
      </c>
    </row>
    <row r="1362">
      <c r="A1362" s="5" t="s">
        <v>3229</v>
      </c>
      <c r="B1362" s="6">
        <v>4.0</v>
      </c>
      <c r="C1362" s="7">
        <v>159.0</v>
      </c>
      <c r="D1362" s="6" t="s">
        <v>3188</v>
      </c>
      <c r="E1362" s="16">
        <v>1.0</v>
      </c>
      <c r="F1362" s="18" t="s">
        <v>1348</v>
      </c>
    </row>
    <row r="1363">
      <c r="A1363" s="5" t="s">
        <v>3253</v>
      </c>
      <c r="B1363" s="6">
        <v>1.0</v>
      </c>
      <c r="C1363" s="7">
        <v>101.0</v>
      </c>
      <c r="D1363" s="6" t="s">
        <v>3238</v>
      </c>
      <c r="E1363" s="16">
        <v>1.0</v>
      </c>
      <c r="F1363" s="18" t="s">
        <v>1349</v>
      </c>
    </row>
    <row r="1364">
      <c r="A1364" s="5" t="s">
        <v>3256</v>
      </c>
      <c r="B1364" s="6">
        <v>6.0</v>
      </c>
      <c r="C1364" s="7">
        <v>122.0</v>
      </c>
      <c r="D1364" s="6" t="s">
        <v>3232</v>
      </c>
      <c r="E1364" s="16">
        <v>1.0</v>
      </c>
      <c r="F1364" s="18" t="s">
        <v>1350</v>
      </c>
    </row>
    <row r="1365">
      <c r="A1365" s="5" t="s">
        <v>3250</v>
      </c>
      <c r="B1365" s="6">
        <v>4.0</v>
      </c>
      <c r="C1365" s="7">
        <v>136.0</v>
      </c>
      <c r="D1365" s="6" t="s">
        <v>3221</v>
      </c>
      <c r="E1365" s="16">
        <v>1.0</v>
      </c>
      <c r="F1365" s="18" t="s">
        <v>1351</v>
      </c>
    </row>
    <row r="1366">
      <c r="A1366" s="5" t="s">
        <v>3256</v>
      </c>
      <c r="B1366" s="6">
        <v>6.0</v>
      </c>
      <c r="C1366" s="7">
        <v>9.0</v>
      </c>
      <c r="D1366" s="6" t="s">
        <v>3232</v>
      </c>
      <c r="E1366" s="16">
        <v>1.0</v>
      </c>
      <c r="F1366" s="18" t="s">
        <v>1352</v>
      </c>
    </row>
    <row r="1367">
      <c r="A1367" s="5" t="s">
        <v>3199</v>
      </c>
      <c r="B1367" s="6">
        <v>3.0</v>
      </c>
      <c r="C1367" s="7">
        <v>165.0</v>
      </c>
      <c r="D1367" s="6" t="s">
        <v>3196</v>
      </c>
      <c r="E1367" s="16">
        <v>1.0</v>
      </c>
      <c r="F1367" s="18" t="s">
        <v>1353</v>
      </c>
    </row>
    <row r="1368">
      <c r="A1368" s="5" t="s">
        <v>3204</v>
      </c>
      <c r="B1368" s="6">
        <v>1.0</v>
      </c>
      <c r="C1368" s="7">
        <v>2.0</v>
      </c>
      <c r="D1368" s="6" t="s">
        <v>3214</v>
      </c>
      <c r="E1368" s="16">
        <v>1.0</v>
      </c>
      <c r="F1368" s="18" t="s">
        <v>1354</v>
      </c>
    </row>
    <row r="1369">
      <c r="A1369" s="5" t="s">
        <v>3263</v>
      </c>
      <c r="B1369" s="6">
        <v>1.0</v>
      </c>
      <c r="C1369" s="7">
        <v>176.0</v>
      </c>
      <c r="D1369" s="6" t="s">
        <v>3232</v>
      </c>
      <c r="E1369" s="16">
        <v>1.0</v>
      </c>
      <c r="F1369" s="18" t="s">
        <v>1355</v>
      </c>
    </row>
    <row r="1370">
      <c r="A1370" s="5" t="s">
        <v>3202</v>
      </c>
      <c r="B1370" s="6">
        <v>4.0</v>
      </c>
      <c r="C1370" s="7">
        <v>152.0</v>
      </c>
      <c r="D1370" s="6" t="s">
        <v>3203</v>
      </c>
      <c r="E1370" s="16">
        <v>5.0</v>
      </c>
      <c r="F1370" s="18" t="s">
        <v>1356</v>
      </c>
    </row>
    <row r="1371">
      <c r="A1371" s="5" t="s">
        <v>3201</v>
      </c>
      <c r="B1371" s="6">
        <v>5.0</v>
      </c>
      <c r="C1371" s="7">
        <v>196.0</v>
      </c>
      <c r="D1371" s="6" t="s">
        <v>3169</v>
      </c>
      <c r="E1371" s="16">
        <v>5.0</v>
      </c>
      <c r="F1371" s="18" t="s">
        <v>1357</v>
      </c>
    </row>
    <row r="1372">
      <c r="A1372" s="5" t="s">
        <v>3201</v>
      </c>
      <c r="B1372" s="6">
        <v>5.0</v>
      </c>
      <c r="C1372" s="7">
        <v>138.0</v>
      </c>
      <c r="D1372" s="6" t="s">
        <v>3219</v>
      </c>
      <c r="E1372" s="16">
        <v>5.0</v>
      </c>
      <c r="F1372" s="18" t="s">
        <v>1358</v>
      </c>
    </row>
    <row r="1373">
      <c r="A1373" s="5" t="s">
        <v>3250</v>
      </c>
      <c r="B1373" s="6">
        <v>4.0</v>
      </c>
      <c r="C1373" s="7">
        <v>177.0</v>
      </c>
      <c r="D1373" s="6" t="s">
        <v>3167</v>
      </c>
      <c r="E1373" s="16">
        <v>5.0</v>
      </c>
      <c r="F1373" s="18" t="s">
        <v>1359</v>
      </c>
    </row>
    <row r="1374">
      <c r="A1374" s="5" t="s">
        <v>3270</v>
      </c>
      <c r="B1374" s="6">
        <v>3.0</v>
      </c>
      <c r="C1374" s="7">
        <v>132.0</v>
      </c>
      <c r="D1374" s="6" t="s">
        <v>3186</v>
      </c>
      <c r="E1374" s="16">
        <v>5.0</v>
      </c>
      <c r="F1374" s="18" t="s">
        <v>1360</v>
      </c>
    </row>
    <row r="1375">
      <c r="A1375" s="5" t="s">
        <v>3172</v>
      </c>
      <c r="B1375" s="6">
        <v>1.0</v>
      </c>
      <c r="C1375" s="7">
        <v>171.0</v>
      </c>
      <c r="D1375" s="6" t="s">
        <v>3245</v>
      </c>
      <c r="E1375" s="16">
        <v>5.0</v>
      </c>
      <c r="F1375" s="18" t="s">
        <v>1361</v>
      </c>
    </row>
    <row r="1376">
      <c r="A1376" s="5" t="s">
        <v>3195</v>
      </c>
      <c r="B1376" s="6">
        <v>4.0</v>
      </c>
      <c r="C1376" s="7">
        <v>94.0</v>
      </c>
      <c r="D1376" s="6" t="s">
        <v>3239</v>
      </c>
      <c r="E1376" s="16">
        <v>5.0</v>
      </c>
      <c r="F1376" s="18" t="s">
        <v>1362</v>
      </c>
    </row>
    <row r="1377">
      <c r="A1377" s="5" t="s">
        <v>3237</v>
      </c>
      <c r="B1377" s="6">
        <v>2.0</v>
      </c>
      <c r="C1377" s="7">
        <v>79.0</v>
      </c>
      <c r="D1377" s="6" t="s">
        <v>3232</v>
      </c>
      <c r="E1377" s="16">
        <v>5.0</v>
      </c>
      <c r="F1377" s="18" t="s">
        <v>1040</v>
      </c>
    </row>
    <row r="1378">
      <c r="A1378" s="5" t="s">
        <v>3212</v>
      </c>
      <c r="B1378" s="6">
        <v>6.0</v>
      </c>
      <c r="C1378" s="7">
        <v>105.0</v>
      </c>
      <c r="D1378" s="6" t="s">
        <v>3167</v>
      </c>
      <c r="E1378" s="16">
        <v>5.0</v>
      </c>
      <c r="F1378" s="18" t="s">
        <v>1363</v>
      </c>
    </row>
    <row r="1379">
      <c r="A1379" s="5" t="s">
        <v>3183</v>
      </c>
      <c r="B1379" s="6">
        <v>6.0</v>
      </c>
      <c r="C1379" s="7">
        <v>130.0</v>
      </c>
      <c r="D1379" s="6" t="s">
        <v>3232</v>
      </c>
      <c r="E1379" s="16">
        <v>5.0</v>
      </c>
      <c r="F1379" s="18" t="s">
        <v>1364</v>
      </c>
    </row>
    <row r="1380">
      <c r="A1380" s="5" t="s">
        <v>3242</v>
      </c>
      <c r="B1380" s="6">
        <v>1.0</v>
      </c>
      <c r="C1380" s="7">
        <v>197.0</v>
      </c>
      <c r="D1380" s="6" t="s">
        <v>3173</v>
      </c>
      <c r="E1380" s="16">
        <v>5.0</v>
      </c>
      <c r="F1380" s="18" t="s">
        <v>1365</v>
      </c>
    </row>
    <row r="1381">
      <c r="A1381" s="5" t="s">
        <v>3205</v>
      </c>
      <c r="B1381" s="6">
        <v>1.0</v>
      </c>
      <c r="C1381" s="7">
        <v>7.0</v>
      </c>
      <c r="D1381" s="6" t="s">
        <v>3180</v>
      </c>
      <c r="E1381" s="16">
        <v>5.0</v>
      </c>
      <c r="F1381" s="18" t="s">
        <v>1366</v>
      </c>
    </row>
    <row r="1382">
      <c r="A1382" s="5" t="s">
        <v>3195</v>
      </c>
      <c r="B1382" s="6">
        <v>4.0</v>
      </c>
      <c r="C1382" s="7">
        <v>92.0</v>
      </c>
      <c r="D1382" s="6" t="s">
        <v>3215</v>
      </c>
      <c r="E1382" s="16">
        <v>5.0</v>
      </c>
      <c r="F1382" s="18" t="s">
        <v>1367</v>
      </c>
    </row>
    <row r="1383">
      <c r="A1383" s="5" t="s">
        <v>3208</v>
      </c>
      <c r="B1383" s="6">
        <v>4.0</v>
      </c>
      <c r="C1383" s="7">
        <v>151.0</v>
      </c>
      <c r="D1383" s="6" t="s">
        <v>3232</v>
      </c>
      <c r="E1383" s="16">
        <v>4.0</v>
      </c>
      <c r="F1383" s="18" t="s">
        <v>1368</v>
      </c>
    </row>
    <row r="1384">
      <c r="A1384" s="5" t="s">
        <v>3195</v>
      </c>
      <c r="B1384" s="6">
        <v>4.0</v>
      </c>
      <c r="C1384" s="7">
        <v>147.0</v>
      </c>
      <c r="D1384" s="6" t="s">
        <v>3196</v>
      </c>
      <c r="E1384" s="16">
        <v>4.0</v>
      </c>
      <c r="F1384" s="18" t="s">
        <v>1369</v>
      </c>
    </row>
    <row r="1385">
      <c r="A1385" s="5" t="s">
        <v>3256</v>
      </c>
      <c r="B1385" s="6">
        <v>6.0</v>
      </c>
      <c r="C1385" s="7">
        <v>76.0</v>
      </c>
      <c r="D1385" s="6" t="s">
        <v>3190</v>
      </c>
      <c r="E1385" s="16">
        <v>4.0</v>
      </c>
      <c r="F1385" s="18" t="s">
        <v>1370</v>
      </c>
    </row>
    <row r="1386">
      <c r="A1386" s="5" t="s">
        <v>3212</v>
      </c>
      <c r="B1386" s="6">
        <v>6.0</v>
      </c>
      <c r="C1386" s="7">
        <v>105.0</v>
      </c>
      <c r="D1386" s="6" t="s">
        <v>3167</v>
      </c>
      <c r="E1386" s="16">
        <v>4.0</v>
      </c>
      <c r="F1386" s="18" t="s">
        <v>1371</v>
      </c>
    </row>
    <row r="1387">
      <c r="A1387" s="5" t="s">
        <v>3246</v>
      </c>
      <c r="B1387" s="6">
        <v>4.0</v>
      </c>
      <c r="C1387" s="7">
        <v>170.0</v>
      </c>
      <c r="D1387" s="6" t="s">
        <v>3182</v>
      </c>
      <c r="E1387" s="16">
        <v>4.0</v>
      </c>
      <c r="F1387" s="18" t="s">
        <v>1372</v>
      </c>
    </row>
    <row r="1388">
      <c r="A1388" s="5" t="s">
        <v>3208</v>
      </c>
      <c r="B1388" s="6">
        <v>4.0</v>
      </c>
      <c r="C1388" s="7">
        <v>94.0</v>
      </c>
      <c r="D1388" s="6" t="s">
        <v>3239</v>
      </c>
      <c r="E1388" s="16">
        <v>4.0</v>
      </c>
      <c r="F1388" s="18" t="s">
        <v>1373</v>
      </c>
    </row>
    <row r="1389">
      <c r="A1389" s="5" t="s">
        <v>3170</v>
      </c>
      <c r="B1389" s="6">
        <v>1.0</v>
      </c>
      <c r="C1389" s="7">
        <v>50.0</v>
      </c>
      <c r="D1389" s="6" t="s">
        <v>3238</v>
      </c>
      <c r="E1389" s="16">
        <v>4.0</v>
      </c>
      <c r="F1389" s="18" t="s">
        <v>1374</v>
      </c>
    </row>
    <row r="1390">
      <c r="A1390" s="5" t="s">
        <v>3261</v>
      </c>
      <c r="B1390" s="6">
        <v>4.0</v>
      </c>
      <c r="C1390" s="7">
        <v>76.0</v>
      </c>
      <c r="D1390" s="6" t="s">
        <v>3190</v>
      </c>
      <c r="E1390" s="16">
        <v>3.0</v>
      </c>
      <c r="F1390" s="18" t="s">
        <v>1375</v>
      </c>
    </row>
    <row r="1391">
      <c r="A1391" s="5" t="s">
        <v>3193</v>
      </c>
      <c r="B1391" s="6">
        <v>5.0</v>
      </c>
      <c r="C1391" s="7">
        <v>117.0</v>
      </c>
      <c r="D1391" s="6" t="s">
        <v>3225</v>
      </c>
      <c r="E1391" s="16">
        <v>3.0</v>
      </c>
      <c r="F1391" s="18" t="s">
        <v>1376</v>
      </c>
    </row>
    <row r="1392">
      <c r="A1392" s="5" t="s">
        <v>3189</v>
      </c>
      <c r="B1392" s="6">
        <v>6.0</v>
      </c>
      <c r="C1392" s="7">
        <v>53.0</v>
      </c>
      <c r="D1392" s="6" t="s">
        <v>3249</v>
      </c>
      <c r="E1392" s="16">
        <v>3.0</v>
      </c>
      <c r="F1392" s="18" t="s">
        <v>1377</v>
      </c>
    </row>
    <row r="1393">
      <c r="A1393" s="5" t="s">
        <v>3212</v>
      </c>
      <c r="B1393" s="6">
        <v>6.0</v>
      </c>
      <c r="C1393" s="7">
        <v>95.0</v>
      </c>
      <c r="D1393" s="6" t="s">
        <v>3227</v>
      </c>
      <c r="E1393" s="16">
        <v>3.0</v>
      </c>
      <c r="F1393" s="18" t="s">
        <v>1061</v>
      </c>
    </row>
    <row r="1394">
      <c r="A1394" s="5" t="s">
        <v>3212</v>
      </c>
      <c r="B1394" s="6">
        <v>6.0</v>
      </c>
      <c r="C1394" s="7">
        <v>107.0</v>
      </c>
      <c r="D1394" s="6" t="s">
        <v>3207</v>
      </c>
      <c r="E1394" s="16">
        <v>3.0</v>
      </c>
      <c r="F1394" s="18" t="s">
        <v>1378</v>
      </c>
    </row>
    <row r="1395">
      <c r="A1395" s="5" t="s">
        <v>3263</v>
      </c>
      <c r="B1395" s="6">
        <v>1.0</v>
      </c>
      <c r="C1395" s="7">
        <v>87.0</v>
      </c>
      <c r="D1395" s="6" t="s">
        <v>3227</v>
      </c>
      <c r="E1395" s="16">
        <v>3.0</v>
      </c>
      <c r="F1395" s="18" t="s">
        <v>1379</v>
      </c>
    </row>
    <row r="1396">
      <c r="A1396" s="5" t="s">
        <v>3253</v>
      </c>
      <c r="B1396" s="6">
        <v>1.0</v>
      </c>
      <c r="C1396" s="7">
        <v>87.0</v>
      </c>
      <c r="D1396" s="6" t="s">
        <v>3227</v>
      </c>
      <c r="E1396" s="16">
        <v>3.0</v>
      </c>
      <c r="F1396" s="18" t="s">
        <v>1380</v>
      </c>
    </row>
    <row r="1397">
      <c r="A1397" s="5" t="s">
        <v>3166</v>
      </c>
      <c r="B1397" s="6">
        <v>6.0</v>
      </c>
      <c r="C1397" s="7">
        <v>44.0</v>
      </c>
      <c r="D1397" s="6" t="s">
        <v>3239</v>
      </c>
      <c r="E1397" s="16">
        <v>3.0</v>
      </c>
      <c r="F1397" s="18" t="s">
        <v>1381</v>
      </c>
    </row>
    <row r="1398">
      <c r="A1398" s="5" t="s">
        <v>3261</v>
      </c>
      <c r="B1398" s="6">
        <v>4.0</v>
      </c>
      <c r="C1398" s="7">
        <v>67.0</v>
      </c>
      <c r="D1398" s="6" t="s">
        <v>3186</v>
      </c>
      <c r="E1398" s="16">
        <v>2.0</v>
      </c>
      <c r="F1398" s="18" t="s">
        <v>1382</v>
      </c>
    </row>
    <row r="1399">
      <c r="A1399" s="5" t="s">
        <v>3256</v>
      </c>
      <c r="B1399" s="6">
        <v>6.0</v>
      </c>
      <c r="C1399" s="7">
        <v>25.0</v>
      </c>
      <c r="D1399" s="6" t="s">
        <v>3173</v>
      </c>
      <c r="E1399" s="16">
        <v>2.0</v>
      </c>
      <c r="F1399" s="18" t="s">
        <v>963</v>
      </c>
    </row>
    <row r="1400">
      <c r="A1400" s="5" t="s">
        <v>3223</v>
      </c>
      <c r="B1400" s="6">
        <v>3.0</v>
      </c>
      <c r="C1400" s="7">
        <v>52.0</v>
      </c>
      <c r="D1400" s="6" t="s">
        <v>3194</v>
      </c>
      <c r="E1400" s="16">
        <v>2.0</v>
      </c>
      <c r="F1400" s="18" t="s">
        <v>1383</v>
      </c>
    </row>
    <row r="1401">
      <c r="A1401" s="5" t="s">
        <v>3218</v>
      </c>
      <c r="B1401" s="6">
        <v>5.0</v>
      </c>
      <c r="C1401" s="7">
        <v>41.0</v>
      </c>
      <c r="D1401" s="6" t="s">
        <v>3238</v>
      </c>
      <c r="E1401" s="16">
        <v>2.0</v>
      </c>
      <c r="F1401" s="18" t="s">
        <v>1384</v>
      </c>
    </row>
    <row r="1402">
      <c r="A1402" s="5" t="s">
        <v>3218</v>
      </c>
      <c r="B1402" s="6">
        <v>5.0</v>
      </c>
      <c r="C1402" s="7">
        <v>72.0</v>
      </c>
      <c r="D1402" s="6" t="s">
        <v>3171</v>
      </c>
      <c r="E1402" s="16">
        <v>2.0</v>
      </c>
      <c r="F1402" s="18" t="s">
        <v>1385</v>
      </c>
    </row>
    <row r="1403">
      <c r="A1403" s="5" t="s">
        <v>3264</v>
      </c>
      <c r="B1403" s="6">
        <v>4.0</v>
      </c>
      <c r="C1403" s="7">
        <v>53.0</v>
      </c>
      <c r="D1403" s="6" t="s">
        <v>3249</v>
      </c>
      <c r="E1403" s="16">
        <v>2.0</v>
      </c>
      <c r="F1403" s="18" t="s">
        <v>1386</v>
      </c>
    </row>
    <row r="1404">
      <c r="A1404" s="5" t="s">
        <v>3179</v>
      </c>
      <c r="B1404" s="6">
        <v>1.0</v>
      </c>
      <c r="C1404" s="7">
        <v>142.0</v>
      </c>
      <c r="D1404" s="6" t="s">
        <v>3173</v>
      </c>
      <c r="E1404" s="16">
        <v>2.0</v>
      </c>
      <c r="F1404" s="18" t="s">
        <v>1387</v>
      </c>
    </row>
    <row r="1405">
      <c r="A1405" s="5" t="s">
        <v>3226</v>
      </c>
      <c r="B1405" s="6">
        <v>1.0</v>
      </c>
      <c r="C1405" s="7">
        <v>64.0</v>
      </c>
      <c r="D1405" s="6" t="s">
        <v>3180</v>
      </c>
      <c r="E1405" s="16">
        <v>2.0</v>
      </c>
      <c r="F1405" s="18" t="s">
        <v>1388</v>
      </c>
    </row>
    <row r="1406">
      <c r="A1406" s="5" t="s">
        <v>3208</v>
      </c>
      <c r="B1406" s="6">
        <v>4.0</v>
      </c>
      <c r="C1406" s="7">
        <v>14.0</v>
      </c>
      <c r="D1406" s="6" t="s">
        <v>3196</v>
      </c>
      <c r="E1406" s="16">
        <v>1.0</v>
      </c>
      <c r="F1406" s="18" t="s">
        <v>1389</v>
      </c>
    </row>
    <row r="1407">
      <c r="A1407" s="5" t="s">
        <v>3256</v>
      </c>
      <c r="B1407" s="6">
        <v>6.0</v>
      </c>
      <c r="C1407" s="7">
        <v>128.0</v>
      </c>
      <c r="D1407" s="6" t="s">
        <v>3211</v>
      </c>
      <c r="E1407" s="16">
        <v>1.0</v>
      </c>
      <c r="F1407" s="18" t="s">
        <v>1390</v>
      </c>
    </row>
    <row r="1408">
      <c r="A1408" s="5" t="s">
        <v>3250</v>
      </c>
      <c r="B1408" s="6">
        <v>4.0</v>
      </c>
      <c r="C1408" s="7">
        <v>185.0</v>
      </c>
      <c r="D1408" s="6" t="s">
        <v>3173</v>
      </c>
      <c r="E1408" s="16">
        <v>1.0</v>
      </c>
      <c r="F1408" s="18" t="s">
        <v>1391</v>
      </c>
    </row>
    <row r="1409">
      <c r="A1409" s="5" t="s">
        <v>3191</v>
      </c>
      <c r="B1409" s="6">
        <v>5.0</v>
      </c>
      <c r="C1409" s="7">
        <v>74.0</v>
      </c>
      <c r="D1409" s="6" t="s">
        <v>3190</v>
      </c>
      <c r="E1409" s="16">
        <v>1.0</v>
      </c>
      <c r="F1409" s="18" t="s">
        <v>1392</v>
      </c>
    </row>
    <row r="1410">
      <c r="A1410" s="5" t="s">
        <v>3191</v>
      </c>
      <c r="B1410" s="6">
        <v>5.0</v>
      </c>
      <c r="C1410" s="7">
        <v>114.0</v>
      </c>
      <c r="D1410" s="6" t="s">
        <v>3245</v>
      </c>
      <c r="E1410" s="16">
        <v>1.0</v>
      </c>
      <c r="F1410" s="18" t="s">
        <v>1393</v>
      </c>
    </row>
    <row r="1411">
      <c r="A1411" s="5" t="s">
        <v>3250</v>
      </c>
      <c r="B1411" s="6">
        <v>4.0</v>
      </c>
      <c r="C1411" s="7">
        <v>11.0</v>
      </c>
      <c r="D1411" s="6" t="s">
        <v>3180</v>
      </c>
      <c r="E1411" s="16">
        <v>1.0</v>
      </c>
      <c r="F1411" s="18" t="s">
        <v>1394</v>
      </c>
    </row>
    <row r="1412">
      <c r="A1412" s="5" t="s">
        <v>3229</v>
      </c>
      <c r="B1412" s="6">
        <v>4.0</v>
      </c>
      <c r="C1412" s="7">
        <v>170.0</v>
      </c>
      <c r="D1412" s="6" t="s">
        <v>3182</v>
      </c>
      <c r="E1412" s="16">
        <v>1.0</v>
      </c>
      <c r="F1412" s="18" t="s">
        <v>1395</v>
      </c>
    </row>
    <row r="1413">
      <c r="A1413" s="5" t="s">
        <v>3259</v>
      </c>
      <c r="B1413" s="6">
        <v>6.0</v>
      </c>
      <c r="C1413" s="7">
        <v>164.0</v>
      </c>
      <c r="D1413" s="6" t="s">
        <v>3232</v>
      </c>
      <c r="E1413" s="16">
        <v>5.0</v>
      </c>
      <c r="F1413" s="18" t="s">
        <v>1396</v>
      </c>
    </row>
    <row r="1414">
      <c r="A1414" s="5" t="s">
        <v>3234</v>
      </c>
      <c r="B1414" s="6">
        <v>6.0</v>
      </c>
      <c r="C1414" s="7">
        <v>24.0</v>
      </c>
      <c r="D1414" s="6" t="s">
        <v>3194</v>
      </c>
      <c r="E1414" s="16">
        <v>5.0</v>
      </c>
      <c r="F1414" s="18" t="s">
        <v>1397</v>
      </c>
    </row>
    <row r="1415">
      <c r="A1415" s="5" t="s">
        <v>3172</v>
      </c>
      <c r="B1415" s="6">
        <v>1.0</v>
      </c>
      <c r="C1415" s="7">
        <v>74.0</v>
      </c>
      <c r="D1415" s="6" t="s">
        <v>3190</v>
      </c>
      <c r="E1415" s="16">
        <v>5.0</v>
      </c>
      <c r="F1415" s="18" t="s">
        <v>1398</v>
      </c>
    </row>
    <row r="1416">
      <c r="A1416" s="5" t="s">
        <v>3204</v>
      </c>
      <c r="B1416" s="6">
        <v>1.0</v>
      </c>
      <c r="C1416" s="7">
        <v>111.0</v>
      </c>
      <c r="D1416" s="6" t="s">
        <v>3235</v>
      </c>
      <c r="E1416" s="16">
        <v>5.0</v>
      </c>
      <c r="F1416" s="18" t="s">
        <v>1399</v>
      </c>
    </row>
    <row r="1417">
      <c r="A1417" s="5" t="s">
        <v>3228</v>
      </c>
      <c r="B1417" s="6">
        <v>6.0</v>
      </c>
      <c r="C1417" s="7">
        <v>187.0</v>
      </c>
      <c r="D1417" s="6" t="s">
        <v>3254</v>
      </c>
      <c r="E1417" s="16">
        <v>5.0</v>
      </c>
      <c r="F1417" s="18" t="s">
        <v>1400</v>
      </c>
    </row>
    <row r="1418">
      <c r="A1418" s="5" t="s">
        <v>3270</v>
      </c>
      <c r="B1418" s="6">
        <v>3.0</v>
      </c>
      <c r="C1418" s="7">
        <v>114.0</v>
      </c>
      <c r="D1418" s="6" t="s">
        <v>3245</v>
      </c>
      <c r="E1418" s="16">
        <v>5.0</v>
      </c>
      <c r="F1418" s="18" t="s">
        <v>1401</v>
      </c>
    </row>
    <row r="1419">
      <c r="A1419" s="5" t="s">
        <v>3270</v>
      </c>
      <c r="B1419" s="6">
        <v>3.0</v>
      </c>
      <c r="C1419" s="7">
        <v>186.0</v>
      </c>
      <c r="D1419" s="6" t="s">
        <v>3222</v>
      </c>
      <c r="E1419" s="16">
        <v>5.0</v>
      </c>
      <c r="F1419" s="18" t="s">
        <v>1402</v>
      </c>
    </row>
    <row r="1420">
      <c r="A1420" s="5" t="s">
        <v>3226</v>
      </c>
      <c r="B1420" s="6">
        <v>1.0</v>
      </c>
      <c r="C1420" s="7">
        <v>20.0</v>
      </c>
      <c r="D1420" s="6" t="s">
        <v>3173</v>
      </c>
      <c r="E1420" s="16">
        <v>5.0</v>
      </c>
      <c r="F1420" s="18" t="s">
        <v>706</v>
      </c>
    </row>
    <row r="1421">
      <c r="A1421" s="5" t="s">
        <v>3242</v>
      </c>
      <c r="B1421" s="6">
        <v>1.0</v>
      </c>
      <c r="C1421" s="7">
        <v>124.0</v>
      </c>
      <c r="D1421" s="6" t="s">
        <v>3238</v>
      </c>
      <c r="E1421" s="16">
        <v>5.0</v>
      </c>
      <c r="F1421" s="18" t="s">
        <v>1403</v>
      </c>
    </row>
    <row r="1422">
      <c r="A1422" s="5" t="s">
        <v>3265</v>
      </c>
      <c r="B1422" s="6">
        <v>1.0</v>
      </c>
      <c r="C1422" s="7">
        <v>65.0</v>
      </c>
      <c r="D1422" s="6" t="s">
        <v>3221</v>
      </c>
      <c r="E1422" s="16">
        <v>5.0</v>
      </c>
      <c r="F1422" s="18" t="s">
        <v>1404</v>
      </c>
    </row>
    <row r="1423">
      <c r="A1423" s="5" t="s">
        <v>3233</v>
      </c>
      <c r="B1423" s="6">
        <v>6.0</v>
      </c>
      <c r="C1423" s="7">
        <v>71.0</v>
      </c>
      <c r="D1423" s="6" t="s">
        <v>3176</v>
      </c>
      <c r="E1423" s="16">
        <v>5.0</v>
      </c>
      <c r="F1423" s="18" t="s">
        <v>1405</v>
      </c>
    </row>
    <row r="1424">
      <c r="A1424" s="5" t="s">
        <v>3187</v>
      </c>
      <c r="B1424" s="6">
        <v>4.0</v>
      </c>
      <c r="C1424" s="7">
        <v>73.0</v>
      </c>
      <c r="D1424" s="6" t="s">
        <v>3173</v>
      </c>
      <c r="E1424" s="16">
        <v>5.0</v>
      </c>
      <c r="F1424" s="18" t="s">
        <v>1406</v>
      </c>
    </row>
    <row r="1425">
      <c r="A1425" s="5" t="s">
        <v>3258</v>
      </c>
      <c r="B1425" s="6">
        <v>6.0</v>
      </c>
      <c r="C1425" s="7">
        <v>15.0</v>
      </c>
      <c r="D1425" s="6" t="s">
        <v>3254</v>
      </c>
      <c r="E1425" s="16">
        <v>5.0</v>
      </c>
      <c r="F1425" s="18" t="s">
        <v>1407</v>
      </c>
    </row>
    <row r="1426">
      <c r="A1426" s="5" t="s">
        <v>3236</v>
      </c>
      <c r="B1426" s="6">
        <v>6.0</v>
      </c>
      <c r="C1426" s="7">
        <v>83.0</v>
      </c>
      <c r="D1426" s="6" t="s">
        <v>3203</v>
      </c>
      <c r="E1426" s="16">
        <v>5.0</v>
      </c>
      <c r="F1426" s="18" t="s">
        <v>1408</v>
      </c>
    </row>
    <row r="1427">
      <c r="A1427" s="5" t="s">
        <v>3206</v>
      </c>
      <c r="B1427" s="6">
        <v>6.0</v>
      </c>
      <c r="C1427" s="7">
        <v>78.0</v>
      </c>
      <c r="D1427" s="6" t="s">
        <v>3176</v>
      </c>
      <c r="E1427" s="16">
        <v>5.0</v>
      </c>
      <c r="F1427" s="18" t="s">
        <v>1409</v>
      </c>
    </row>
    <row r="1428">
      <c r="A1428" s="5" t="s">
        <v>3226</v>
      </c>
      <c r="B1428" s="6">
        <v>1.0</v>
      </c>
      <c r="C1428" s="7">
        <v>34.0</v>
      </c>
      <c r="D1428" s="6" t="s">
        <v>3227</v>
      </c>
      <c r="E1428" s="16">
        <v>4.0</v>
      </c>
      <c r="F1428" s="18" t="s">
        <v>1410</v>
      </c>
    </row>
    <row r="1429">
      <c r="A1429" s="5" t="s">
        <v>3212</v>
      </c>
      <c r="B1429" s="6">
        <v>6.0</v>
      </c>
      <c r="C1429" s="7">
        <v>56.0</v>
      </c>
      <c r="D1429" s="6" t="s">
        <v>3186</v>
      </c>
      <c r="E1429" s="16">
        <v>4.0</v>
      </c>
      <c r="F1429" s="18" t="s">
        <v>1411</v>
      </c>
    </row>
    <row r="1430">
      <c r="A1430" s="5" t="s">
        <v>3210</v>
      </c>
      <c r="B1430" s="6">
        <v>1.0</v>
      </c>
      <c r="C1430" s="7">
        <v>77.0</v>
      </c>
      <c r="D1430" s="6" t="s">
        <v>3254</v>
      </c>
      <c r="E1430" s="16">
        <v>4.0</v>
      </c>
      <c r="F1430" s="18" t="s">
        <v>1412</v>
      </c>
    </row>
    <row r="1431">
      <c r="A1431" s="5" t="s">
        <v>3205</v>
      </c>
      <c r="B1431" s="6">
        <v>1.0</v>
      </c>
      <c r="C1431" s="7">
        <v>43.0</v>
      </c>
      <c r="D1431" s="6" t="s">
        <v>3214</v>
      </c>
      <c r="E1431" s="16">
        <v>4.0</v>
      </c>
      <c r="F1431" s="18" t="s">
        <v>1413</v>
      </c>
    </row>
    <row r="1432">
      <c r="A1432" s="5" t="s">
        <v>3204</v>
      </c>
      <c r="B1432" s="6">
        <v>1.0</v>
      </c>
      <c r="C1432" s="7">
        <v>53.0</v>
      </c>
      <c r="D1432" s="6" t="s">
        <v>3249</v>
      </c>
      <c r="E1432" s="16">
        <v>4.0</v>
      </c>
      <c r="F1432" s="18" t="s">
        <v>1414</v>
      </c>
    </row>
    <row r="1433">
      <c r="A1433" s="5" t="s">
        <v>3234</v>
      </c>
      <c r="B1433" s="6">
        <v>6.0</v>
      </c>
      <c r="C1433" s="7">
        <v>29.0</v>
      </c>
      <c r="D1433" s="6" t="s">
        <v>3235</v>
      </c>
      <c r="E1433" s="16">
        <v>4.0</v>
      </c>
      <c r="F1433" s="18" t="s">
        <v>1415</v>
      </c>
    </row>
    <row r="1434">
      <c r="A1434" s="5" t="s">
        <v>3234</v>
      </c>
      <c r="B1434" s="6">
        <v>6.0</v>
      </c>
      <c r="C1434" s="7">
        <v>22.0</v>
      </c>
      <c r="D1434" s="6" t="s">
        <v>3167</v>
      </c>
      <c r="E1434" s="16">
        <v>4.0</v>
      </c>
      <c r="F1434" s="18" t="s">
        <v>1416</v>
      </c>
    </row>
    <row r="1435">
      <c r="A1435" s="5" t="s">
        <v>3268</v>
      </c>
      <c r="B1435" s="6">
        <v>1.0</v>
      </c>
      <c r="C1435" s="7">
        <v>93.0</v>
      </c>
      <c r="D1435" s="6" t="s">
        <v>3221</v>
      </c>
      <c r="E1435" s="16">
        <v>4.0</v>
      </c>
      <c r="F1435" s="18" t="s">
        <v>1417</v>
      </c>
    </row>
    <row r="1436">
      <c r="A1436" s="5" t="s">
        <v>3212</v>
      </c>
      <c r="B1436" s="6">
        <v>6.0</v>
      </c>
      <c r="C1436" s="7">
        <v>13.0</v>
      </c>
      <c r="D1436" s="6" t="s">
        <v>3245</v>
      </c>
      <c r="E1436" s="16">
        <v>4.0</v>
      </c>
      <c r="F1436" s="18" t="s">
        <v>1418</v>
      </c>
    </row>
    <row r="1437">
      <c r="A1437" s="5" t="s">
        <v>3179</v>
      </c>
      <c r="B1437" s="6">
        <v>1.0</v>
      </c>
      <c r="C1437" s="7">
        <v>41.0</v>
      </c>
      <c r="D1437" s="6" t="s">
        <v>3238</v>
      </c>
      <c r="E1437" s="16">
        <v>3.0</v>
      </c>
      <c r="F1437" s="18" t="s">
        <v>1419</v>
      </c>
    </row>
    <row r="1438">
      <c r="A1438" s="5" t="s">
        <v>3217</v>
      </c>
      <c r="B1438" s="6">
        <v>5.0</v>
      </c>
      <c r="C1438" s="7">
        <v>84.0</v>
      </c>
      <c r="D1438" s="6" t="s">
        <v>3203</v>
      </c>
      <c r="E1438" s="16">
        <v>2.0</v>
      </c>
      <c r="F1438" s="18" t="s">
        <v>1420</v>
      </c>
    </row>
    <row r="1439">
      <c r="A1439" s="5" t="s">
        <v>3205</v>
      </c>
      <c r="B1439" s="6">
        <v>1.0</v>
      </c>
      <c r="C1439" s="7">
        <v>198.0</v>
      </c>
      <c r="D1439" s="6" t="s">
        <v>3180</v>
      </c>
      <c r="E1439" s="16">
        <v>2.0</v>
      </c>
      <c r="F1439" s="18" t="s">
        <v>1421</v>
      </c>
    </row>
    <row r="1440">
      <c r="A1440" s="5" t="s">
        <v>3189</v>
      </c>
      <c r="B1440" s="6">
        <v>6.0</v>
      </c>
      <c r="C1440" s="7">
        <v>185.0</v>
      </c>
      <c r="D1440" s="6" t="s">
        <v>3173</v>
      </c>
      <c r="E1440" s="16">
        <v>2.0</v>
      </c>
      <c r="F1440" s="18" t="s">
        <v>1422</v>
      </c>
    </row>
    <row r="1441">
      <c r="A1441" s="5" t="s">
        <v>3206</v>
      </c>
      <c r="B1441" s="6">
        <v>6.0</v>
      </c>
      <c r="C1441" s="7">
        <v>123.0</v>
      </c>
      <c r="D1441" s="6" t="s">
        <v>3192</v>
      </c>
      <c r="E1441" s="16">
        <v>2.0</v>
      </c>
      <c r="F1441" s="18" t="s">
        <v>777</v>
      </c>
    </row>
    <row r="1442">
      <c r="A1442" s="5" t="s">
        <v>3199</v>
      </c>
      <c r="B1442" s="6">
        <v>3.0</v>
      </c>
      <c r="C1442" s="7">
        <v>81.0</v>
      </c>
      <c r="D1442" s="6" t="s">
        <v>3169</v>
      </c>
      <c r="E1442" s="16">
        <v>2.0</v>
      </c>
      <c r="F1442" s="18" t="s">
        <v>1423</v>
      </c>
    </row>
    <row r="1443">
      <c r="A1443" s="5" t="s">
        <v>3228</v>
      </c>
      <c r="B1443" s="6">
        <v>6.0</v>
      </c>
      <c r="C1443" s="7">
        <v>54.0</v>
      </c>
      <c r="D1443" s="6" t="s">
        <v>3215</v>
      </c>
      <c r="E1443" s="16">
        <v>2.0</v>
      </c>
      <c r="F1443" s="18" t="s">
        <v>1424</v>
      </c>
    </row>
    <row r="1444">
      <c r="A1444" s="5" t="s">
        <v>3242</v>
      </c>
      <c r="B1444" s="6">
        <v>1.0</v>
      </c>
      <c r="C1444" s="7">
        <v>117.0</v>
      </c>
      <c r="D1444" s="6" t="s">
        <v>3225</v>
      </c>
      <c r="E1444" s="16">
        <v>1.0</v>
      </c>
      <c r="F1444" s="18" t="s">
        <v>1425</v>
      </c>
    </row>
    <row r="1445">
      <c r="A1445" s="5" t="s">
        <v>3244</v>
      </c>
      <c r="B1445" s="6">
        <v>1.0</v>
      </c>
      <c r="C1445" s="7">
        <v>41.0</v>
      </c>
      <c r="D1445" s="6" t="s">
        <v>3238</v>
      </c>
      <c r="E1445" s="16">
        <v>1.0</v>
      </c>
      <c r="F1445" s="18" t="s">
        <v>1426</v>
      </c>
    </row>
    <row r="1446">
      <c r="A1446" s="5" t="s">
        <v>3208</v>
      </c>
      <c r="B1446" s="6">
        <v>4.0</v>
      </c>
      <c r="C1446" s="7">
        <v>104.0</v>
      </c>
      <c r="D1446" s="6" t="s">
        <v>3257</v>
      </c>
      <c r="E1446" s="16">
        <v>1.0</v>
      </c>
      <c r="F1446" s="18" t="s">
        <v>1427</v>
      </c>
    </row>
    <row r="1447">
      <c r="A1447" s="5" t="s">
        <v>3251</v>
      </c>
      <c r="B1447" s="6">
        <v>6.0</v>
      </c>
      <c r="C1447" s="7">
        <v>48.0</v>
      </c>
      <c r="D1447" s="6" t="s">
        <v>3232</v>
      </c>
      <c r="E1447" s="16">
        <v>1.0</v>
      </c>
      <c r="F1447" s="18" t="s">
        <v>1428</v>
      </c>
    </row>
    <row r="1448">
      <c r="A1448" s="5" t="s">
        <v>3267</v>
      </c>
      <c r="B1448" s="6">
        <v>3.0</v>
      </c>
      <c r="C1448" s="7">
        <v>171.0</v>
      </c>
      <c r="D1448" s="6" t="s">
        <v>3245</v>
      </c>
      <c r="E1448" s="16">
        <v>1.0</v>
      </c>
      <c r="F1448" s="18" t="s">
        <v>1429</v>
      </c>
    </row>
    <row r="1449">
      <c r="A1449" s="5" t="s">
        <v>3213</v>
      </c>
      <c r="B1449" s="6">
        <v>2.0</v>
      </c>
      <c r="C1449" s="7">
        <v>79.0</v>
      </c>
      <c r="D1449" s="6" t="s">
        <v>3232</v>
      </c>
      <c r="E1449" s="16">
        <v>1.0</v>
      </c>
      <c r="F1449" s="18" t="s">
        <v>1430</v>
      </c>
    </row>
    <row r="1450">
      <c r="A1450" s="5" t="s">
        <v>3170</v>
      </c>
      <c r="B1450" s="6">
        <v>1.0</v>
      </c>
      <c r="C1450" s="7">
        <v>48.0</v>
      </c>
      <c r="D1450" s="6" t="s">
        <v>3232</v>
      </c>
      <c r="E1450" s="16">
        <v>1.0</v>
      </c>
      <c r="F1450" s="18" t="s">
        <v>1431</v>
      </c>
    </row>
    <row r="1451">
      <c r="A1451" s="5" t="s">
        <v>3229</v>
      </c>
      <c r="B1451" s="6">
        <v>4.0</v>
      </c>
      <c r="C1451" s="7">
        <v>56.0</v>
      </c>
      <c r="D1451" s="6" t="s">
        <v>3186</v>
      </c>
      <c r="E1451" s="16">
        <v>1.0</v>
      </c>
      <c r="F1451" s="18" t="s">
        <v>1432</v>
      </c>
    </row>
    <row r="1452">
      <c r="A1452" s="5" t="s">
        <v>3210</v>
      </c>
      <c r="B1452" s="6">
        <v>1.0</v>
      </c>
      <c r="C1452" s="7">
        <v>32.0</v>
      </c>
      <c r="D1452" s="6" t="s">
        <v>3173</v>
      </c>
      <c r="E1452" s="16">
        <v>1.0</v>
      </c>
      <c r="F1452" s="18" t="s">
        <v>1433</v>
      </c>
    </row>
    <row r="1453">
      <c r="A1453" s="5" t="s">
        <v>3197</v>
      </c>
      <c r="B1453" s="6">
        <v>1.0</v>
      </c>
      <c r="C1453" s="7">
        <v>178.0</v>
      </c>
      <c r="D1453" s="6" t="s">
        <v>3190</v>
      </c>
      <c r="E1453" s="16">
        <v>1.0</v>
      </c>
      <c r="F1453" s="18" t="s">
        <v>1434</v>
      </c>
    </row>
    <row r="1454">
      <c r="A1454" s="5" t="s">
        <v>3264</v>
      </c>
      <c r="B1454" s="6">
        <v>4.0</v>
      </c>
      <c r="C1454" s="7">
        <v>146.0</v>
      </c>
      <c r="D1454" s="6" t="s">
        <v>3200</v>
      </c>
      <c r="E1454" s="16">
        <v>1.0</v>
      </c>
      <c r="F1454" s="18" t="s">
        <v>1435</v>
      </c>
    </row>
    <row r="1455">
      <c r="A1455" s="5" t="s">
        <v>3209</v>
      </c>
      <c r="B1455" s="6">
        <v>4.0</v>
      </c>
      <c r="C1455" s="7">
        <v>185.0</v>
      </c>
      <c r="D1455" s="6" t="s">
        <v>3173</v>
      </c>
      <c r="E1455" s="16">
        <v>1.0</v>
      </c>
      <c r="F1455" s="18" t="s">
        <v>1436</v>
      </c>
    </row>
    <row r="1456">
      <c r="A1456" s="5" t="s">
        <v>3213</v>
      </c>
      <c r="B1456" s="6">
        <v>2.0</v>
      </c>
      <c r="C1456" s="7">
        <v>63.0</v>
      </c>
      <c r="D1456" s="6" t="s">
        <v>3257</v>
      </c>
      <c r="E1456" s="16">
        <v>1.0</v>
      </c>
      <c r="F1456" s="18" t="s">
        <v>1437</v>
      </c>
    </row>
    <row r="1457">
      <c r="A1457" s="5" t="s">
        <v>3195</v>
      </c>
      <c r="B1457" s="6">
        <v>4.0</v>
      </c>
      <c r="C1457" s="7">
        <v>194.0</v>
      </c>
      <c r="D1457" s="6" t="s">
        <v>3215</v>
      </c>
      <c r="E1457" s="16">
        <v>1.0</v>
      </c>
      <c r="F1457" s="18" t="s">
        <v>1438</v>
      </c>
    </row>
    <row r="1458">
      <c r="A1458" s="5" t="s">
        <v>3218</v>
      </c>
      <c r="B1458" s="6">
        <v>5.0</v>
      </c>
      <c r="C1458" s="7">
        <v>74.0</v>
      </c>
      <c r="D1458" s="6" t="s">
        <v>3190</v>
      </c>
      <c r="E1458" s="16">
        <v>5.0</v>
      </c>
      <c r="F1458" s="18" t="s">
        <v>1439</v>
      </c>
    </row>
    <row r="1459">
      <c r="A1459" s="5" t="s">
        <v>3179</v>
      </c>
      <c r="B1459" s="6">
        <v>1.0</v>
      </c>
      <c r="C1459" s="7">
        <v>3.0</v>
      </c>
      <c r="D1459" s="6" t="s">
        <v>3200</v>
      </c>
      <c r="E1459" s="16">
        <v>5.0</v>
      </c>
      <c r="F1459" s="18" t="s">
        <v>1440</v>
      </c>
    </row>
    <row r="1460">
      <c r="A1460" s="5" t="s">
        <v>3252</v>
      </c>
      <c r="B1460" s="6">
        <v>6.0</v>
      </c>
      <c r="C1460" s="7">
        <v>43.0</v>
      </c>
      <c r="D1460" s="6" t="s">
        <v>3214</v>
      </c>
      <c r="E1460" s="16">
        <v>5.0</v>
      </c>
      <c r="F1460" s="18" t="s">
        <v>1441</v>
      </c>
    </row>
    <row r="1461">
      <c r="A1461" s="5" t="s">
        <v>3243</v>
      </c>
      <c r="B1461" s="6">
        <v>4.0</v>
      </c>
      <c r="C1461" s="7">
        <v>114.0</v>
      </c>
      <c r="D1461" s="6" t="s">
        <v>3245</v>
      </c>
      <c r="E1461" s="16">
        <v>5.0</v>
      </c>
      <c r="F1461" s="18" t="s">
        <v>1442</v>
      </c>
    </row>
    <row r="1462">
      <c r="A1462" s="5" t="s">
        <v>3228</v>
      </c>
      <c r="B1462" s="6">
        <v>6.0</v>
      </c>
      <c r="C1462" s="7">
        <v>199.0</v>
      </c>
      <c r="D1462" s="6" t="s">
        <v>3169</v>
      </c>
      <c r="E1462" s="16">
        <v>5.0</v>
      </c>
      <c r="F1462" s="18" t="s">
        <v>1443</v>
      </c>
    </row>
    <row r="1463">
      <c r="A1463" s="5" t="s">
        <v>3216</v>
      </c>
      <c r="B1463" s="6">
        <v>6.0</v>
      </c>
      <c r="C1463" s="7">
        <v>168.0</v>
      </c>
      <c r="D1463" s="6" t="s">
        <v>3194</v>
      </c>
      <c r="E1463" s="16">
        <v>5.0</v>
      </c>
      <c r="F1463" s="18" t="s">
        <v>1444</v>
      </c>
    </row>
    <row r="1464">
      <c r="A1464" s="5" t="s">
        <v>3261</v>
      </c>
      <c r="B1464" s="6">
        <v>4.0</v>
      </c>
      <c r="C1464" s="7">
        <v>75.0</v>
      </c>
      <c r="D1464" s="6" t="s">
        <v>3257</v>
      </c>
      <c r="E1464" s="16">
        <v>5.0</v>
      </c>
      <c r="F1464" s="18" t="s">
        <v>1445</v>
      </c>
    </row>
    <row r="1465">
      <c r="A1465" s="5" t="s">
        <v>3213</v>
      </c>
      <c r="B1465" s="6">
        <v>2.0</v>
      </c>
      <c r="C1465" s="7">
        <v>53.0</v>
      </c>
      <c r="D1465" s="6" t="s">
        <v>3249</v>
      </c>
      <c r="E1465" s="16">
        <v>5.0</v>
      </c>
      <c r="F1465" s="18" t="s">
        <v>1446</v>
      </c>
    </row>
    <row r="1466">
      <c r="A1466" s="5" t="s">
        <v>3265</v>
      </c>
      <c r="B1466" s="6">
        <v>1.0</v>
      </c>
      <c r="C1466" s="7">
        <v>175.0</v>
      </c>
      <c r="D1466" s="6" t="s">
        <v>3257</v>
      </c>
      <c r="E1466" s="16">
        <v>5.0</v>
      </c>
      <c r="F1466" s="18" t="s">
        <v>1447</v>
      </c>
    </row>
    <row r="1467">
      <c r="A1467" s="5" t="s">
        <v>3251</v>
      </c>
      <c r="B1467" s="6">
        <v>6.0</v>
      </c>
      <c r="C1467" s="7">
        <v>194.0</v>
      </c>
      <c r="D1467" s="6" t="s">
        <v>3215</v>
      </c>
      <c r="E1467" s="16">
        <v>5.0</v>
      </c>
      <c r="F1467" s="18" t="s">
        <v>1448</v>
      </c>
    </row>
    <row r="1468">
      <c r="A1468" s="5" t="s">
        <v>3255</v>
      </c>
      <c r="B1468" s="6">
        <v>6.0</v>
      </c>
      <c r="C1468" s="7">
        <v>35.0</v>
      </c>
      <c r="D1468" s="6" t="s">
        <v>3196</v>
      </c>
      <c r="E1468" s="16">
        <v>5.0</v>
      </c>
      <c r="F1468" s="18" t="s">
        <v>1449</v>
      </c>
    </row>
    <row r="1469">
      <c r="A1469" s="5" t="s">
        <v>3253</v>
      </c>
      <c r="B1469" s="6">
        <v>1.0</v>
      </c>
      <c r="C1469" s="7">
        <v>119.0</v>
      </c>
      <c r="D1469" s="6" t="s">
        <v>3178</v>
      </c>
      <c r="E1469" s="16">
        <v>5.0</v>
      </c>
      <c r="F1469" s="18" t="s">
        <v>163</v>
      </c>
    </row>
    <row r="1470">
      <c r="A1470" s="5" t="s">
        <v>3216</v>
      </c>
      <c r="B1470" s="6">
        <v>6.0</v>
      </c>
      <c r="C1470" s="7">
        <v>191.0</v>
      </c>
      <c r="D1470" s="6" t="s">
        <v>3221</v>
      </c>
      <c r="E1470" s="16">
        <v>5.0</v>
      </c>
      <c r="F1470" s="18" t="s">
        <v>1450</v>
      </c>
    </row>
    <row r="1471">
      <c r="A1471" s="5" t="s">
        <v>3213</v>
      </c>
      <c r="B1471" s="6">
        <v>2.0</v>
      </c>
      <c r="C1471" s="7">
        <v>112.0</v>
      </c>
      <c r="D1471" s="6" t="s">
        <v>3227</v>
      </c>
      <c r="E1471" s="16">
        <v>5.0</v>
      </c>
      <c r="F1471" s="18" t="s">
        <v>1451</v>
      </c>
    </row>
    <row r="1472">
      <c r="A1472" s="5" t="s">
        <v>3175</v>
      </c>
      <c r="B1472" s="6">
        <v>5.0</v>
      </c>
      <c r="C1472" s="7">
        <v>68.0</v>
      </c>
      <c r="D1472" s="6" t="s">
        <v>3182</v>
      </c>
      <c r="E1472" s="16">
        <v>5.0</v>
      </c>
      <c r="F1472" s="18" t="s">
        <v>1452</v>
      </c>
    </row>
    <row r="1473">
      <c r="A1473" s="5" t="s">
        <v>3197</v>
      </c>
      <c r="B1473" s="6">
        <v>1.0</v>
      </c>
      <c r="C1473" s="7">
        <v>60.0</v>
      </c>
      <c r="D1473" s="6" t="s">
        <v>3196</v>
      </c>
      <c r="E1473" s="16">
        <v>5.0</v>
      </c>
      <c r="F1473" s="18" t="s">
        <v>1453</v>
      </c>
    </row>
    <row r="1474">
      <c r="A1474" s="5" t="s">
        <v>3209</v>
      </c>
      <c r="B1474" s="6">
        <v>4.0</v>
      </c>
      <c r="C1474" s="7">
        <v>103.0</v>
      </c>
      <c r="D1474" s="6" t="s">
        <v>3254</v>
      </c>
      <c r="E1474" s="16">
        <v>5.0</v>
      </c>
      <c r="F1474" s="18" t="s">
        <v>1454</v>
      </c>
    </row>
    <row r="1475">
      <c r="A1475" s="5" t="s">
        <v>3212</v>
      </c>
      <c r="B1475" s="6">
        <v>6.0</v>
      </c>
      <c r="C1475" s="7">
        <v>179.0</v>
      </c>
      <c r="D1475" s="6" t="s">
        <v>3214</v>
      </c>
      <c r="E1475" s="16">
        <v>5.0</v>
      </c>
      <c r="F1475" s="18" t="s">
        <v>1455</v>
      </c>
    </row>
    <row r="1476">
      <c r="A1476" s="5" t="s">
        <v>3250</v>
      </c>
      <c r="B1476" s="6">
        <v>4.0</v>
      </c>
      <c r="C1476" s="7">
        <v>161.0</v>
      </c>
      <c r="D1476" s="6" t="s">
        <v>3192</v>
      </c>
      <c r="E1476" s="16">
        <v>5.0</v>
      </c>
      <c r="F1476" s="18" t="s">
        <v>1456</v>
      </c>
    </row>
    <row r="1477">
      <c r="A1477" s="5" t="s">
        <v>3217</v>
      </c>
      <c r="B1477" s="6">
        <v>5.0</v>
      </c>
      <c r="C1477" s="7">
        <v>73.0</v>
      </c>
      <c r="D1477" s="6" t="s">
        <v>3173</v>
      </c>
      <c r="E1477" s="16">
        <v>4.0</v>
      </c>
      <c r="F1477" s="18" t="s">
        <v>1457</v>
      </c>
    </row>
    <row r="1478">
      <c r="A1478" s="5" t="s">
        <v>3216</v>
      </c>
      <c r="B1478" s="6">
        <v>6.0</v>
      </c>
      <c r="C1478" s="7">
        <v>134.0</v>
      </c>
      <c r="D1478" s="6" t="s">
        <v>3239</v>
      </c>
      <c r="E1478" s="16">
        <v>4.0</v>
      </c>
      <c r="F1478" s="18" t="s">
        <v>1458</v>
      </c>
    </row>
    <row r="1479">
      <c r="A1479" s="5" t="s">
        <v>3204</v>
      </c>
      <c r="B1479" s="6">
        <v>1.0</v>
      </c>
      <c r="C1479" s="7">
        <v>42.0</v>
      </c>
      <c r="D1479" s="6" t="s">
        <v>3182</v>
      </c>
      <c r="E1479" s="16">
        <v>4.0</v>
      </c>
      <c r="F1479" s="18" t="s">
        <v>1459</v>
      </c>
    </row>
    <row r="1480">
      <c r="A1480" s="5" t="s">
        <v>3204</v>
      </c>
      <c r="B1480" s="6">
        <v>1.0</v>
      </c>
      <c r="C1480" s="7">
        <v>74.0</v>
      </c>
      <c r="D1480" s="6" t="s">
        <v>3190</v>
      </c>
      <c r="E1480" s="16">
        <v>4.0</v>
      </c>
      <c r="F1480" s="18" t="s">
        <v>1460</v>
      </c>
    </row>
    <row r="1481">
      <c r="A1481" s="5" t="s">
        <v>3189</v>
      </c>
      <c r="B1481" s="6">
        <v>6.0</v>
      </c>
      <c r="C1481" s="7">
        <v>178.0</v>
      </c>
      <c r="D1481" s="6" t="s">
        <v>3190</v>
      </c>
      <c r="E1481" s="16">
        <v>4.0</v>
      </c>
      <c r="F1481" s="18" t="s">
        <v>1461</v>
      </c>
    </row>
    <row r="1482">
      <c r="A1482" s="5" t="s">
        <v>3236</v>
      </c>
      <c r="B1482" s="6">
        <v>6.0</v>
      </c>
      <c r="C1482" s="7">
        <v>30.0</v>
      </c>
      <c r="D1482" s="6" t="s">
        <v>3171</v>
      </c>
      <c r="E1482" s="16">
        <v>4.0</v>
      </c>
      <c r="F1482" s="18" t="s">
        <v>1462</v>
      </c>
    </row>
    <row r="1483">
      <c r="A1483" s="5" t="s">
        <v>3259</v>
      </c>
      <c r="B1483" s="6">
        <v>6.0</v>
      </c>
      <c r="C1483" s="7">
        <v>180.0</v>
      </c>
      <c r="D1483" s="6" t="s">
        <v>3192</v>
      </c>
      <c r="E1483" s="16">
        <v>4.0</v>
      </c>
      <c r="F1483" s="18" t="s">
        <v>1463</v>
      </c>
    </row>
    <row r="1484">
      <c r="A1484" s="5" t="s">
        <v>3193</v>
      </c>
      <c r="B1484" s="6">
        <v>5.0</v>
      </c>
      <c r="C1484" s="7">
        <v>108.0</v>
      </c>
      <c r="D1484" s="6" t="s">
        <v>3198</v>
      </c>
      <c r="E1484" s="16">
        <v>3.0</v>
      </c>
      <c r="F1484" s="18" t="s">
        <v>1464</v>
      </c>
    </row>
    <row r="1485">
      <c r="A1485" s="5" t="s">
        <v>3250</v>
      </c>
      <c r="B1485" s="6">
        <v>4.0</v>
      </c>
      <c r="C1485" s="7">
        <v>76.0</v>
      </c>
      <c r="D1485" s="6" t="s">
        <v>3190</v>
      </c>
      <c r="E1485" s="16">
        <v>3.0</v>
      </c>
      <c r="F1485" s="18" t="s">
        <v>324</v>
      </c>
    </row>
    <row r="1486">
      <c r="A1486" s="5" t="s">
        <v>3242</v>
      </c>
      <c r="B1486" s="6">
        <v>1.0</v>
      </c>
      <c r="C1486" s="7">
        <v>129.0</v>
      </c>
      <c r="D1486" s="6" t="s">
        <v>3182</v>
      </c>
      <c r="E1486" s="16">
        <v>3.0</v>
      </c>
      <c r="F1486" s="18" t="s">
        <v>1465</v>
      </c>
    </row>
    <row r="1487">
      <c r="A1487" s="5" t="s">
        <v>3208</v>
      </c>
      <c r="B1487" s="6">
        <v>4.0</v>
      </c>
      <c r="C1487" s="7">
        <v>98.0</v>
      </c>
      <c r="D1487" s="6" t="s">
        <v>3211</v>
      </c>
      <c r="E1487" s="16">
        <v>3.0</v>
      </c>
      <c r="F1487" s="18" t="s">
        <v>1466</v>
      </c>
    </row>
    <row r="1488">
      <c r="A1488" s="5" t="s">
        <v>3206</v>
      </c>
      <c r="B1488" s="6">
        <v>6.0</v>
      </c>
      <c r="C1488" s="7">
        <v>15.0</v>
      </c>
      <c r="D1488" s="6" t="s">
        <v>3254</v>
      </c>
      <c r="E1488" s="16">
        <v>3.0</v>
      </c>
      <c r="F1488" s="18" t="s">
        <v>1467</v>
      </c>
    </row>
    <row r="1489">
      <c r="A1489" s="5" t="s">
        <v>3231</v>
      </c>
      <c r="B1489" s="6">
        <v>4.0</v>
      </c>
      <c r="C1489" s="7">
        <v>200.0</v>
      </c>
      <c r="D1489" s="6" t="s">
        <v>3238</v>
      </c>
      <c r="E1489" s="16">
        <v>2.0</v>
      </c>
      <c r="F1489" s="18" t="s">
        <v>1468</v>
      </c>
    </row>
    <row r="1490">
      <c r="A1490" s="5" t="s">
        <v>3246</v>
      </c>
      <c r="B1490" s="6">
        <v>4.0</v>
      </c>
      <c r="C1490" s="7">
        <v>148.0</v>
      </c>
      <c r="D1490" s="6" t="s">
        <v>3262</v>
      </c>
      <c r="E1490" s="16">
        <v>2.0</v>
      </c>
      <c r="F1490" s="18" t="s">
        <v>1469</v>
      </c>
    </row>
    <row r="1491">
      <c r="A1491" s="5" t="s">
        <v>3177</v>
      </c>
      <c r="B1491" s="6">
        <v>5.0</v>
      </c>
      <c r="C1491" s="7">
        <v>178.0</v>
      </c>
      <c r="D1491" s="6" t="s">
        <v>3190</v>
      </c>
      <c r="E1491" s="16">
        <v>2.0</v>
      </c>
      <c r="F1491" s="18" t="s">
        <v>1470</v>
      </c>
    </row>
    <row r="1492">
      <c r="A1492" s="5" t="s">
        <v>3247</v>
      </c>
      <c r="B1492" s="6">
        <v>6.0</v>
      </c>
      <c r="C1492" s="7">
        <v>187.0</v>
      </c>
      <c r="D1492" s="6" t="s">
        <v>3254</v>
      </c>
      <c r="E1492" s="16">
        <v>1.0</v>
      </c>
      <c r="F1492" s="18" t="s">
        <v>1471</v>
      </c>
    </row>
    <row r="1493">
      <c r="A1493" s="5" t="s">
        <v>3226</v>
      </c>
      <c r="B1493" s="6">
        <v>1.0</v>
      </c>
      <c r="C1493" s="7">
        <v>26.0</v>
      </c>
      <c r="D1493" s="6" t="s">
        <v>3188</v>
      </c>
      <c r="E1493" s="16">
        <v>1.0</v>
      </c>
      <c r="F1493" s="18" t="s">
        <v>1472</v>
      </c>
    </row>
    <row r="1494">
      <c r="A1494" s="5" t="s">
        <v>3216</v>
      </c>
      <c r="B1494" s="6">
        <v>6.0</v>
      </c>
      <c r="C1494" s="7">
        <v>138.0</v>
      </c>
      <c r="D1494" s="6" t="s">
        <v>3219</v>
      </c>
      <c r="E1494" s="16">
        <v>1.0</v>
      </c>
      <c r="F1494" s="18" t="s">
        <v>1473</v>
      </c>
    </row>
    <row r="1495">
      <c r="A1495" s="5" t="s">
        <v>3204</v>
      </c>
      <c r="B1495" s="6">
        <v>1.0</v>
      </c>
      <c r="C1495" s="7">
        <v>158.0</v>
      </c>
      <c r="D1495" s="6" t="s">
        <v>3235</v>
      </c>
      <c r="E1495" s="16">
        <v>1.0</v>
      </c>
      <c r="F1495" s="18" t="s">
        <v>1474</v>
      </c>
    </row>
    <row r="1496">
      <c r="A1496" s="5" t="s">
        <v>3269</v>
      </c>
      <c r="B1496" s="6">
        <v>6.0</v>
      </c>
      <c r="C1496" s="7">
        <v>74.0</v>
      </c>
      <c r="D1496" s="6" t="s">
        <v>3190</v>
      </c>
      <c r="E1496" s="16">
        <v>1.0</v>
      </c>
      <c r="F1496" s="18" t="s">
        <v>1475</v>
      </c>
    </row>
    <row r="1497">
      <c r="A1497" s="5" t="s">
        <v>3208</v>
      </c>
      <c r="B1497" s="6">
        <v>4.0</v>
      </c>
      <c r="C1497" s="7">
        <v>117.0</v>
      </c>
      <c r="D1497" s="6" t="s">
        <v>3225</v>
      </c>
      <c r="E1497" s="16">
        <v>1.0</v>
      </c>
      <c r="F1497" s="18" t="s">
        <v>1476</v>
      </c>
    </row>
    <row r="1498">
      <c r="A1498" s="5" t="s">
        <v>3168</v>
      </c>
      <c r="B1498" s="6">
        <v>1.0</v>
      </c>
      <c r="C1498" s="7">
        <v>122.0</v>
      </c>
      <c r="D1498" s="6" t="s">
        <v>3232</v>
      </c>
      <c r="E1498" s="16">
        <v>1.0</v>
      </c>
      <c r="F1498" s="18" t="s">
        <v>1477</v>
      </c>
    </row>
    <row r="1499">
      <c r="A1499" s="5" t="s">
        <v>3260</v>
      </c>
      <c r="B1499" s="6">
        <v>1.0</v>
      </c>
      <c r="C1499" s="7">
        <v>63.0</v>
      </c>
      <c r="D1499" s="6" t="s">
        <v>3257</v>
      </c>
      <c r="E1499" s="16">
        <v>1.0</v>
      </c>
      <c r="F1499" s="18" t="s">
        <v>1478</v>
      </c>
    </row>
    <row r="1500">
      <c r="A1500" s="5" t="s">
        <v>3246</v>
      </c>
      <c r="B1500" s="6">
        <v>4.0</v>
      </c>
      <c r="C1500" s="7">
        <v>90.0</v>
      </c>
      <c r="D1500" s="6" t="s">
        <v>3178</v>
      </c>
      <c r="E1500" s="16">
        <v>1.0</v>
      </c>
      <c r="F1500" s="18" t="s">
        <v>1479</v>
      </c>
    </row>
    <row r="1501">
      <c r="A1501" s="5" t="s">
        <v>3226</v>
      </c>
      <c r="B1501" s="6">
        <v>1.0</v>
      </c>
      <c r="C1501" s="7">
        <v>125.0</v>
      </c>
      <c r="D1501" s="6" t="s">
        <v>3180</v>
      </c>
      <c r="E1501" s="16">
        <v>1.0</v>
      </c>
      <c r="F1501" s="18" t="s">
        <v>1480</v>
      </c>
    </row>
    <row r="1502">
      <c r="A1502" s="5" t="s">
        <v>3253</v>
      </c>
      <c r="B1502" s="6">
        <v>1.0</v>
      </c>
      <c r="C1502" s="7">
        <v>115.0</v>
      </c>
      <c r="D1502" s="6" t="s">
        <v>3173</v>
      </c>
      <c r="E1502" s="16">
        <v>1.0</v>
      </c>
      <c r="F1502" s="18" t="s">
        <v>1481</v>
      </c>
    </row>
    <row r="1503">
      <c r="A1503" s="5" t="s">
        <v>3269</v>
      </c>
      <c r="B1503" s="6">
        <v>6.0</v>
      </c>
      <c r="C1503" s="7">
        <v>68.0</v>
      </c>
      <c r="D1503" s="6" t="s">
        <v>3182</v>
      </c>
      <c r="E1503" s="16">
        <v>1.0</v>
      </c>
      <c r="F1503" s="18" t="s">
        <v>1482</v>
      </c>
    </row>
    <row r="1504">
      <c r="A1504" s="5" t="s">
        <v>3210</v>
      </c>
      <c r="B1504" s="6">
        <v>1.0</v>
      </c>
      <c r="C1504" s="7">
        <v>174.0</v>
      </c>
      <c r="D1504" s="6" t="s">
        <v>3188</v>
      </c>
      <c r="E1504" s="16">
        <v>5.0</v>
      </c>
      <c r="F1504" s="18" t="s">
        <v>1483</v>
      </c>
    </row>
    <row r="1505">
      <c r="A1505" s="5" t="s">
        <v>3266</v>
      </c>
      <c r="B1505" s="6">
        <v>3.0</v>
      </c>
      <c r="C1505" s="7">
        <v>191.0</v>
      </c>
      <c r="D1505" s="6" t="s">
        <v>3221</v>
      </c>
      <c r="E1505" s="16">
        <v>5.0</v>
      </c>
      <c r="F1505" s="18" t="s">
        <v>1484</v>
      </c>
    </row>
    <row r="1506">
      <c r="A1506" s="5" t="s">
        <v>3168</v>
      </c>
      <c r="B1506" s="6">
        <v>1.0</v>
      </c>
      <c r="C1506" s="7">
        <v>184.0</v>
      </c>
      <c r="D1506" s="6" t="s">
        <v>3169</v>
      </c>
      <c r="E1506" s="16">
        <v>5.0</v>
      </c>
      <c r="F1506" s="18" t="s">
        <v>1485</v>
      </c>
    </row>
    <row r="1507">
      <c r="A1507" s="5" t="s">
        <v>3217</v>
      </c>
      <c r="B1507" s="6">
        <v>5.0</v>
      </c>
      <c r="C1507" s="7">
        <v>60.0</v>
      </c>
      <c r="D1507" s="6" t="s">
        <v>3196</v>
      </c>
      <c r="E1507" s="16">
        <v>5.0</v>
      </c>
      <c r="F1507" s="18" t="s">
        <v>1486</v>
      </c>
    </row>
    <row r="1508">
      <c r="A1508" s="5" t="s">
        <v>3195</v>
      </c>
      <c r="B1508" s="6">
        <v>4.0</v>
      </c>
      <c r="C1508" s="7">
        <v>37.0</v>
      </c>
      <c r="D1508" s="6" t="s">
        <v>3194</v>
      </c>
      <c r="E1508" s="16">
        <v>5.0</v>
      </c>
      <c r="F1508" s="18" t="s">
        <v>1487</v>
      </c>
    </row>
    <row r="1509">
      <c r="A1509" s="5" t="s">
        <v>3197</v>
      </c>
      <c r="B1509" s="6">
        <v>1.0</v>
      </c>
      <c r="C1509" s="7">
        <v>181.0</v>
      </c>
      <c r="D1509" s="6" t="s">
        <v>3190</v>
      </c>
      <c r="E1509" s="16">
        <v>5.0</v>
      </c>
      <c r="F1509" s="18" t="s">
        <v>710</v>
      </c>
    </row>
    <row r="1510">
      <c r="A1510" s="5" t="s">
        <v>3213</v>
      </c>
      <c r="B1510" s="6">
        <v>2.0</v>
      </c>
      <c r="C1510" s="7">
        <v>87.0</v>
      </c>
      <c r="D1510" s="6" t="s">
        <v>3227</v>
      </c>
      <c r="E1510" s="16">
        <v>5.0</v>
      </c>
      <c r="F1510" s="18" t="s">
        <v>1488</v>
      </c>
    </row>
    <row r="1511">
      <c r="A1511" s="5" t="s">
        <v>3250</v>
      </c>
      <c r="B1511" s="6">
        <v>4.0</v>
      </c>
      <c r="C1511" s="7">
        <v>132.0</v>
      </c>
      <c r="D1511" s="6" t="s">
        <v>3186</v>
      </c>
      <c r="E1511" s="16">
        <v>5.0</v>
      </c>
      <c r="F1511" s="18" t="s">
        <v>1489</v>
      </c>
    </row>
    <row r="1512">
      <c r="A1512" s="5" t="s">
        <v>3246</v>
      </c>
      <c r="B1512" s="6">
        <v>4.0</v>
      </c>
      <c r="C1512" s="7">
        <v>116.0</v>
      </c>
      <c r="D1512" s="6" t="s">
        <v>3169</v>
      </c>
      <c r="E1512" s="16">
        <v>5.0</v>
      </c>
      <c r="F1512" s="18" t="s">
        <v>1490</v>
      </c>
    </row>
    <row r="1513">
      <c r="A1513" s="5" t="s">
        <v>3212</v>
      </c>
      <c r="B1513" s="6">
        <v>6.0</v>
      </c>
      <c r="C1513" s="7">
        <v>193.0</v>
      </c>
      <c r="D1513" s="6" t="s">
        <v>3249</v>
      </c>
      <c r="E1513" s="16">
        <v>5.0</v>
      </c>
      <c r="F1513" s="18" t="s">
        <v>1491</v>
      </c>
    </row>
    <row r="1514">
      <c r="A1514" s="5" t="s">
        <v>3228</v>
      </c>
      <c r="B1514" s="6">
        <v>6.0</v>
      </c>
      <c r="C1514" s="7">
        <v>134.0</v>
      </c>
      <c r="D1514" s="6" t="s">
        <v>3239</v>
      </c>
      <c r="E1514" s="16">
        <v>5.0</v>
      </c>
      <c r="F1514" s="18" t="s">
        <v>1492</v>
      </c>
    </row>
    <row r="1515">
      <c r="A1515" s="5" t="s">
        <v>3166</v>
      </c>
      <c r="B1515" s="6">
        <v>6.0</v>
      </c>
      <c r="C1515" s="7">
        <v>114.0</v>
      </c>
      <c r="D1515" s="6" t="s">
        <v>3245</v>
      </c>
      <c r="E1515" s="16">
        <v>5.0</v>
      </c>
      <c r="F1515" s="18" t="s">
        <v>1493</v>
      </c>
    </row>
    <row r="1516">
      <c r="A1516" s="5" t="s">
        <v>3224</v>
      </c>
      <c r="B1516" s="6">
        <v>6.0</v>
      </c>
      <c r="C1516" s="7">
        <v>49.0</v>
      </c>
      <c r="D1516" s="6" t="s">
        <v>3254</v>
      </c>
      <c r="E1516" s="16">
        <v>4.0</v>
      </c>
      <c r="F1516" s="18" t="s">
        <v>1494</v>
      </c>
    </row>
    <row r="1517">
      <c r="A1517" s="5" t="s">
        <v>3213</v>
      </c>
      <c r="B1517" s="6">
        <v>2.0</v>
      </c>
      <c r="C1517" s="7">
        <v>173.0</v>
      </c>
      <c r="D1517" s="6" t="s">
        <v>3167</v>
      </c>
      <c r="E1517" s="16">
        <v>4.0</v>
      </c>
      <c r="F1517" s="18" t="s">
        <v>1495</v>
      </c>
    </row>
    <row r="1518">
      <c r="A1518" s="5" t="s">
        <v>3201</v>
      </c>
      <c r="B1518" s="6">
        <v>5.0</v>
      </c>
      <c r="C1518" s="7">
        <v>84.0</v>
      </c>
      <c r="D1518" s="6" t="s">
        <v>3203</v>
      </c>
      <c r="E1518" s="16">
        <v>4.0</v>
      </c>
      <c r="F1518" s="18" t="s">
        <v>1496</v>
      </c>
    </row>
    <row r="1519">
      <c r="A1519" s="5" t="s">
        <v>3244</v>
      </c>
      <c r="B1519" s="6">
        <v>1.0</v>
      </c>
      <c r="C1519" s="7">
        <v>172.0</v>
      </c>
      <c r="D1519" s="6" t="s">
        <v>3178</v>
      </c>
      <c r="E1519" s="16">
        <v>4.0</v>
      </c>
      <c r="F1519" s="18" t="s">
        <v>1497</v>
      </c>
    </row>
    <row r="1520">
      <c r="A1520" s="5" t="s">
        <v>3202</v>
      </c>
      <c r="B1520" s="6">
        <v>4.0</v>
      </c>
      <c r="C1520" s="7">
        <v>155.0</v>
      </c>
      <c r="D1520" s="6" t="s">
        <v>3180</v>
      </c>
      <c r="E1520" s="16">
        <v>4.0</v>
      </c>
      <c r="F1520" s="18" t="s">
        <v>1498</v>
      </c>
    </row>
    <row r="1521">
      <c r="A1521" s="5" t="s">
        <v>3202</v>
      </c>
      <c r="B1521" s="6">
        <v>4.0</v>
      </c>
      <c r="C1521" s="7">
        <v>131.0</v>
      </c>
      <c r="D1521" s="6" t="s">
        <v>3227</v>
      </c>
      <c r="E1521" s="16">
        <v>3.0</v>
      </c>
      <c r="F1521" s="18" t="s">
        <v>1499</v>
      </c>
    </row>
    <row r="1522">
      <c r="A1522" s="5" t="s">
        <v>3229</v>
      </c>
      <c r="B1522" s="6">
        <v>4.0</v>
      </c>
      <c r="C1522" s="7">
        <v>118.0</v>
      </c>
      <c r="D1522" s="6" t="s">
        <v>3200</v>
      </c>
      <c r="E1522" s="16">
        <v>3.0</v>
      </c>
      <c r="F1522" s="18" t="s">
        <v>1500</v>
      </c>
    </row>
    <row r="1523">
      <c r="A1523" s="5" t="s">
        <v>3243</v>
      </c>
      <c r="B1523" s="6">
        <v>4.0</v>
      </c>
      <c r="C1523" s="7">
        <v>151.0</v>
      </c>
      <c r="D1523" s="6" t="s">
        <v>3232</v>
      </c>
      <c r="E1523" s="16">
        <v>3.0</v>
      </c>
      <c r="F1523" s="18" t="s">
        <v>1501</v>
      </c>
    </row>
    <row r="1524">
      <c r="A1524" s="5" t="s">
        <v>3197</v>
      </c>
      <c r="B1524" s="6">
        <v>1.0</v>
      </c>
      <c r="C1524" s="7">
        <v>174.0</v>
      </c>
      <c r="D1524" s="6" t="s">
        <v>3188</v>
      </c>
      <c r="E1524" s="16">
        <v>2.0</v>
      </c>
      <c r="F1524" s="18" t="s">
        <v>1502</v>
      </c>
    </row>
    <row r="1525">
      <c r="A1525" s="5" t="s">
        <v>3224</v>
      </c>
      <c r="B1525" s="6">
        <v>6.0</v>
      </c>
      <c r="C1525" s="7">
        <v>20.0</v>
      </c>
      <c r="D1525" s="6" t="s">
        <v>3173</v>
      </c>
      <c r="E1525" s="16">
        <v>2.0</v>
      </c>
      <c r="F1525" s="18" t="s">
        <v>1503</v>
      </c>
    </row>
    <row r="1526">
      <c r="A1526" s="5" t="s">
        <v>3174</v>
      </c>
      <c r="B1526" s="6">
        <v>1.0</v>
      </c>
      <c r="C1526" s="7">
        <v>10.0</v>
      </c>
      <c r="D1526" s="6" t="s">
        <v>3249</v>
      </c>
      <c r="E1526" s="16">
        <v>2.0</v>
      </c>
      <c r="F1526" s="18" t="s">
        <v>1504</v>
      </c>
    </row>
    <row r="1527">
      <c r="A1527" s="5" t="s">
        <v>3252</v>
      </c>
      <c r="B1527" s="6">
        <v>6.0</v>
      </c>
      <c r="C1527" s="7">
        <v>89.0</v>
      </c>
      <c r="D1527" s="6" t="s">
        <v>3262</v>
      </c>
      <c r="E1527" s="16">
        <v>2.0</v>
      </c>
      <c r="F1527" s="18" t="s">
        <v>1505</v>
      </c>
    </row>
    <row r="1528">
      <c r="A1528" s="5" t="s">
        <v>3206</v>
      </c>
      <c r="B1528" s="6">
        <v>6.0</v>
      </c>
      <c r="C1528" s="7">
        <v>32.0</v>
      </c>
      <c r="D1528" s="6" t="s">
        <v>3173</v>
      </c>
      <c r="E1528" s="16">
        <v>2.0</v>
      </c>
      <c r="F1528" s="18" t="s">
        <v>1506</v>
      </c>
    </row>
    <row r="1529">
      <c r="A1529" s="5" t="s">
        <v>3266</v>
      </c>
      <c r="B1529" s="6">
        <v>3.0</v>
      </c>
      <c r="C1529" s="7">
        <v>20.0</v>
      </c>
      <c r="D1529" s="6" t="s">
        <v>3173</v>
      </c>
      <c r="E1529" s="16">
        <v>2.0</v>
      </c>
      <c r="F1529" s="18" t="s">
        <v>1507</v>
      </c>
    </row>
    <row r="1530">
      <c r="A1530" s="5" t="s">
        <v>3260</v>
      </c>
      <c r="B1530" s="6">
        <v>1.0</v>
      </c>
      <c r="C1530" s="7">
        <v>144.0</v>
      </c>
      <c r="D1530" s="6" t="s">
        <v>3173</v>
      </c>
      <c r="E1530" s="16">
        <v>2.0</v>
      </c>
      <c r="F1530" s="18" t="s">
        <v>1508</v>
      </c>
    </row>
    <row r="1531">
      <c r="A1531" s="5" t="s">
        <v>3224</v>
      </c>
      <c r="B1531" s="6">
        <v>6.0</v>
      </c>
      <c r="C1531" s="7">
        <v>198.0</v>
      </c>
      <c r="D1531" s="6" t="s">
        <v>3180</v>
      </c>
      <c r="E1531" s="16">
        <v>2.0</v>
      </c>
      <c r="F1531" s="18" t="s">
        <v>1509</v>
      </c>
    </row>
    <row r="1532">
      <c r="A1532" s="5" t="s">
        <v>3183</v>
      </c>
      <c r="B1532" s="6">
        <v>6.0</v>
      </c>
      <c r="C1532" s="7">
        <v>113.0</v>
      </c>
      <c r="D1532" s="6" t="s">
        <v>3207</v>
      </c>
      <c r="E1532" s="16">
        <v>2.0</v>
      </c>
      <c r="F1532" s="18" t="s">
        <v>1510</v>
      </c>
    </row>
    <row r="1533">
      <c r="A1533" s="5" t="s">
        <v>3266</v>
      </c>
      <c r="B1533" s="6">
        <v>3.0</v>
      </c>
      <c r="C1533" s="7">
        <v>161.0</v>
      </c>
      <c r="D1533" s="6" t="s">
        <v>3192</v>
      </c>
      <c r="E1533" s="16">
        <v>2.0</v>
      </c>
      <c r="F1533" s="18" t="s">
        <v>1511</v>
      </c>
    </row>
    <row r="1534">
      <c r="A1534" s="5" t="s">
        <v>3217</v>
      </c>
      <c r="B1534" s="6">
        <v>5.0</v>
      </c>
      <c r="C1534" s="7">
        <v>48.0</v>
      </c>
      <c r="D1534" s="6" t="s">
        <v>3232</v>
      </c>
      <c r="E1534" s="16">
        <v>1.0</v>
      </c>
      <c r="F1534" s="18" t="s">
        <v>1512</v>
      </c>
    </row>
    <row r="1535">
      <c r="A1535" s="5" t="s">
        <v>3216</v>
      </c>
      <c r="B1535" s="6">
        <v>6.0</v>
      </c>
      <c r="C1535" s="7">
        <v>149.0</v>
      </c>
      <c r="D1535" s="6" t="s">
        <v>3239</v>
      </c>
      <c r="E1535" s="16">
        <v>1.0</v>
      </c>
      <c r="F1535" s="18" t="s">
        <v>1513</v>
      </c>
    </row>
    <row r="1536">
      <c r="A1536" s="5" t="s">
        <v>3237</v>
      </c>
      <c r="B1536" s="6">
        <v>2.0</v>
      </c>
      <c r="C1536" s="7">
        <v>166.0</v>
      </c>
      <c r="D1536" s="6" t="s">
        <v>3227</v>
      </c>
      <c r="E1536" s="16">
        <v>1.0</v>
      </c>
      <c r="F1536" s="18" t="s">
        <v>1514</v>
      </c>
    </row>
    <row r="1537">
      <c r="A1537" s="5" t="s">
        <v>3268</v>
      </c>
      <c r="B1537" s="6">
        <v>1.0</v>
      </c>
      <c r="C1537" s="7">
        <v>113.0</v>
      </c>
      <c r="D1537" s="6" t="s">
        <v>3207</v>
      </c>
      <c r="E1537" s="16">
        <v>1.0</v>
      </c>
      <c r="F1537" s="18" t="s">
        <v>1515</v>
      </c>
    </row>
    <row r="1538">
      <c r="A1538" s="5" t="s">
        <v>3206</v>
      </c>
      <c r="B1538" s="6">
        <v>6.0</v>
      </c>
      <c r="C1538" s="7">
        <v>124.0</v>
      </c>
      <c r="D1538" s="6" t="s">
        <v>3238</v>
      </c>
      <c r="E1538" s="16">
        <v>1.0</v>
      </c>
      <c r="F1538" s="18" t="s">
        <v>1516</v>
      </c>
    </row>
    <row r="1539">
      <c r="A1539" s="5" t="s">
        <v>3204</v>
      </c>
      <c r="B1539" s="6">
        <v>1.0</v>
      </c>
      <c r="C1539" s="7">
        <v>196.0</v>
      </c>
      <c r="D1539" s="6" t="s">
        <v>3169</v>
      </c>
      <c r="E1539" s="16">
        <v>1.0</v>
      </c>
      <c r="F1539" s="18" t="s">
        <v>1517</v>
      </c>
    </row>
    <row r="1540">
      <c r="A1540" s="5" t="s">
        <v>3230</v>
      </c>
      <c r="B1540" s="6">
        <v>1.0</v>
      </c>
      <c r="C1540" s="7">
        <v>149.0</v>
      </c>
      <c r="D1540" s="6" t="s">
        <v>3239</v>
      </c>
      <c r="E1540" s="16">
        <v>1.0</v>
      </c>
      <c r="F1540" s="18" t="s">
        <v>1518</v>
      </c>
    </row>
    <row r="1541">
      <c r="A1541" s="5" t="s">
        <v>3216</v>
      </c>
      <c r="B1541" s="6">
        <v>6.0</v>
      </c>
      <c r="C1541" s="7">
        <v>152.0</v>
      </c>
      <c r="D1541" s="6" t="s">
        <v>3203</v>
      </c>
      <c r="E1541" s="16">
        <v>1.0</v>
      </c>
      <c r="F1541" s="18" t="s">
        <v>1519</v>
      </c>
    </row>
    <row r="1542">
      <c r="A1542" s="5" t="s">
        <v>3204</v>
      </c>
      <c r="B1542" s="6">
        <v>1.0</v>
      </c>
      <c r="C1542" s="7">
        <v>3.0</v>
      </c>
      <c r="D1542" s="6" t="s">
        <v>3200</v>
      </c>
      <c r="E1542" s="16">
        <v>1.0</v>
      </c>
      <c r="F1542" s="18" t="s">
        <v>1520</v>
      </c>
    </row>
    <row r="1543">
      <c r="A1543" s="5" t="s">
        <v>3236</v>
      </c>
      <c r="B1543" s="6">
        <v>6.0</v>
      </c>
      <c r="C1543" s="7">
        <v>29.0</v>
      </c>
      <c r="D1543" s="6" t="s">
        <v>3235</v>
      </c>
      <c r="E1543" s="16">
        <v>1.0</v>
      </c>
      <c r="F1543" s="18" t="s">
        <v>1521</v>
      </c>
    </row>
    <row r="1544">
      <c r="A1544" s="5" t="s">
        <v>3269</v>
      </c>
      <c r="B1544" s="6">
        <v>6.0</v>
      </c>
      <c r="C1544" s="7">
        <v>121.0</v>
      </c>
      <c r="D1544" s="6" t="s">
        <v>3173</v>
      </c>
      <c r="E1544" s="16">
        <v>1.0</v>
      </c>
      <c r="F1544" s="18" t="s">
        <v>1522</v>
      </c>
    </row>
    <row r="1545">
      <c r="A1545" s="5" t="s">
        <v>3265</v>
      </c>
      <c r="B1545" s="6">
        <v>1.0</v>
      </c>
      <c r="C1545" s="7">
        <v>50.0</v>
      </c>
      <c r="D1545" s="6" t="s">
        <v>3238</v>
      </c>
      <c r="E1545" s="16">
        <v>1.0</v>
      </c>
      <c r="F1545" s="18" t="s">
        <v>1523</v>
      </c>
    </row>
    <row r="1546">
      <c r="A1546" s="5" t="s">
        <v>3223</v>
      </c>
      <c r="B1546" s="6">
        <v>3.0</v>
      </c>
      <c r="C1546" s="7">
        <v>85.0</v>
      </c>
      <c r="D1546" s="6" t="s">
        <v>3192</v>
      </c>
      <c r="E1546" s="16">
        <v>1.0</v>
      </c>
      <c r="F1546" s="18" t="s">
        <v>1524</v>
      </c>
    </row>
    <row r="1547">
      <c r="A1547" s="5" t="s">
        <v>3205</v>
      </c>
      <c r="B1547" s="6">
        <v>1.0</v>
      </c>
      <c r="C1547" s="7">
        <v>153.0</v>
      </c>
      <c r="D1547" s="6" t="s">
        <v>3180</v>
      </c>
      <c r="E1547" s="16">
        <v>1.0</v>
      </c>
      <c r="F1547" s="18" t="s">
        <v>1525</v>
      </c>
    </row>
    <row r="1548">
      <c r="A1548" s="5" t="s">
        <v>3250</v>
      </c>
      <c r="B1548" s="6">
        <v>4.0</v>
      </c>
      <c r="C1548" s="7">
        <v>150.0</v>
      </c>
      <c r="D1548" s="6" t="s">
        <v>3167</v>
      </c>
      <c r="E1548" s="16">
        <v>5.0</v>
      </c>
      <c r="F1548" s="18" t="s">
        <v>1526</v>
      </c>
    </row>
    <row r="1549">
      <c r="A1549" s="5" t="s">
        <v>3177</v>
      </c>
      <c r="B1549" s="6">
        <v>5.0</v>
      </c>
      <c r="C1549" s="7">
        <v>199.0</v>
      </c>
      <c r="D1549" s="6" t="s">
        <v>3169</v>
      </c>
      <c r="E1549" s="16">
        <v>5.0</v>
      </c>
      <c r="F1549" s="18" t="s">
        <v>1527</v>
      </c>
    </row>
    <row r="1550">
      <c r="A1550" s="5" t="s">
        <v>3252</v>
      </c>
      <c r="B1550" s="6">
        <v>6.0</v>
      </c>
      <c r="C1550" s="7">
        <v>58.0</v>
      </c>
      <c r="D1550" s="6" t="s">
        <v>3257</v>
      </c>
      <c r="E1550" s="16">
        <v>5.0</v>
      </c>
      <c r="F1550" s="18" t="s">
        <v>1528</v>
      </c>
    </row>
    <row r="1551">
      <c r="A1551" s="5" t="s">
        <v>3206</v>
      </c>
      <c r="B1551" s="6">
        <v>6.0</v>
      </c>
      <c r="C1551" s="7">
        <v>130.0</v>
      </c>
      <c r="D1551" s="6" t="s">
        <v>3232</v>
      </c>
      <c r="E1551" s="16">
        <v>5.0</v>
      </c>
      <c r="F1551" s="18" t="s">
        <v>1529</v>
      </c>
    </row>
    <row r="1552">
      <c r="A1552" s="5" t="s">
        <v>3179</v>
      </c>
      <c r="B1552" s="6">
        <v>1.0</v>
      </c>
      <c r="C1552" s="7">
        <v>139.0</v>
      </c>
      <c r="D1552" s="6" t="s">
        <v>3182</v>
      </c>
      <c r="E1552" s="16">
        <v>5.0</v>
      </c>
      <c r="F1552" s="18" t="s">
        <v>1530</v>
      </c>
    </row>
    <row r="1553">
      <c r="A1553" s="5" t="s">
        <v>3250</v>
      </c>
      <c r="B1553" s="6">
        <v>4.0</v>
      </c>
      <c r="C1553" s="7">
        <v>53.0</v>
      </c>
      <c r="D1553" s="6" t="s">
        <v>3249</v>
      </c>
      <c r="E1553" s="16">
        <v>5.0</v>
      </c>
      <c r="F1553" s="18" t="s">
        <v>1531</v>
      </c>
    </row>
    <row r="1554">
      <c r="A1554" s="5" t="s">
        <v>3223</v>
      </c>
      <c r="B1554" s="6">
        <v>3.0</v>
      </c>
      <c r="C1554" s="7">
        <v>55.0</v>
      </c>
      <c r="D1554" s="6" t="s">
        <v>3198</v>
      </c>
      <c r="E1554" s="16">
        <v>5.0</v>
      </c>
      <c r="F1554" s="18" t="s">
        <v>1532</v>
      </c>
    </row>
    <row r="1555">
      <c r="A1555" s="5" t="s">
        <v>3231</v>
      </c>
      <c r="B1555" s="6">
        <v>4.0</v>
      </c>
      <c r="C1555" s="7">
        <v>1.0</v>
      </c>
      <c r="D1555" s="6" t="s">
        <v>3221</v>
      </c>
      <c r="E1555" s="16">
        <v>5.0</v>
      </c>
      <c r="F1555" s="18" t="s">
        <v>1533</v>
      </c>
    </row>
    <row r="1556">
      <c r="A1556" s="5" t="s">
        <v>3223</v>
      </c>
      <c r="B1556" s="6">
        <v>3.0</v>
      </c>
      <c r="C1556" s="7">
        <v>40.0</v>
      </c>
      <c r="D1556" s="6" t="s">
        <v>3221</v>
      </c>
      <c r="E1556" s="16">
        <v>5.0</v>
      </c>
      <c r="F1556" s="18" t="s">
        <v>1534</v>
      </c>
    </row>
    <row r="1557">
      <c r="A1557" s="5" t="s">
        <v>3189</v>
      </c>
      <c r="B1557" s="6">
        <v>6.0</v>
      </c>
      <c r="C1557" s="7">
        <v>148.0</v>
      </c>
      <c r="D1557" s="6" t="s">
        <v>3262</v>
      </c>
      <c r="E1557" s="16">
        <v>5.0</v>
      </c>
      <c r="F1557" s="18" t="s">
        <v>1535</v>
      </c>
    </row>
    <row r="1558">
      <c r="A1558" s="5" t="s">
        <v>3243</v>
      </c>
      <c r="B1558" s="6">
        <v>4.0</v>
      </c>
      <c r="C1558" s="7">
        <v>64.0</v>
      </c>
      <c r="D1558" s="6" t="s">
        <v>3180</v>
      </c>
      <c r="E1558" s="16">
        <v>5.0</v>
      </c>
      <c r="F1558" s="18" t="s">
        <v>1267</v>
      </c>
    </row>
    <row r="1559">
      <c r="A1559" s="5" t="s">
        <v>3189</v>
      </c>
      <c r="B1559" s="6">
        <v>6.0</v>
      </c>
      <c r="C1559" s="7">
        <v>102.0</v>
      </c>
      <c r="D1559" s="6" t="s">
        <v>3178</v>
      </c>
      <c r="E1559" s="16">
        <v>5.0</v>
      </c>
      <c r="F1559" s="18" t="s">
        <v>1536</v>
      </c>
    </row>
    <row r="1560">
      <c r="A1560" s="5" t="s">
        <v>3240</v>
      </c>
      <c r="B1560" s="6">
        <v>2.0</v>
      </c>
      <c r="C1560" s="7">
        <v>165.0</v>
      </c>
      <c r="D1560" s="6" t="s">
        <v>3196</v>
      </c>
      <c r="E1560" s="16">
        <v>5.0</v>
      </c>
      <c r="F1560" s="18" t="s">
        <v>1537</v>
      </c>
    </row>
    <row r="1561">
      <c r="A1561" s="5" t="s">
        <v>3175</v>
      </c>
      <c r="B1561" s="6">
        <v>5.0</v>
      </c>
      <c r="C1561" s="7">
        <v>112.0</v>
      </c>
      <c r="D1561" s="6" t="s">
        <v>3227</v>
      </c>
      <c r="E1561" s="16">
        <v>5.0</v>
      </c>
      <c r="F1561" s="18" t="s">
        <v>1538</v>
      </c>
    </row>
    <row r="1562">
      <c r="A1562" s="5" t="s">
        <v>3181</v>
      </c>
      <c r="B1562" s="6">
        <v>1.0</v>
      </c>
      <c r="C1562" s="7">
        <v>147.0</v>
      </c>
      <c r="D1562" s="6" t="s">
        <v>3196</v>
      </c>
      <c r="E1562" s="16">
        <v>5.0</v>
      </c>
      <c r="F1562" s="18" t="s">
        <v>993</v>
      </c>
    </row>
    <row r="1563">
      <c r="A1563" s="5" t="s">
        <v>3199</v>
      </c>
      <c r="B1563" s="6">
        <v>3.0</v>
      </c>
      <c r="C1563" s="7">
        <v>99.0</v>
      </c>
      <c r="D1563" s="6" t="s">
        <v>3200</v>
      </c>
      <c r="E1563" s="16">
        <v>5.0</v>
      </c>
      <c r="F1563" s="18" t="s">
        <v>1539</v>
      </c>
    </row>
    <row r="1564">
      <c r="A1564" s="5" t="s">
        <v>3269</v>
      </c>
      <c r="B1564" s="6">
        <v>6.0</v>
      </c>
      <c r="C1564" s="7">
        <v>197.0</v>
      </c>
      <c r="D1564" s="6" t="s">
        <v>3173</v>
      </c>
      <c r="E1564" s="16">
        <v>5.0</v>
      </c>
      <c r="F1564" s="18" t="s">
        <v>1540</v>
      </c>
    </row>
    <row r="1565">
      <c r="A1565" s="5" t="s">
        <v>3244</v>
      </c>
      <c r="B1565" s="6">
        <v>1.0</v>
      </c>
      <c r="C1565" s="7">
        <v>124.0</v>
      </c>
      <c r="D1565" s="6" t="s">
        <v>3238</v>
      </c>
      <c r="E1565" s="16">
        <v>5.0</v>
      </c>
      <c r="F1565" s="18" t="s">
        <v>1541</v>
      </c>
    </row>
    <row r="1566">
      <c r="A1566" s="5" t="s">
        <v>3208</v>
      </c>
      <c r="B1566" s="6">
        <v>4.0</v>
      </c>
      <c r="C1566" s="7">
        <v>129.0</v>
      </c>
      <c r="D1566" s="6" t="s">
        <v>3182</v>
      </c>
      <c r="E1566" s="16">
        <v>5.0</v>
      </c>
      <c r="F1566" s="18" t="s">
        <v>1542</v>
      </c>
    </row>
    <row r="1567">
      <c r="A1567" s="5" t="s">
        <v>3256</v>
      </c>
      <c r="B1567" s="6">
        <v>6.0</v>
      </c>
      <c r="C1567" s="7">
        <v>192.0</v>
      </c>
      <c r="D1567" s="6" t="s">
        <v>3186</v>
      </c>
      <c r="E1567" s="16">
        <v>5.0</v>
      </c>
      <c r="F1567" s="18" t="s">
        <v>1543</v>
      </c>
    </row>
    <row r="1568">
      <c r="A1568" s="5" t="s">
        <v>3229</v>
      </c>
      <c r="B1568" s="6">
        <v>4.0</v>
      </c>
      <c r="C1568" s="7">
        <v>47.0</v>
      </c>
      <c r="D1568" s="6" t="s">
        <v>3221</v>
      </c>
      <c r="E1568" s="16">
        <v>4.0</v>
      </c>
      <c r="F1568" s="18" t="s">
        <v>1544</v>
      </c>
    </row>
    <row r="1569">
      <c r="A1569" s="5" t="s">
        <v>3205</v>
      </c>
      <c r="B1569" s="6">
        <v>1.0</v>
      </c>
      <c r="C1569" s="7">
        <v>185.0</v>
      </c>
      <c r="D1569" s="6" t="s">
        <v>3173</v>
      </c>
      <c r="E1569" s="16">
        <v>4.0</v>
      </c>
      <c r="F1569" s="18" t="s">
        <v>1545</v>
      </c>
    </row>
    <row r="1570">
      <c r="A1570" s="5" t="s">
        <v>3229</v>
      </c>
      <c r="B1570" s="6">
        <v>4.0</v>
      </c>
      <c r="C1570" s="7">
        <v>57.0</v>
      </c>
      <c r="D1570" s="6" t="s">
        <v>3239</v>
      </c>
      <c r="E1570" s="16">
        <v>4.0</v>
      </c>
      <c r="F1570" s="18" t="s">
        <v>1546</v>
      </c>
    </row>
    <row r="1571">
      <c r="A1571" s="5" t="s">
        <v>3226</v>
      </c>
      <c r="B1571" s="6">
        <v>1.0</v>
      </c>
      <c r="C1571" s="7">
        <v>31.0</v>
      </c>
      <c r="D1571" s="6" t="s">
        <v>3227</v>
      </c>
      <c r="E1571" s="16">
        <v>4.0</v>
      </c>
      <c r="F1571" s="18" t="s">
        <v>1547</v>
      </c>
    </row>
    <row r="1572">
      <c r="A1572" s="5" t="s">
        <v>3172</v>
      </c>
      <c r="B1572" s="6">
        <v>1.0</v>
      </c>
      <c r="C1572" s="7">
        <v>97.0</v>
      </c>
      <c r="D1572" s="6" t="s">
        <v>3194</v>
      </c>
      <c r="E1572" s="16">
        <v>4.0</v>
      </c>
      <c r="F1572" s="18" t="s">
        <v>1548</v>
      </c>
    </row>
    <row r="1573">
      <c r="A1573" s="5" t="s">
        <v>3261</v>
      </c>
      <c r="B1573" s="6">
        <v>4.0</v>
      </c>
      <c r="C1573" s="7">
        <v>61.0</v>
      </c>
      <c r="D1573" s="6" t="s">
        <v>3249</v>
      </c>
      <c r="E1573" s="16">
        <v>4.0</v>
      </c>
      <c r="F1573" s="18" t="s">
        <v>1549</v>
      </c>
    </row>
    <row r="1574">
      <c r="A1574" s="5" t="s">
        <v>3189</v>
      </c>
      <c r="B1574" s="6">
        <v>6.0</v>
      </c>
      <c r="C1574" s="7">
        <v>133.0</v>
      </c>
      <c r="D1574" s="6" t="s">
        <v>3192</v>
      </c>
      <c r="E1574" s="16">
        <v>4.0</v>
      </c>
      <c r="F1574" s="18" t="s">
        <v>1550</v>
      </c>
    </row>
    <row r="1575">
      <c r="A1575" s="5" t="s">
        <v>3230</v>
      </c>
      <c r="B1575" s="6">
        <v>1.0</v>
      </c>
      <c r="C1575" s="7">
        <v>58.0</v>
      </c>
      <c r="D1575" s="6" t="s">
        <v>3257</v>
      </c>
      <c r="E1575" s="16">
        <v>4.0</v>
      </c>
      <c r="F1575" s="18" t="s">
        <v>1551</v>
      </c>
    </row>
    <row r="1576">
      <c r="A1576" s="5" t="s">
        <v>3224</v>
      </c>
      <c r="B1576" s="6">
        <v>6.0</v>
      </c>
      <c r="C1576" s="7">
        <v>57.0</v>
      </c>
      <c r="D1576" s="6" t="s">
        <v>3239</v>
      </c>
      <c r="E1576" s="16">
        <v>3.0</v>
      </c>
      <c r="F1576" s="18" t="s">
        <v>1552</v>
      </c>
    </row>
    <row r="1577">
      <c r="A1577" s="5" t="s">
        <v>3234</v>
      </c>
      <c r="B1577" s="6">
        <v>6.0</v>
      </c>
      <c r="C1577" s="7">
        <v>75.0</v>
      </c>
      <c r="D1577" s="6" t="s">
        <v>3257</v>
      </c>
      <c r="E1577" s="16">
        <v>3.0</v>
      </c>
      <c r="F1577" s="18" t="s">
        <v>1553</v>
      </c>
    </row>
    <row r="1578">
      <c r="A1578" s="5" t="s">
        <v>3247</v>
      </c>
      <c r="B1578" s="6">
        <v>6.0</v>
      </c>
      <c r="C1578" s="7">
        <v>11.0</v>
      </c>
      <c r="D1578" s="6" t="s">
        <v>3180</v>
      </c>
      <c r="E1578" s="16">
        <v>3.0</v>
      </c>
      <c r="F1578" s="18" t="s">
        <v>1554</v>
      </c>
    </row>
    <row r="1579">
      <c r="A1579" s="5" t="s">
        <v>3255</v>
      </c>
      <c r="B1579" s="6">
        <v>6.0</v>
      </c>
      <c r="C1579" s="7">
        <v>163.0</v>
      </c>
      <c r="D1579" s="6" t="s">
        <v>3173</v>
      </c>
      <c r="E1579" s="16">
        <v>3.0</v>
      </c>
      <c r="F1579" s="18" t="s">
        <v>1555</v>
      </c>
    </row>
    <row r="1580">
      <c r="A1580" s="5" t="s">
        <v>3226</v>
      </c>
      <c r="B1580" s="6">
        <v>1.0</v>
      </c>
      <c r="C1580" s="7">
        <v>141.0</v>
      </c>
      <c r="D1580" s="6" t="s">
        <v>3171</v>
      </c>
      <c r="E1580" s="16">
        <v>3.0</v>
      </c>
      <c r="F1580" s="18" t="s">
        <v>1556</v>
      </c>
    </row>
    <row r="1581">
      <c r="A1581" s="5" t="s">
        <v>3202</v>
      </c>
      <c r="B1581" s="6">
        <v>4.0</v>
      </c>
      <c r="C1581" s="7">
        <v>4.0</v>
      </c>
      <c r="D1581" s="6" t="s">
        <v>3196</v>
      </c>
      <c r="E1581" s="16">
        <v>3.0</v>
      </c>
      <c r="F1581" s="18" t="s">
        <v>549</v>
      </c>
    </row>
    <row r="1582">
      <c r="A1582" s="5" t="s">
        <v>3177</v>
      </c>
      <c r="B1582" s="6">
        <v>5.0</v>
      </c>
      <c r="C1582" s="7">
        <v>28.0</v>
      </c>
      <c r="D1582" s="6" t="s">
        <v>3188</v>
      </c>
      <c r="E1582" s="16">
        <v>3.0</v>
      </c>
      <c r="F1582" s="18" t="s">
        <v>1557</v>
      </c>
    </row>
    <row r="1583">
      <c r="A1583" s="5" t="s">
        <v>3269</v>
      </c>
      <c r="B1583" s="6">
        <v>6.0</v>
      </c>
      <c r="C1583" s="7">
        <v>150.0</v>
      </c>
      <c r="D1583" s="6" t="s">
        <v>3167</v>
      </c>
      <c r="E1583" s="16">
        <v>2.0</v>
      </c>
      <c r="F1583" s="18" t="s">
        <v>1558</v>
      </c>
    </row>
    <row r="1584">
      <c r="A1584" s="5" t="s">
        <v>3166</v>
      </c>
      <c r="B1584" s="6">
        <v>6.0</v>
      </c>
      <c r="C1584" s="7">
        <v>83.0</v>
      </c>
      <c r="D1584" s="6" t="s">
        <v>3203</v>
      </c>
      <c r="E1584" s="16">
        <v>2.0</v>
      </c>
      <c r="F1584" s="18" t="s">
        <v>1559</v>
      </c>
    </row>
    <row r="1585">
      <c r="A1585" s="5" t="s">
        <v>3181</v>
      </c>
      <c r="B1585" s="6">
        <v>1.0</v>
      </c>
      <c r="C1585" s="7">
        <v>99.0</v>
      </c>
      <c r="D1585" s="6" t="s">
        <v>3200</v>
      </c>
      <c r="E1585" s="16">
        <v>2.0</v>
      </c>
      <c r="F1585" s="18" t="s">
        <v>1560</v>
      </c>
    </row>
    <row r="1586">
      <c r="A1586" s="5" t="s">
        <v>3266</v>
      </c>
      <c r="B1586" s="6">
        <v>3.0</v>
      </c>
      <c r="C1586" s="7">
        <v>55.0</v>
      </c>
      <c r="D1586" s="6" t="s">
        <v>3198</v>
      </c>
      <c r="E1586" s="16">
        <v>2.0</v>
      </c>
      <c r="F1586" s="18" t="s">
        <v>1561</v>
      </c>
    </row>
    <row r="1587">
      <c r="A1587" s="5" t="s">
        <v>3177</v>
      </c>
      <c r="B1587" s="6">
        <v>5.0</v>
      </c>
      <c r="C1587" s="7">
        <v>84.0</v>
      </c>
      <c r="D1587" s="6" t="s">
        <v>3203</v>
      </c>
      <c r="E1587" s="16">
        <v>2.0</v>
      </c>
      <c r="F1587" s="18" t="s">
        <v>1562</v>
      </c>
    </row>
    <row r="1588">
      <c r="A1588" s="5" t="s">
        <v>3175</v>
      </c>
      <c r="B1588" s="6">
        <v>5.0</v>
      </c>
      <c r="C1588" s="7">
        <v>89.0</v>
      </c>
      <c r="D1588" s="6" t="s">
        <v>3262</v>
      </c>
      <c r="E1588" s="16">
        <v>2.0</v>
      </c>
      <c r="F1588" s="18" t="s">
        <v>1563</v>
      </c>
    </row>
    <row r="1589">
      <c r="A1589" s="5" t="s">
        <v>3259</v>
      </c>
      <c r="B1589" s="6">
        <v>6.0</v>
      </c>
      <c r="C1589" s="7">
        <v>127.0</v>
      </c>
      <c r="D1589" s="6" t="s">
        <v>3262</v>
      </c>
      <c r="E1589" s="16">
        <v>2.0</v>
      </c>
      <c r="F1589" s="18" t="s">
        <v>1564</v>
      </c>
    </row>
    <row r="1590">
      <c r="A1590" s="5" t="s">
        <v>3244</v>
      </c>
      <c r="B1590" s="6">
        <v>1.0</v>
      </c>
      <c r="C1590" s="7">
        <v>53.0</v>
      </c>
      <c r="D1590" s="6" t="s">
        <v>3249</v>
      </c>
      <c r="E1590" s="16">
        <v>2.0</v>
      </c>
      <c r="F1590" s="18" t="s">
        <v>1565</v>
      </c>
    </row>
    <row r="1591">
      <c r="A1591" s="5" t="s">
        <v>3258</v>
      </c>
      <c r="B1591" s="6">
        <v>6.0</v>
      </c>
      <c r="C1591" s="7">
        <v>10.0</v>
      </c>
      <c r="D1591" s="6" t="s">
        <v>3249</v>
      </c>
      <c r="E1591" s="16">
        <v>2.0</v>
      </c>
      <c r="F1591" s="18" t="s">
        <v>1566</v>
      </c>
    </row>
    <row r="1592">
      <c r="A1592" s="5" t="s">
        <v>3166</v>
      </c>
      <c r="B1592" s="6">
        <v>6.0</v>
      </c>
      <c r="C1592" s="7">
        <v>164.0</v>
      </c>
      <c r="D1592" s="6" t="s">
        <v>3232</v>
      </c>
      <c r="E1592" s="16">
        <v>2.0</v>
      </c>
      <c r="F1592" s="18" t="s">
        <v>1567</v>
      </c>
    </row>
    <row r="1593">
      <c r="A1593" s="5" t="s">
        <v>3226</v>
      </c>
      <c r="B1593" s="6">
        <v>1.0</v>
      </c>
      <c r="C1593" s="7">
        <v>102.0</v>
      </c>
      <c r="D1593" s="6" t="s">
        <v>3178</v>
      </c>
      <c r="E1593" s="16">
        <v>1.0</v>
      </c>
      <c r="F1593" s="18" t="s">
        <v>1568</v>
      </c>
    </row>
    <row r="1594">
      <c r="A1594" s="5" t="s">
        <v>3269</v>
      </c>
      <c r="B1594" s="6">
        <v>6.0</v>
      </c>
      <c r="C1594" s="7">
        <v>30.0</v>
      </c>
      <c r="D1594" s="6" t="s">
        <v>3171</v>
      </c>
      <c r="E1594" s="16">
        <v>1.0</v>
      </c>
      <c r="F1594" s="18" t="s">
        <v>1569</v>
      </c>
    </row>
    <row r="1595">
      <c r="A1595" s="5" t="s">
        <v>3204</v>
      </c>
      <c r="B1595" s="6">
        <v>1.0</v>
      </c>
      <c r="C1595" s="7">
        <v>122.0</v>
      </c>
      <c r="D1595" s="6" t="s">
        <v>3232</v>
      </c>
      <c r="E1595" s="16">
        <v>1.0</v>
      </c>
      <c r="F1595" s="18" t="s">
        <v>1570</v>
      </c>
    </row>
    <row r="1596">
      <c r="A1596" s="5" t="s">
        <v>3213</v>
      </c>
      <c r="B1596" s="6">
        <v>2.0</v>
      </c>
      <c r="C1596" s="7">
        <v>150.0</v>
      </c>
      <c r="D1596" s="6" t="s">
        <v>3167</v>
      </c>
      <c r="E1596" s="16">
        <v>1.0</v>
      </c>
      <c r="F1596" s="18" t="s">
        <v>1571</v>
      </c>
    </row>
    <row r="1597">
      <c r="A1597" s="5" t="s">
        <v>3170</v>
      </c>
      <c r="B1597" s="6">
        <v>1.0</v>
      </c>
      <c r="C1597" s="7">
        <v>61.0</v>
      </c>
      <c r="D1597" s="6" t="s">
        <v>3249</v>
      </c>
      <c r="E1597" s="16">
        <v>1.0</v>
      </c>
      <c r="F1597" s="18" t="s">
        <v>1572</v>
      </c>
    </row>
    <row r="1598">
      <c r="A1598" s="5" t="s">
        <v>3268</v>
      </c>
      <c r="B1598" s="6">
        <v>1.0</v>
      </c>
      <c r="C1598" s="7">
        <v>25.0</v>
      </c>
      <c r="D1598" s="6" t="s">
        <v>3173</v>
      </c>
      <c r="E1598" s="16">
        <v>1.0</v>
      </c>
      <c r="F1598" s="18" t="s">
        <v>1573</v>
      </c>
    </row>
    <row r="1599">
      <c r="A1599" s="5" t="s">
        <v>3172</v>
      </c>
      <c r="B1599" s="6">
        <v>1.0</v>
      </c>
      <c r="C1599" s="7">
        <v>99.0</v>
      </c>
      <c r="D1599" s="6" t="s">
        <v>3200</v>
      </c>
      <c r="E1599" s="16">
        <v>1.0</v>
      </c>
      <c r="F1599" s="18" t="s">
        <v>1574</v>
      </c>
    </row>
    <row r="1600">
      <c r="A1600" s="5" t="s">
        <v>3174</v>
      </c>
      <c r="B1600" s="6">
        <v>1.0</v>
      </c>
      <c r="C1600" s="7">
        <v>19.0</v>
      </c>
      <c r="D1600" s="6" t="s">
        <v>3169</v>
      </c>
      <c r="E1600" s="16">
        <v>1.0</v>
      </c>
      <c r="F1600" s="18" t="s">
        <v>1575</v>
      </c>
    </row>
    <row r="1601">
      <c r="A1601" s="5" t="s">
        <v>3170</v>
      </c>
      <c r="B1601" s="6">
        <v>1.0</v>
      </c>
      <c r="C1601" s="7">
        <v>47.0</v>
      </c>
      <c r="D1601" s="6" t="s">
        <v>3221</v>
      </c>
      <c r="E1601" s="16">
        <v>1.0</v>
      </c>
      <c r="F1601" s="18" t="s">
        <v>1576</v>
      </c>
    </row>
    <row r="1602">
      <c r="A1602" s="5" t="s">
        <v>3248</v>
      </c>
      <c r="B1602" s="6">
        <v>3.0</v>
      </c>
      <c r="C1602" s="7">
        <v>42.0</v>
      </c>
      <c r="D1602" s="6" t="s">
        <v>3182</v>
      </c>
      <c r="E1602" s="16">
        <v>1.0</v>
      </c>
      <c r="F1602" s="18" t="s">
        <v>1577</v>
      </c>
    </row>
    <row r="1603">
      <c r="A1603" s="5" t="s">
        <v>3187</v>
      </c>
      <c r="B1603" s="6">
        <v>4.0</v>
      </c>
      <c r="C1603" s="7">
        <v>133.0</v>
      </c>
      <c r="D1603" s="6" t="s">
        <v>3192</v>
      </c>
      <c r="E1603" s="16">
        <v>5.0</v>
      </c>
      <c r="F1603" s="18" t="s">
        <v>1578</v>
      </c>
    </row>
    <row r="1604">
      <c r="A1604" s="5" t="s">
        <v>3202</v>
      </c>
      <c r="B1604" s="6">
        <v>4.0</v>
      </c>
      <c r="C1604" s="7">
        <v>40.0</v>
      </c>
      <c r="D1604" s="6" t="s">
        <v>3221</v>
      </c>
      <c r="E1604" s="16">
        <v>5.0</v>
      </c>
      <c r="F1604" s="18" t="s">
        <v>1579</v>
      </c>
    </row>
    <row r="1605">
      <c r="A1605" s="5" t="s">
        <v>3191</v>
      </c>
      <c r="B1605" s="6">
        <v>5.0</v>
      </c>
      <c r="C1605" s="7">
        <v>147.0</v>
      </c>
      <c r="D1605" s="6" t="s">
        <v>3196</v>
      </c>
      <c r="E1605" s="16">
        <v>5.0</v>
      </c>
      <c r="F1605" s="18" t="s">
        <v>1580</v>
      </c>
    </row>
    <row r="1606">
      <c r="A1606" s="5" t="s">
        <v>3185</v>
      </c>
      <c r="B1606" s="6">
        <v>1.0</v>
      </c>
      <c r="C1606" s="7">
        <v>136.0</v>
      </c>
      <c r="D1606" s="6" t="s">
        <v>3221</v>
      </c>
      <c r="E1606" s="16">
        <v>5.0</v>
      </c>
      <c r="F1606" s="18" t="s">
        <v>1581</v>
      </c>
    </row>
    <row r="1607">
      <c r="A1607" s="5" t="s">
        <v>3247</v>
      </c>
      <c r="B1607" s="6">
        <v>6.0</v>
      </c>
      <c r="C1607" s="7">
        <v>183.0</v>
      </c>
      <c r="D1607" s="6" t="s">
        <v>3182</v>
      </c>
      <c r="E1607" s="16">
        <v>5.0</v>
      </c>
      <c r="F1607" s="18" t="s">
        <v>1582</v>
      </c>
    </row>
    <row r="1608">
      <c r="A1608" s="5" t="s">
        <v>3260</v>
      </c>
      <c r="B1608" s="6">
        <v>1.0</v>
      </c>
      <c r="C1608" s="7">
        <v>113.0</v>
      </c>
      <c r="D1608" s="6" t="s">
        <v>3207</v>
      </c>
      <c r="E1608" s="16">
        <v>5.0</v>
      </c>
      <c r="F1608" s="18" t="s">
        <v>1583</v>
      </c>
    </row>
    <row r="1609">
      <c r="A1609" s="5" t="s">
        <v>3230</v>
      </c>
      <c r="B1609" s="6">
        <v>1.0</v>
      </c>
      <c r="C1609" s="7">
        <v>24.0</v>
      </c>
      <c r="D1609" s="6" t="s">
        <v>3194</v>
      </c>
      <c r="E1609" s="16">
        <v>5.0</v>
      </c>
      <c r="F1609" s="18" t="s">
        <v>1584</v>
      </c>
    </row>
    <row r="1610">
      <c r="A1610" s="5" t="s">
        <v>3258</v>
      </c>
      <c r="B1610" s="6">
        <v>6.0</v>
      </c>
      <c r="C1610" s="7">
        <v>42.0</v>
      </c>
      <c r="D1610" s="6" t="s">
        <v>3182</v>
      </c>
      <c r="E1610" s="16">
        <v>5.0</v>
      </c>
      <c r="F1610" s="18" t="s">
        <v>1585</v>
      </c>
    </row>
    <row r="1611">
      <c r="A1611" s="5" t="s">
        <v>3269</v>
      </c>
      <c r="B1611" s="6">
        <v>6.0</v>
      </c>
      <c r="C1611" s="7">
        <v>69.0</v>
      </c>
      <c r="D1611" s="6" t="s">
        <v>3203</v>
      </c>
      <c r="E1611" s="16">
        <v>5.0</v>
      </c>
      <c r="F1611" s="18" t="s">
        <v>1586</v>
      </c>
    </row>
    <row r="1612">
      <c r="A1612" s="5" t="s">
        <v>3237</v>
      </c>
      <c r="B1612" s="6">
        <v>2.0</v>
      </c>
      <c r="C1612" s="7">
        <v>157.0</v>
      </c>
      <c r="D1612" s="6" t="s">
        <v>3219</v>
      </c>
      <c r="E1612" s="16">
        <v>5.0</v>
      </c>
      <c r="F1612" s="18" t="s">
        <v>992</v>
      </c>
    </row>
    <row r="1613">
      <c r="A1613" s="5" t="s">
        <v>3210</v>
      </c>
      <c r="B1613" s="6">
        <v>1.0</v>
      </c>
      <c r="C1613" s="7">
        <v>137.0</v>
      </c>
      <c r="D1613" s="6" t="s">
        <v>3215</v>
      </c>
      <c r="E1613" s="16">
        <v>5.0</v>
      </c>
      <c r="F1613" s="18" t="s">
        <v>1587</v>
      </c>
    </row>
    <row r="1614">
      <c r="A1614" s="5" t="s">
        <v>3177</v>
      </c>
      <c r="B1614" s="6">
        <v>5.0</v>
      </c>
      <c r="C1614" s="7">
        <v>109.0</v>
      </c>
      <c r="D1614" s="6" t="s">
        <v>3249</v>
      </c>
      <c r="E1614" s="16">
        <v>5.0</v>
      </c>
      <c r="F1614" s="18" t="s">
        <v>1588</v>
      </c>
    </row>
    <row r="1615">
      <c r="A1615" s="5" t="s">
        <v>3242</v>
      </c>
      <c r="B1615" s="6">
        <v>1.0</v>
      </c>
      <c r="C1615" s="7">
        <v>1.0</v>
      </c>
      <c r="D1615" s="6" t="s">
        <v>3221</v>
      </c>
      <c r="E1615" s="16">
        <v>4.0</v>
      </c>
      <c r="F1615" s="18" t="s">
        <v>1589</v>
      </c>
    </row>
    <row r="1616">
      <c r="A1616" s="5" t="s">
        <v>3209</v>
      </c>
      <c r="B1616" s="6">
        <v>4.0</v>
      </c>
      <c r="C1616" s="7">
        <v>49.0</v>
      </c>
      <c r="D1616" s="6" t="s">
        <v>3254</v>
      </c>
      <c r="E1616" s="16">
        <v>4.0</v>
      </c>
      <c r="F1616" s="18" t="s">
        <v>1590</v>
      </c>
    </row>
    <row r="1617">
      <c r="A1617" s="5" t="s">
        <v>3218</v>
      </c>
      <c r="B1617" s="6">
        <v>5.0</v>
      </c>
      <c r="C1617" s="7">
        <v>6.0</v>
      </c>
      <c r="D1617" s="6" t="s">
        <v>3180</v>
      </c>
      <c r="E1617" s="16">
        <v>4.0</v>
      </c>
      <c r="F1617" s="18" t="s">
        <v>1591</v>
      </c>
    </row>
    <row r="1618">
      <c r="A1618" s="5" t="s">
        <v>3208</v>
      </c>
      <c r="B1618" s="6">
        <v>4.0</v>
      </c>
      <c r="C1618" s="7">
        <v>48.0</v>
      </c>
      <c r="D1618" s="6" t="s">
        <v>3232</v>
      </c>
      <c r="E1618" s="16">
        <v>4.0</v>
      </c>
      <c r="F1618" s="18" t="s">
        <v>1592</v>
      </c>
    </row>
    <row r="1619">
      <c r="A1619" s="5" t="s">
        <v>3223</v>
      </c>
      <c r="B1619" s="6">
        <v>3.0</v>
      </c>
      <c r="C1619" s="7">
        <v>33.0</v>
      </c>
      <c r="D1619" s="6" t="s">
        <v>3225</v>
      </c>
      <c r="E1619" s="16">
        <v>3.0</v>
      </c>
      <c r="F1619" s="18" t="s">
        <v>1593</v>
      </c>
    </row>
    <row r="1620">
      <c r="A1620" s="5" t="s">
        <v>3270</v>
      </c>
      <c r="B1620" s="6">
        <v>3.0</v>
      </c>
      <c r="C1620" s="7">
        <v>87.0</v>
      </c>
      <c r="D1620" s="6" t="s">
        <v>3227</v>
      </c>
      <c r="E1620" s="16">
        <v>3.0</v>
      </c>
      <c r="F1620" s="18" t="s">
        <v>1594</v>
      </c>
    </row>
    <row r="1621">
      <c r="A1621" s="5" t="s">
        <v>3258</v>
      </c>
      <c r="B1621" s="6">
        <v>6.0</v>
      </c>
      <c r="C1621" s="7">
        <v>49.0</v>
      </c>
      <c r="D1621" s="6" t="s">
        <v>3254</v>
      </c>
      <c r="E1621" s="16">
        <v>3.0</v>
      </c>
      <c r="F1621" s="18" t="s">
        <v>1595</v>
      </c>
    </row>
    <row r="1622">
      <c r="A1622" s="5" t="s">
        <v>3193</v>
      </c>
      <c r="B1622" s="6">
        <v>5.0</v>
      </c>
      <c r="C1622" s="7">
        <v>53.0</v>
      </c>
      <c r="D1622" s="6" t="s">
        <v>3249</v>
      </c>
      <c r="E1622" s="16">
        <v>2.0</v>
      </c>
      <c r="F1622" s="18" t="s">
        <v>1596</v>
      </c>
    </row>
    <row r="1623">
      <c r="A1623" s="5" t="s">
        <v>3204</v>
      </c>
      <c r="B1623" s="6">
        <v>1.0</v>
      </c>
      <c r="C1623" s="7">
        <v>153.0</v>
      </c>
      <c r="D1623" s="6" t="s">
        <v>3180</v>
      </c>
      <c r="E1623" s="16">
        <v>2.0</v>
      </c>
      <c r="F1623" s="18" t="s">
        <v>1597</v>
      </c>
    </row>
    <row r="1624">
      <c r="A1624" s="5" t="s">
        <v>3260</v>
      </c>
      <c r="B1624" s="6">
        <v>1.0</v>
      </c>
      <c r="C1624" s="7">
        <v>100.0</v>
      </c>
      <c r="D1624" s="6" t="s">
        <v>3196</v>
      </c>
      <c r="E1624" s="16">
        <v>2.0</v>
      </c>
      <c r="F1624" s="18" t="s">
        <v>1598</v>
      </c>
    </row>
    <row r="1625">
      <c r="A1625" s="5" t="s">
        <v>3240</v>
      </c>
      <c r="B1625" s="6">
        <v>2.0</v>
      </c>
      <c r="C1625" s="7">
        <v>113.0</v>
      </c>
      <c r="D1625" s="6" t="s">
        <v>3207</v>
      </c>
      <c r="E1625" s="16">
        <v>2.0</v>
      </c>
      <c r="F1625" s="18" t="s">
        <v>1599</v>
      </c>
    </row>
    <row r="1626">
      <c r="A1626" s="5" t="s">
        <v>3168</v>
      </c>
      <c r="B1626" s="6">
        <v>1.0</v>
      </c>
      <c r="C1626" s="7">
        <v>120.0</v>
      </c>
      <c r="D1626" s="6" t="s">
        <v>3171</v>
      </c>
      <c r="E1626" s="16">
        <v>2.0</v>
      </c>
      <c r="F1626" s="18" t="s">
        <v>1600</v>
      </c>
    </row>
    <row r="1627">
      <c r="A1627" s="5" t="s">
        <v>3172</v>
      </c>
      <c r="B1627" s="6">
        <v>1.0</v>
      </c>
      <c r="C1627" s="7">
        <v>195.0</v>
      </c>
      <c r="D1627" s="6" t="s">
        <v>3239</v>
      </c>
      <c r="E1627" s="16">
        <v>2.0</v>
      </c>
      <c r="F1627" s="18" t="s">
        <v>1601</v>
      </c>
    </row>
    <row r="1628">
      <c r="A1628" s="5" t="s">
        <v>3226</v>
      </c>
      <c r="B1628" s="6">
        <v>1.0</v>
      </c>
      <c r="C1628" s="7">
        <v>95.0</v>
      </c>
      <c r="D1628" s="6" t="s">
        <v>3227</v>
      </c>
      <c r="E1628" s="16">
        <v>2.0</v>
      </c>
      <c r="F1628" s="18" t="s">
        <v>1602</v>
      </c>
    </row>
    <row r="1629">
      <c r="A1629" s="5" t="s">
        <v>3236</v>
      </c>
      <c r="B1629" s="6">
        <v>6.0</v>
      </c>
      <c r="C1629" s="7">
        <v>185.0</v>
      </c>
      <c r="D1629" s="6" t="s">
        <v>3173</v>
      </c>
      <c r="E1629" s="16">
        <v>2.0</v>
      </c>
      <c r="F1629" s="18" t="s">
        <v>1603</v>
      </c>
    </row>
    <row r="1630">
      <c r="A1630" s="5" t="s">
        <v>3270</v>
      </c>
      <c r="B1630" s="6">
        <v>3.0</v>
      </c>
      <c r="C1630" s="7">
        <v>166.0</v>
      </c>
      <c r="D1630" s="6" t="s">
        <v>3227</v>
      </c>
      <c r="E1630" s="16">
        <v>2.0</v>
      </c>
      <c r="F1630" s="18" t="s">
        <v>1604</v>
      </c>
    </row>
    <row r="1631">
      <c r="A1631" s="5" t="s">
        <v>3183</v>
      </c>
      <c r="B1631" s="6">
        <v>6.0</v>
      </c>
      <c r="C1631" s="7">
        <v>8.0</v>
      </c>
      <c r="D1631" s="6" t="s">
        <v>3169</v>
      </c>
      <c r="E1631" s="16">
        <v>2.0</v>
      </c>
      <c r="F1631" s="18" t="s">
        <v>1605</v>
      </c>
    </row>
    <row r="1632">
      <c r="A1632" s="5" t="s">
        <v>3251</v>
      </c>
      <c r="B1632" s="6">
        <v>6.0</v>
      </c>
      <c r="C1632" s="7">
        <v>191.0</v>
      </c>
      <c r="D1632" s="6" t="s">
        <v>3221</v>
      </c>
      <c r="E1632" s="16">
        <v>1.0</v>
      </c>
      <c r="F1632" s="18" t="s">
        <v>1606</v>
      </c>
    </row>
    <row r="1633">
      <c r="A1633" s="5" t="s">
        <v>3170</v>
      </c>
      <c r="B1633" s="6">
        <v>1.0</v>
      </c>
      <c r="C1633" s="7">
        <v>188.0</v>
      </c>
      <c r="D1633" s="6" t="s">
        <v>3198</v>
      </c>
      <c r="E1633" s="16">
        <v>1.0</v>
      </c>
      <c r="F1633" s="18" t="s">
        <v>1607</v>
      </c>
    </row>
    <row r="1634">
      <c r="A1634" s="5" t="s">
        <v>3175</v>
      </c>
      <c r="B1634" s="6">
        <v>5.0</v>
      </c>
      <c r="C1634" s="7">
        <v>101.0</v>
      </c>
      <c r="D1634" s="6" t="s">
        <v>3238</v>
      </c>
      <c r="E1634" s="16">
        <v>1.0</v>
      </c>
      <c r="F1634" s="18" t="s">
        <v>1608</v>
      </c>
    </row>
    <row r="1635">
      <c r="A1635" s="5" t="s">
        <v>3216</v>
      </c>
      <c r="B1635" s="6">
        <v>6.0</v>
      </c>
      <c r="C1635" s="7">
        <v>8.0</v>
      </c>
      <c r="D1635" s="6" t="s">
        <v>3169</v>
      </c>
      <c r="E1635" s="16">
        <v>1.0</v>
      </c>
      <c r="F1635" s="18" t="s">
        <v>1609</v>
      </c>
    </row>
    <row r="1636">
      <c r="A1636" s="5" t="s">
        <v>3259</v>
      </c>
      <c r="B1636" s="6">
        <v>6.0</v>
      </c>
      <c r="C1636" s="7">
        <v>113.0</v>
      </c>
      <c r="D1636" s="6" t="s">
        <v>3207</v>
      </c>
      <c r="E1636" s="16">
        <v>1.0</v>
      </c>
      <c r="F1636" s="18" t="s">
        <v>1610</v>
      </c>
    </row>
    <row r="1637">
      <c r="A1637" s="5" t="s">
        <v>3170</v>
      </c>
      <c r="B1637" s="6">
        <v>1.0</v>
      </c>
      <c r="C1637" s="7">
        <v>138.0</v>
      </c>
      <c r="D1637" s="6" t="s">
        <v>3219</v>
      </c>
      <c r="E1637" s="16">
        <v>1.0</v>
      </c>
      <c r="F1637" s="18" t="s">
        <v>1611</v>
      </c>
    </row>
    <row r="1638">
      <c r="A1638" s="5" t="s">
        <v>3218</v>
      </c>
      <c r="B1638" s="6">
        <v>5.0</v>
      </c>
      <c r="C1638" s="7">
        <v>125.0</v>
      </c>
      <c r="D1638" s="6" t="s">
        <v>3180</v>
      </c>
      <c r="E1638" s="16">
        <v>1.0</v>
      </c>
      <c r="F1638" s="18" t="s">
        <v>1612</v>
      </c>
    </row>
    <row r="1639">
      <c r="A1639" s="5" t="s">
        <v>3229</v>
      </c>
      <c r="B1639" s="6">
        <v>4.0</v>
      </c>
      <c r="C1639" s="7">
        <v>91.0</v>
      </c>
      <c r="D1639" s="6" t="s">
        <v>3178</v>
      </c>
      <c r="E1639" s="16">
        <v>1.0</v>
      </c>
      <c r="F1639" s="18" t="s">
        <v>1613</v>
      </c>
    </row>
    <row r="1640">
      <c r="A1640" s="5" t="s">
        <v>3234</v>
      </c>
      <c r="B1640" s="6">
        <v>6.0</v>
      </c>
      <c r="C1640" s="7">
        <v>27.0</v>
      </c>
      <c r="D1640" s="6" t="s">
        <v>3182</v>
      </c>
      <c r="E1640" s="16">
        <v>1.0</v>
      </c>
      <c r="F1640" s="18" t="s">
        <v>1614</v>
      </c>
    </row>
    <row r="1641">
      <c r="A1641" s="5" t="s">
        <v>3213</v>
      </c>
      <c r="B1641" s="6">
        <v>2.0</v>
      </c>
      <c r="C1641" s="7">
        <v>164.0</v>
      </c>
      <c r="D1641" s="6" t="s">
        <v>3232</v>
      </c>
      <c r="E1641" s="16">
        <v>5.0</v>
      </c>
      <c r="F1641" s="18" t="s">
        <v>1615</v>
      </c>
    </row>
    <row r="1642">
      <c r="A1642" s="5" t="s">
        <v>3212</v>
      </c>
      <c r="B1642" s="6">
        <v>6.0</v>
      </c>
      <c r="C1642" s="7">
        <v>166.0</v>
      </c>
      <c r="D1642" s="6" t="s">
        <v>3227</v>
      </c>
      <c r="E1642" s="16">
        <v>5.0</v>
      </c>
      <c r="F1642" s="18" t="s">
        <v>1616</v>
      </c>
    </row>
    <row r="1643">
      <c r="A1643" s="5" t="s">
        <v>3226</v>
      </c>
      <c r="B1643" s="6">
        <v>1.0</v>
      </c>
      <c r="C1643" s="7">
        <v>190.0</v>
      </c>
      <c r="D1643" s="6" t="s">
        <v>3186</v>
      </c>
      <c r="E1643" s="16">
        <v>5.0</v>
      </c>
      <c r="F1643" s="18" t="s">
        <v>1617</v>
      </c>
    </row>
    <row r="1644">
      <c r="A1644" s="5" t="s">
        <v>3209</v>
      </c>
      <c r="B1644" s="6">
        <v>4.0</v>
      </c>
      <c r="C1644" s="7">
        <v>175.0</v>
      </c>
      <c r="D1644" s="6" t="s">
        <v>3257</v>
      </c>
      <c r="E1644" s="16">
        <v>5.0</v>
      </c>
      <c r="F1644" s="18" t="s">
        <v>1618</v>
      </c>
    </row>
    <row r="1645">
      <c r="A1645" s="5" t="s">
        <v>3263</v>
      </c>
      <c r="B1645" s="6">
        <v>1.0</v>
      </c>
      <c r="C1645" s="7">
        <v>91.0</v>
      </c>
      <c r="D1645" s="6" t="s">
        <v>3178</v>
      </c>
      <c r="E1645" s="16">
        <v>5.0</v>
      </c>
      <c r="F1645" s="18" t="s">
        <v>1619</v>
      </c>
    </row>
    <row r="1646">
      <c r="A1646" s="5" t="s">
        <v>3247</v>
      </c>
      <c r="B1646" s="6">
        <v>6.0</v>
      </c>
      <c r="C1646" s="7">
        <v>16.0</v>
      </c>
      <c r="D1646" s="6" t="s">
        <v>3178</v>
      </c>
      <c r="E1646" s="16">
        <v>5.0</v>
      </c>
      <c r="F1646" s="18" t="s">
        <v>1620</v>
      </c>
    </row>
    <row r="1647">
      <c r="A1647" s="5" t="s">
        <v>3242</v>
      </c>
      <c r="B1647" s="6">
        <v>1.0</v>
      </c>
      <c r="C1647" s="7">
        <v>40.0</v>
      </c>
      <c r="D1647" s="6" t="s">
        <v>3221</v>
      </c>
      <c r="E1647" s="16">
        <v>5.0</v>
      </c>
      <c r="F1647" s="18" t="s">
        <v>1621</v>
      </c>
    </row>
    <row r="1648">
      <c r="A1648" s="5" t="s">
        <v>3205</v>
      </c>
      <c r="B1648" s="6">
        <v>1.0</v>
      </c>
      <c r="C1648" s="7">
        <v>184.0</v>
      </c>
      <c r="D1648" s="6" t="s">
        <v>3169</v>
      </c>
      <c r="E1648" s="16">
        <v>5.0</v>
      </c>
      <c r="F1648" s="18" t="s">
        <v>1622</v>
      </c>
    </row>
    <row r="1649">
      <c r="A1649" s="5" t="s">
        <v>3252</v>
      </c>
      <c r="B1649" s="6">
        <v>6.0</v>
      </c>
      <c r="C1649" s="7">
        <v>118.0</v>
      </c>
      <c r="D1649" s="6" t="s">
        <v>3200</v>
      </c>
      <c r="E1649" s="16">
        <v>5.0</v>
      </c>
      <c r="F1649" s="18" t="s">
        <v>1623</v>
      </c>
    </row>
    <row r="1650">
      <c r="A1650" s="5" t="s">
        <v>3228</v>
      </c>
      <c r="B1650" s="6">
        <v>6.0</v>
      </c>
      <c r="C1650" s="7">
        <v>70.0</v>
      </c>
      <c r="D1650" s="6" t="s">
        <v>3222</v>
      </c>
      <c r="E1650" s="16">
        <v>5.0</v>
      </c>
      <c r="F1650" s="18" t="s">
        <v>1624</v>
      </c>
    </row>
    <row r="1651">
      <c r="A1651" s="5" t="s">
        <v>3208</v>
      </c>
      <c r="B1651" s="6">
        <v>4.0</v>
      </c>
      <c r="C1651" s="7">
        <v>198.0</v>
      </c>
      <c r="D1651" s="6" t="s">
        <v>3180</v>
      </c>
      <c r="E1651" s="16">
        <v>5.0</v>
      </c>
      <c r="F1651" s="18" t="s">
        <v>1625</v>
      </c>
    </row>
    <row r="1652">
      <c r="A1652" s="5" t="s">
        <v>3237</v>
      </c>
      <c r="B1652" s="6">
        <v>2.0</v>
      </c>
      <c r="C1652" s="7">
        <v>105.0</v>
      </c>
      <c r="D1652" s="6" t="s">
        <v>3167</v>
      </c>
      <c r="E1652" s="16">
        <v>5.0</v>
      </c>
      <c r="F1652" s="18" t="s">
        <v>1626</v>
      </c>
    </row>
    <row r="1653">
      <c r="A1653" s="5" t="s">
        <v>3217</v>
      </c>
      <c r="B1653" s="6">
        <v>5.0</v>
      </c>
      <c r="C1653" s="7">
        <v>124.0</v>
      </c>
      <c r="D1653" s="6" t="s">
        <v>3238</v>
      </c>
      <c r="E1653" s="16">
        <v>5.0</v>
      </c>
      <c r="F1653" s="18" t="s">
        <v>1627</v>
      </c>
    </row>
    <row r="1654">
      <c r="A1654" s="5" t="s">
        <v>3193</v>
      </c>
      <c r="B1654" s="6">
        <v>5.0</v>
      </c>
      <c r="C1654" s="7">
        <v>136.0</v>
      </c>
      <c r="D1654" s="6" t="s">
        <v>3221</v>
      </c>
      <c r="E1654" s="16">
        <v>5.0</v>
      </c>
      <c r="F1654" s="18" t="s">
        <v>1628</v>
      </c>
    </row>
    <row r="1655">
      <c r="A1655" s="5" t="s">
        <v>3233</v>
      </c>
      <c r="B1655" s="6">
        <v>6.0</v>
      </c>
      <c r="C1655" s="7">
        <v>94.0</v>
      </c>
      <c r="D1655" s="6" t="s">
        <v>3239</v>
      </c>
      <c r="E1655" s="16">
        <v>5.0</v>
      </c>
      <c r="F1655" s="18" t="s">
        <v>1629</v>
      </c>
    </row>
    <row r="1656">
      <c r="A1656" s="5" t="s">
        <v>3264</v>
      </c>
      <c r="B1656" s="6">
        <v>4.0</v>
      </c>
      <c r="C1656" s="7">
        <v>168.0</v>
      </c>
      <c r="D1656" s="6" t="s">
        <v>3194</v>
      </c>
      <c r="E1656" s="16">
        <v>5.0</v>
      </c>
      <c r="F1656" s="18" t="s">
        <v>1630</v>
      </c>
    </row>
    <row r="1657">
      <c r="A1657" s="5" t="s">
        <v>3212</v>
      </c>
      <c r="B1657" s="6">
        <v>6.0</v>
      </c>
      <c r="C1657" s="7">
        <v>189.0</v>
      </c>
      <c r="D1657" s="6" t="s">
        <v>3225</v>
      </c>
      <c r="E1657" s="16">
        <v>5.0</v>
      </c>
      <c r="F1657" s="18" t="s">
        <v>1631</v>
      </c>
    </row>
    <row r="1658">
      <c r="A1658" s="5" t="s">
        <v>3264</v>
      </c>
      <c r="B1658" s="6">
        <v>4.0</v>
      </c>
      <c r="C1658" s="7">
        <v>41.0</v>
      </c>
      <c r="D1658" s="6" t="s">
        <v>3238</v>
      </c>
      <c r="E1658" s="16">
        <v>5.0</v>
      </c>
      <c r="F1658" s="18" t="s">
        <v>1632</v>
      </c>
    </row>
    <row r="1659">
      <c r="A1659" s="5" t="s">
        <v>3244</v>
      </c>
      <c r="B1659" s="6">
        <v>1.0</v>
      </c>
      <c r="C1659" s="7">
        <v>172.0</v>
      </c>
      <c r="D1659" s="6" t="s">
        <v>3178</v>
      </c>
      <c r="E1659" s="16">
        <v>4.0</v>
      </c>
      <c r="F1659" s="18" t="s">
        <v>1633</v>
      </c>
    </row>
    <row r="1660">
      <c r="A1660" s="5" t="s">
        <v>3224</v>
      </c>
      <c r="B1660" s="6">
        <v>6.0</v>
      </c>
      <c r="C1660" s="7">
        <v>128.0</v>
      </c>
      <c r="D1660" s="6" t="s">
        <v>3211</v>
      </c>
      <c r="E1660" s="16">
        <v>4.0</v>
      </c>
      <c r="F1660" s="18" t="s">
        <v>1634</v>
      </c>
    </row>
    <row r="1661">
      <c r="A1661" s="5" t="s">
        <v>3185</v>
      </c>
      <c r="B1661" s="6">
        <v>1.0</v>
      </c>
      <c r="C1661" s="7">
        <v>138.0</v>
      </c>
      <c r="D1661" s="6" t="s">
        <v>3219</v>
      </c>
      <c r="E1661" s="16">
        <v>4.0</v>
      </c>
      <c r="F1661" s="18" t="s">
        <v>1635</v>
      </c>
    </row>
    <row r="1662">
      <c r="A1662" s="5" t="s">
        <v>3269</v>
      </c>
      <c r="B1662" s="6">
        <v>6.0</v>
      </c>
      <c r="C1662" s="7">
        <v>25.0</v>
      </c>
      <c r="D1662" s="6" t="s">
        <v>3173</v>
      </c>
      <c r="E1662" s="16">
        <v>4.0</v>
      </c>
      <c r="F1662" s="18" t="s">
        <v>1636</v>
      </c>
    </row>
    <row r="1663">
      <c r="A1663" s="5" t="s">
        <v>3199</v>
      </c>
      <c r="B1663" s="6">
        <v>3.0</v>
      </c>
      <c r="C1663" s="7">
        <v>103.0</v>
      </c>
      <c r="D1663" s="6" t="s">
        <v>3254</v>
      </c>
      <c r="E1663" s="16">
        <v>4.0</v>
      </c>
      <c r="F1663" s="18" t="s">
        <v>1637</v>
      </c>
    </row>
    <row r="1664">
      <c r="A1664" s="5" t="s">
        <v>3217</v>
      </c>
      <c r="B1664" s="6">
        <v>5.0</v>
      </c>
      <c r="C1664" s="7">
        <v>144.0</v>
      </c>
      <c r="D1664" s="6" t="s">
        <v>3173</v>
      </c>
      <c r="E1664" s="16">
        <v>4.0</v>
      </c>
      <c r="F1664" s="18" t="s">
        <v>1638</v>
      </c>
    </row>
    <row r="1665">
      <c r="A1665" s="5" t="s">
        <v>3209</v>
      </c>
      <c r="B1665" s="6">
        <v>4.0</v>
      </c>
      <c r="C1665" s="7">
        <v>164.0</v>
      </c>
      <c r="D1665" s="6" t="s">
        <v>3232</v>
      </c>
      <c r="E1665" s="16">
        <v>4.0</v>
      </c>
      <c r="F1665" s="18" t="s">
        <v>1639</v>
      </c>
    </row>
    <row r="1666">
      <c r="A1666" s="5" t="s">
        <v>3231</v>
      </c>
      <c r="B1666" s="6">
        <v>4.0</v>
      </c>
      <c r="C1666" s="7">
        <v>108.0</v>
      </c>
      <c r="D1666" s="6" t="s">
        <v>3198</v>
      </c>
      <c r="E1666" s="16">
        <v>4.0</v>
      </c>
      <c r="F1666" s="18" t="s">
        <v>949</v>
      </c>
    </row>
    <row r="1667">
      <c r="A1667" s="5" t="s">
        <v>3206</v>
      </c>
      <c r="B1667" s="6">
        <v>6.0</v>
      </c>
      <c r="C1667" s="7">
        <v>179.0</v>
      </c>
      <c r="D1667" s="6" t="s">
        <v>3214</v>
      </c>
      <c r="E1667" s="16">
        <v>3.0</v>
      </c>
      <c r="F1667" s="18" t="s">
        <v>1640</v>
      </c>
    </row>
    <row r="1668">
      <c r="A1668" s="5" t="s">
        <v>3247</v>
      </c>
      <c r="B1668" s="6">
        <v>6.0</v>
      </c>
      <c r="C1668" s="7">
        <v>95.0</v>
      </c>
      <c r="D1668" s="6" t="s">
        <v>3227</v>
      </c>
      <c r="E1668" s="16">
        <v>3.0</v>
      </c>
      <c r="F1668" s="18" t="s">
        <v>1641</v>
      </c>
    </row>
    <row r="1669">
      <c r="A1669" s="5" t="s">
        <v>3170</v>
      </c>
      <c r="B1669" s="6">
        <v>1.0</v>
      </c>
      <c r="C1669" s="7">
        <v>28.0</v>
      </c>
      <c r="D1669" s="6" t="s">
        <v>3188</v>
      </c>
      <c r="E1669" s="16">
        <v>3.0</v>
      </c>
      <c r="F1669" s="18" t="s">
        <v>1642</v>
      </c>
    </row>
    <row r="1670">
      <c r="A1670" s="5" t="s">
        <v>3212</v>
      </c>
      <c r="B1670" s="6">
        <v>6.0</v>
      </c>
      <c r="C1670" s="7">
        <v>159.0</v>
      </c>
      <c r="D1670" s="6" t="s">
        <v>3188</v>
      </c>
      <c r="E1670" s="16">
        <v>3.0</v>
      </c>
      <c r="F1670" s="18" t="s">
        <v>1643</v>
      </c>
    </row>
    <row r="1671">
      <c r="A1671" s="5" t="s">
        <v>3199</v>
      </c>
      <c r="B1671" s="6">
        <v>3.0</v>
      </c>
      <c r="C1671" s="7">
        <v>115.0</v>
      </c>
      <c r="D1671" s="6" t="s">
        <v>3173</v>
      </c>
      <c r="E1671" s="16">
        <v>3.0</v>
      </c>
      <c r="F1671" s="18" t="s">
        <v>1644</v>
      </c>
    </row>
    <row r="1672">
      <c r="A1672" s="5" t="s">
        <v>3244</v>
      </c>
      <c r="B1672" s="6">
        <v>1.0</v>
      </c>
      <c r="C1672" s="7">
        <v>53.0</v>
      </c>
      <c r="D1672" s="6" t="s">
        <v>3249</v>
      </c>
      <c r="E1672" s="16">
        <v>3.0</v>
      </c>
      <c r="F1672" s="18" t="s">
        <v>1645</v>
      </c>
    </row>
    <row r="1673">
      <c r="A1673" s="5" t="s">
        <v>3218</v>
      </c>
      <c r="B1673" s="6">
        <v>5.0</v>
      </c>
      <c r="C1673" s="7">
        <v>6.0</v>
      </c>
      <c r="D1673" s="6" t="s">
        <v>3180</v>
      </c>
      <c r="E1673" s="16">
        <v>3.0</v>
      </c>
      <c r="F1673" s="18" t="s">
        <v>1646</v>
      </c>
    </row>
    <row r="1674">
      <c r="A1674" s="5" t="s">
        <v>3205</v>
      </c>
      <c r="B1674" s="6">
        <v>1.0</v>
      </c>
      <c r="C1674" s="7">
        <v>128.0</v>
      </c>
      <c r="D1674" s="6" t="s">
        <v>3211</v>
      </c>
      <c r="E1674" s="16">
        <v>3.0</v>
      </c>
      <c r="F1674" s="18" t="s">
        <v>1647</v>
      </c>
    </row>
    <row r="1675">
      <c r="A1675" s="5" t="s">
        <v>3213</v>
      </c>
      <c r="B1675" s="6">
        <v>2.0</v>
      </c>
      <c r="C1675" s="7">
        <v>22.0</v>
      </c>
      <c r="D1675" s="6" t="s">
        <v>3167</v>
      </c>
      <c r="E1675" s="16">
        <v>2.0</v>
      </c>
      <c r="F1675" s="18" t="s">
        <v>1648</v>
      </c>
    </row>
    <row r="1676">
      <c r="A1676" s="5" t="s">
        <v>3265</v>
      </c>
      <c r="B1676" s="6">
        <v>1.0</v>
      </c>
      <c r="C1676" s="7">
        <v>88.0</v>
      </c>
      <c r="D1676" s="6" t="s">
        <v>3167</v>
      </c>
      <c r="E1676" s="16">
        <v>2.0</v>
      </c>
      <c r="F1676" s="18" t="s">
        <v>1649</v>
      </c>
    </row>
    <row r="1677">
      <c r="A1677" s="5" t="s">
        <v>3242</v>
      </c>
      <c r="B1677" s="6">
        <v>1.0</v>
      </c>
      <c r="C1677" s="7">
        <v>187.0</v>
      </c>
      <c r="D1677" s="6" t="s">
        <v>3254</v>
      </c>
      <c r="E1677" s="16">
        <v>2.0</v>
      </c>
      <c r="F1677" s="18" t="s">
        <v>1650</v>
      </c>
    </row>
    <row r="1678">
      <c r="A1678" s="5" t="s">
        <v>3201</v>
      </c>
      <c r="B1678" s="6">
        <v>5.0</v>
      </c>
      <c r="C1678" s="7">
        <v>167.0</v>
      </c>
      <c r="D1678" s="6" t="s">
        <v>3254</v>
      </c>
      <c r="E1678" s="16">
        <v>2.0</v>
      </c>
      <c r="F1678" s="18" t="s">
        <v>1651</v>
      </c>
    </row>
    <row r="1679">
      <c r="A1679" s="5" t="s">
        <v>3231</v>
      </c>
      <c r="B1679" s="6">
        <v>4.0</v>
      </c>
      <c r="C1679" s="7">
        <v>48.0</v>
      </c>
      <c r="D1679" s="6" t="s">
        <v>3232</v>
      </c>
      <c r="E1679" s="16">
        <v>2.0</v>
      </c>
      <c r="F1679" s="18" t="s">
        <v>1652</v>
      </c>
    </row>
    <row r="1680">
      <c r="A1680" s="5" t="s">
        <v>3201</v>
      </c>
      <c r="B1680" s="6">
        <v>5.0</v>
      </c>
      <c r="C1680" s="7">
        <v>106.0</v>
      </c>
      <c r="D1680" s="6" t="s">
        <v>3167</v>
      </c>
      <c r="E1680" s="16">
        <v>2.0</v>
      </c>
      <c r="F1680" s="18" t="s">
        <v>1653</v>
      </c>
    </row>
    <row r="1681">
      <c r="A1681" s="5" t="s">
        <v>3237</v>
      </c>
      <c r="B1681" s="6">
        <v>2.0</v>
      </c>
      <c r="C1681" s="7">
        <v>23.0</v>
      </c>
      <c r="D1681" s="6" t="s">
        <v>3219</v>
      </c>
      <c r="E1681" s="16">
        <v>2.0</v>
      </c>
      <c r="F1681" s="18" t="s">
        <v>1654</v>
      </c>
    </row>
    <row r="1682">
      <c r="A1682" s="5" t="s">
        <v>3233</v>
      </c>
      <c r="B1682" s="6">
        <v>6.0</v>
      </c>
      <c r="C1682" s="7">
        <v>171.0</v>
      </c>
      <c r="D1682" s="6" t="s">
        <v>3245</v>
      </c>
      <c r="E1682" s="16">
        <v>2.0</v>
      </c>
      <c r="F1682" s="18" t="s">
        <v>1655</v>
      </c>
    </row>
    <row r="1683">
      <c r="A1683" s="5" t="s">
        <v>3202</v>
      </c>
      <c r="B1683" s="6">
        <v>4.0</v>
      </c>
      <c r="C1683" s="7">
        <v>152.0</v>
      </c>
      <c r="D1683" s="6" t="s">
        <v>3203</v>
      </c>
      <c r="E1683" s="16">
        <v>2.0</v>
      </c>
      <c r="F1683" s="18" t="s">
        <v>1656</v>
      </c>
    </row>
    <row r="1684">
      <c r="A1684" s="5" t="s">
        <v>3224</v>
      </c>
      <c r="B1684" s="6">
        <v>6.0</v>
      </c>
      <c r="C1684" s="7">
        <v>11.0</v>
      </c>
      <c r="D1684" s="6" t="s">
        <v>3180</v>
      </c>
      <c r="E1684" s="16">
        <v>2.0</v>
      </c>
      <c r="F1684" s="18" t="s">
        <v>1657</v>
      </c>
    </row>
    <row r="1685">
      <c r="A1685" s="5" t="s">
        <v>3230</v>
      </c>
      <c r="B1685" s="6">
        <v>1.0</v>
      </c>
      <c r="C1685" s="7">
        <v>82.0</v>
      </c>
      <c r="D1685" s="6" t="s">
        <v>3190</v>
      </c>
      <c r="E1685" s="16">
        <v>2.0</v>
      </c>
      <c r="F1685" s="18" t="s">
        <v>1658</v>
      </c>
    </row>
    <row r="1686">
      <c r="A1686" s="5" t="s">
        <v>3250</v>
      </c>
      <c r="B1686" s="6">
        <v>4.0</v>
      </c>
      <c r="C1686" s="7">
        <v>89.0</v>
      </c>
      <c r="D1686" s="6" t="s">
        <v>3262</v>
      </c>
      <c r="E1686" s="16">
        <v>2.0</v>
      </c>
      <c r="F1686" s="18" t="s">
        <v>1659</v>
      </c>
    </row>
    <row r="1687">
      <c r="A1687" s="5" t="s">
        <v>3168</v>
      </c>
      <c r="B1687" s="6">
        <v>1.0</v>
      </c>
      <c r="C1687" s="7">
        <v>182.0</v>
      </c>
      <c r="D1687" s="6" t="s">
        <v>3238</v>
      </c>
      <c r="E1687" s="16">
        <v>1.0</v>
      </c>
      <c r="F1687" s="18" t="s">
        <v>1660</v>
      </c>
    </row>
    <row r="1688">
      <c r="A1688" s="5" t="s">
        <v>3230</v>
      </c>
      <c r="B1688" s="6">
        <v>1.0</v>
      </c>
      <c r="C1688" s="7">
        <v>87.0</v>
      </c>
      <c r="D1688" s="6" t="s">
        <v>3227</v>
      </c>
      <c r="E1688" s="16">
        <v>1.0</v>
      </c>
      <c r="F1688" s="18" t="s">
        <v>1661</v>
      </c>
    </row>
    <row r="1689">
      <c r="A1689" s="5" t="s">
        <v>3260</v>
      </c>
      <c r="B1689" s="6">
        <v>1.0</v>
      </c>
      <c r="C1689" s="7">
        <v>52.0</v>
      </c>
      <c r="D1689" s="6" t="s">
        <v>3194</v>
      </c>
      <c r="E1689" s="16">
        <v>1.0</v>
      </c>
      <c r="F1689" s="18" t="s">
        <v>1662</v>
      </c>
    </row>
    <row r="1690">
      <c r="A1690" s="5" t="s">
        <v>3248</v>
      </c>
      <c r="B1690" s="6">
        <v>3.0</v>
      </c>
      <c r="C1690" s="7">
        <v>45.0</v>
      </c>
      <c r="D1690" s="6" t="s">
        <v>3241</v>
      </c>
      <c r="E1690" s="16">
        <v>1.0</v>
      </c>
      <c r="F1690" s="18" t="s">
        <v>1663</v>
      </c>
    </row>
    <row r="1691">
      <c r="A1691" s="5" t="s">
        <v>3175</v>
      </c>
      <c r="B1691" s="6">
        <v>5.0</v>
      </c>
      <c r="C1691" s="7">
        <v>48.0</v>
      </c>
      <c r="D1691" s="6" t="s">
        <v>3232</v>
      </c>
      <c r="E1691" s="16">
        <v>1.0</v>
      </c>
      <c r="F1691" s="18" t="s">
        <v>1664</v>
      </c>
    </row>
    <row r="1692">
      <c r="A1692" s="5" t="s">
        <v>3218</v>
      </c>
      <c r="B1692" s="6">
        <v>5.0</v>
      </c>
      <c r="C1692" s="7">
        <v>25.0</v>
      </c>
      <c r="D1692" s="6" t="s">
        <v>3173</v>
      </c>
      <c r="E1692" s="16">
        <v>1.0</v>
      </c>
      <c r="F1692" s="18" t="s">
        <v>1665</v>
      </c>
    </row>
    <row r="1693">
      <c r="A1693" s="5" t="s">
        <v>3256</v>
      </c>
      <c r="B1693" s="6">
        <v>6.0</v>
      </c>
      <c r="C1693" s="7">
        <v>104.0</v>
      </c>
      <c r="D1693" s="6" t="s">
        <v>3257</v>
      </c>
      <c r="E1693" s="16">
        <v>1.0</v>
      </c>
      <c r="F1693" s="18" t="s">
        <v>1666</v>
      </c>
    </row>
    <row r="1694">
      <c r="A1694" s="5" t="s">
        <v>3177</v>
      </c>
      <c r="B1694" s="6">
        <v>5.0</v>
      </c>
      <c r="C1694" s="7">
        <v>56.0</v>
      </c>
      <c r="D1694" s="6" t="s">
        <v>3186</v>
      </c>
      <c r="E1694" s="16">
        <v>1.0</v>
      </c>
      <c r="F1694" s="18" t="s">
        <v>1667</v>
      </c>
    </row>
    <row r="1695">
      <c r="A1695" s="5" t="s">
        <v>3240</v>
      </c>
      <c r="B1695" s="6">
        <v>2.0</v>
      </c>
      <c r="C1695" s="7">
        <v>84.0</v>
      </c>
      <c r="D1695" s="6" t="s">
        <v>3203</v>
      </c>
      <c r="E1695" s="16">
        <v>1.0</v>
      </c>
      <c r="F1695" s="18" t="s">
        <v>1668</v>
      </c>
    </row>
    <row r="1696">
      <c r="A1696" s="5" t="s">
        <v>3234</v>
      </c>
      <c r="B1696" s="6">
        <v>6.0</v>
      </c>
      <c r="C1696" s="7">
        <v>140.0</v>
      </c>
      <c r="D1696" s="6" t="s">
        <v>3190</v>
      </c>
      <c r="E1696" s="16">
        <v>1.0</v>
      </c>
      <c r="F1696" s="18" t="s">
        <v>1669</v>
      </c>
    </row>
    <row r="1697">
      <c r="A1697" s="5" t="s">
        <v>3230</v>
      </c>
      <c r="B1697" s="6">
        <v>1.0</v>
      </c>
      <c r="C1697" s="7">
        <v>68.0</v>
      </c>
      <c r="D1697" s="6" t="s">
        <v>3182</v>
      </c>
      <c r="E1697" s="16">
        <v>1.0</v>
      </c>
      <c r="F1697" s="18" t="s">
        <v>1670</v>
      </c>
    </row>
    <row r="1698">
      <c r="A1698" s="5" t="s">
        <v>3228</v>
      </c>
      <c r="B1698" s="6">
        <v>6.0</v>
      </c>
      <c r="C1698" s="7">
        <v>131.0</v>
      </c>
      <c r="D1698" s="6" t="s">
        <v>3227</v>
      </c>
      <c r="E1698" s="16">
        <v>5.0</v>
      </c>
      <c r="F1698" s="18" t="s">
        <v>1671</v>
      </c>
    </row>
    <row r="1699">
      <c r="A1699" s="5" t="s">
        <v>3259</v>
      </c>
      <c r="B1699" s="6">
        <v>6.0</v>
      </c>
      <c r="C1699" s="7">
        <v>102.0</v>
      </c>
      <c r="D1699" s="6" t="s">
        <v>3178</v>
      </c>
      <c r="E1699" s="16">
        <v>5.0</v>
      </c>
      <c r="F1699" s="18" t="s">
        <v>1672</v>
      </c>
    </row>
    <row r="1700">
      <c r="A1700" s="5" t="s">
        <v>3231</v>
      </c>
      <c r="B1700" s="6">
        <v>4.0</v>
      </c>
      <c r="C1700" s="7">
        <v>127.0</v>
      </c>
      <c r="D1700" s="6" t="s">
        <v>3262</v>
      </c>
      <c r="E1700" s="16">
        <v>5.0</v>
      </c>
      <c r="F1700" s="18" t="s">
        <v>1673</v>
      </c>
    </row>
    <row r="1701">
      <c r="A1701" s="5" t="s">
        <v>3261</v>
      </c>
      <c r="B1701" s="6">
        <v>4.0</v>
      </c>
      <c r="C1701" s="7">
        <v>99.0</v>
      </c>
      <c r="D1701" s="6" t="s">
        <v>3200</v>
      </c>
      <c r="E1701" s="16">
        <v>5.0</v>
      </c>
      <c r="F1701" s="18" t="s">
        <v>1674</v>
      </c>
    </row>
    <row r="1702">
      <c r="A1702" s="5" t="s">
        <v>3166</v>
      </c>
      <c r="B1702" s="6">
        <v>6.0</v>
      </c>
      <c r="C1702" s="7">
        <v>194.0</v>
      </c>
      <c r="D1702" s="6" t="s">
        <v>3215</v>
      </c>
      <c r="E1702" s="16">
        <v>5.0</v>
      </c>
      <c r="F1702" s="18" t="s">
        <v>1675</v>
      </c>
    </row>
    <row r="1703">
      <c r="A1703" s="5" t="s">
        <v>3243</v>
      </c>
      <c r="B1703" s="6">
        <v>4.0</v>
      </c>
      <c r="C1703" s="7">
        <v>17.0</v>
      </c>
      <c r="D1703" s="6" t="s">
        <v>3241</v>
      </c>
      <c r="E1703" s="16">
        <v>5.0</v>
      </c>
      <c r="F1703" s="18" t="s">
        <v>1676</v>
      </c>
    </row>
    <row r="1704">
      <c r="A1704" s="5" t="s">
        <v>3168</v>
      </c>
      <c r="B1704" s="6">
        <v>1.0</v>
      </c>
      <c r="C1704" s="7">
        <v>186.0</v>
      </c>
      <c r="D1704" s="6" t="s">
        <v>3222</v>
      </c>
      <c r="E1704" s="16">
        <v>5.0</v>
      </c>
      <c r="F1704" s="18" t="s">
        <v>1677</v>
      </c>
    </row>
    <row r="1705">
      <c r="A1705" s="5" t="s">
        <v>3195</v>
      </c>
      <c r="B1705" s="6">
        <v>4.0</v>
      </c>
      <c r="C1705" s="7">
        <v>85.0</v>
      </c>
      <c r="D1705" s="6" t="s">
        <v>3192</v>
      </c>
      <c r="E1705" s="16">
        <v>5.0</v>
      </c>
      <c r="F1705" s="18" t="s">
        <v>1678</v>
      </c>
    </row>
    <row r="1706">
      <c r="A1706" s="5" t="s">
        <v>3201</v>
      </c>
      <c r="B1706" s="6">
        <v>5.0</v>
      </c>
      <c r="C1706" s="7">
        <v>183.0</v>
      </c>
      <c r="D1706" s="6" t="s">
        <v>3182</v>
      </c>
      <c r="E1706" s="16">
        <v>5.0</v>
      </c>
      <c r="F1706" s="18" t="s">
        <v>1679</v>
      </c>
    </row>
    <row r="1707">
      <c r="A1707" s="5" t="s">
        <v>3265</v>
      </c>
      <c r="B1707" s="6">
        <v>1.0</v>
      </c>
      <c r="C1707" s="7">
        <v>70.0</v>
      </c>
      <c r="D1707" s="6" t="s">
        <v>3222</v>
      </c>
      <c r="E1707" s="16">
        <v>5.0</v>
      </c>
      <c r="F1707" s="18" t="s">
        <v>1680</v>
      </c>
    </row>
    <row r="1708">
      <c r="A1708" s="5" t="s">
        <v>3177</v>
      </c>
      <c r="B1708" s="6">
        <v>5.0</v>
      </c>
      <c r="C1708" s="7">
        <v>39.0</v>
      </c>
      <c r="D1708" s="6" t="s">
        <v>3254</v>
      </c>
      <c r="E1708" s="16">
        <v>5.0</v>
      </c>
      <c r="F1708" s="18" t="s">
        <v>1681</v>
      </c>
    </row>
    <row r="1709">
      <c r="A1709" s="5" t="s">
        <v>3252</v>
      </c>
      <c r="B1709" s="6">
        <v>6.0</v>
      </c>
      <c r="C1709" s="7">
        <v>110.0</v>
      </c>
      <c r="D1709" s="6" t="s">
        <v>3211</v>
      </c>
      <c r="E1709" s="16">
        <v>5.0</v>
      </c>
      <c r="F1709" s="18" t="s">
        <v>1682</v>
      </c>
    </row>
    <row r="1710">
      <c r="A1710" s="5" t="s">
        <v>3177</v>
      </c>
      <c r="B1710" s="6">
        <v>5.0</v>
      </c>
      <c r="C1710" s="7">
        <v>43.0</v>
      </c>
      <c r="D1710" s="6" t="s">
        <v>3214</v>
      </c>
      <c r="E1710" s="16">
        <v>5.0</v>
      </c>
      <c r="F1710" s="18" t="s">
        <v>1683</v>
      </c>
    </row>
    <row r="1711">
      <c r="A1711" s="5" t="s">
        <v>3175</v>
      </c>
      <c r="B1711" s="6">
        <v>5.0</v>
      </c>
      <c r="C1711" s="7">
        <v>123.0</v>
      </c>
      <c r="D1711" s="6" t="s">
        <v>3192</v>
      </c>
      <c r="E1711" s="16">
        <v>5.0</v>
      </c>
      <c r="F1711" s="18" t="s">
        <v>1684</v>
      </c>
    </row>
    <row r="1712">
      <c r="A1712" s="5" t="s">
        <v>3250</v>
      </c>
      <c r="B1712" s="6">
        <v>4.0</v>
      </c>
      <c r="C1712" s="7">
        <v>138.0</v>
      </c>
      <c r="D1712" s="6" t="s">
        <v>3219</v>
      </c>
      <c r="E1712" s="16">
        <v>5.0</v>
      </c>
      <c r="F1712" s="18" t="s">
        <v>1685</v>
      </c>
    </row>
    <row r="1713">
      <c r="A1713" s="5" t="s">
        <v>3253</v>
      </c>
      <c r="B1713" s="6">
        <v>1.0</v>
      </c>
      <c r="C1713" s="7">
        <v>49.0</v>
      </c>
      <c r="D1713" s="6" t="s">
        <v>3254</v>
      </c>
      <c r="E1713" s="16">
        <v>4.0</v>
      </c>
      <c r="F1713" s="18" t="s">
        <v>1686</v>
      </c>
    </row>
    <row r="1714">
      <c r="A1714" s="5" t="s">
        <v>3252</v>
      </c>
      <c r="B1714" s="6">
        <v>6.0</v>
      </c>
      <c r="C1714" s="7">
        <v>180.0</v>
      </c>
      <c r="D1714" s="6" t="s">
        <v>3192</v>
      </c>
      <c r="E1714" s="16">
        <v>4.0</v>
      </c>
      <c r="F1714" s="18" t="s">
        <v>1687</v>
      </c>
    </row>
    <row r="1715">
      <c r="A1715" s="5" t="s">
        <v>3233</v>
      </c>
      <c r="B1715" s="6">
        <v>6.0</v>
      </c>
      <c r="C1715" s="7">
        <v>30.0</v>
      </c>
      <c r="D1715" s="6" t="s">
        <v>3171</v>
      </c>
      <c r="E1715" s="16">
        <v>4.0</v>
      </c>
      <c r="F1715" s="18" t="s">
        <v>1688</v>
      </c>
    </row>
    <row r="1716">
      <c r="A1716" s="5" t="s">
        <v>3253</v>
      </c>
      <c r="B1716" s="6">
        <v>1.0</v>
      </c>
      <c r="C1716" s="7">
        <v>11.0</v>
      </c>
      <c r="D1716" s="6" t="s">
        <v>3180</v>
      </c>
      <c r="E1716" s="16">
        <v>4.0</v>
      </c>
      <c r="F1716" s="18" t="s">
        <v>1689</v>
      </c>
    </row>
    <row r="1717">
      <c r="A1717" s="5" t="s">
        <v>3199</v>
      </c>
      <c r="B1717" s="6">
        <v>3.0</v>
      </c>
      <c r="C1717" s="7">
        <v>28.0</v>
      </c>
      <c r="D1717" s="6" t="s">
        <v>3188</v>
      </c>
      <c r="E1717" s="16">
        <v>4.0</v>
      </c>
      <c r="F1717" s="18" t="s">
        <v>1690</v>
      </c>
    </row>
    <row r="1718">
      <c r="A1718" s="5" t="s">
        <v>3216</v>
      </c>
      <c r="B1718" s="6">
        <v>6.0</v>
      </c>
      <c r="C1718" s="7">
        <v>183.0</v>
      </c>
      <c r="D1718" s="6" t="s">
        <v>3182</v>
      </c>
      <c r="E1718" s="16">
        <v>4.0</v>
      </c>
      <c r="F1718" s="18" t="s">
        <v>1691</v>
      </c>
    </row>
    <row r="1719">
      <c r="A1719" s="5" t="s">
        <v>3172</v>
      </c>
      <c r="B1719" s="6">
        <v>1.0</v>
      </c>
      <c r="C1719" s="7">
        <v>147.0</v>
      </c>
      <c r="D1719" s="6" t="s">
        <v>3196</v>
      </c>
      <c r="E1719" s="16">
        <v>4.0</v>
      </c>
      <c r="F1719" s="18" t="s">
        <v>1692</v>
      </c>
    </row>
    <row r="1720">
      <c r="A1720" s="5" t="s">
        <v>3255</v>
      </c>
      <c r="B1720" s="6">
        <v>6.0</v>
      </c>
      <c r="C1720" s="7">
        <v>149.0</v>
      </c>
      <c r="D1720" s="6" t="s">
        <v>3239</v>
      </c>
      <c r="E1720" s="16">
        <v>4.0</v>
      </c>
      <c r="F1720" s="18" t="s">
        <v>318</v>
      </c>
    </row>
    <row r="1721">
      <c r="A1721" s="5" t="s">
        <v>3204</v>
      </c>
      <c r="B1721" s="6">
        <v>1.0</v>
      </c>
      <c r="C1721" s="7">
        <v>107.0</v>
      </c>
      <c r="D1721" s="6" t="s">
        <v>3207</v>
      </c>
      <c r="E1721" s="16">
        <v>4.0</v>
      </c>
      <c r="F1721" s="18" t="s">
        <v>1693</v>
      </c>
    </row>
    <row r="1722">
      <c r="A1722" s="5" t="s">
        <v>3191</v>
      </c>
      <c r="B1722" s="6">
        <v>5.0</v>
      </c>
      <c r="C1722" s="7">
        <v>190.0</v>
      </c>
      <c r="D1722" s="6" t="s">
        <v>3186</v>
      </c>
      <c r="E1722" s="16">
        <v>4.0</v>
      </c>
      <c r="F1722" s="18" t="s">
        <v>1694</v>
      </c>
    </row>
    <row r="1723">
      <c r="A1723" s="5" t="s">
        <v>3253</v>
      </c>
      <c r="B1723" s="6">
        <v>1.0</v>
      </c>
      <c r="C1723" s="7">
        <v>15.0</v>
      </c>
      <c r="D1723" s="6" t="s">
        <v>3254</v>
      </c>
      <c r="E1723" s="16">
        <v>4.0</v>
      </c>
      <c r="F1723" s="18" t="s">
        <v>1695</v>
      </c>
    </row>
    <row r="1724">
      <c r="A1724" s="5" t="s">
        <v>3264</v>
      </c>
      <c r="B1724" s="6">
        <v>4.0</v>
      </c>
      <c r="C1724" s="7">
        <v>192.0</v>
      </c>
      <c r="D1724" s="6" t="s">
        <v>3186</v>
      </c>
      <c r="E1724" s="16">
        <v>4.0</v>
      </c>
      <c r="F1724" s="18" t="s">
        <v>1696</v>
      </c>
    </row>
    <row r="1725">
      <c r="A1725" s="5" t="s">
        <v>3246</v>
      </c>
      <c r="B1725" s="6">
        <v>4.0</v>
      </c>
      <c r="C1725" s="7">
        <v>169.0</v>
      </c>
      <c r="D1725" s="6" t="s">
        <v>3200</v>
      </c>
      <c r="E1725" s="16">
        <v>4.0</v>
      </c>
      <c r="F1725" s="18" t="s">
        <v>1697</v>
      </c>
    </row>
    <row r="1726">
      <c r="A1726" s="5" t="s">
        <v>3234</v>
      </c>
      <c r="B1726" s="6">
        <v>6.0</v>
      </c>
      <c r="C1726" s="7">
        <v>71.0</v>
      </c>
      <c r="D1726" s="6" t="s">
        <v>3176</v>
      </c>
      <c r="E1726" s="16">
        <v>3.0</v>
      </c>
      <c r="F1726" s="18" t="s">
        <v>1698</v>
      </c>
    </row>
    <row r="1727">
      <c r="A1727" s="5" t="s">
        <v>3204</v>
      </c>
      <c r="B1727" s="6">
        <v>1.0</v>
      </c>
      <c r="C1727" s="7">
        <v>82.0</v>
      </c>
      <c r="D1727" s="6" t="s">
        <v>3190</v>
      </c>
      <c r="E1727" s="16">
        <v>3.0</v>
      </c>
      <c r="F1727" s="18" t="s">
        <v>1699</v>
      </c>
    </row>
    <row r="1728">
      <c r="A1728" s="5" t="s">
        <v>3226</v>
      </c>
      <c r="B1728" s="6">
        <v>1.0</v>
      </c>
      <c r="C1728" s="7">
        <v>184.0</v>
      </c>
      <c r="D1728" s="6" t="s">
        <v>3169</v>
      </c>
      <c r="E1728" s="16">
        <v>3.0</v>
      </c>
      <c r="F1728" s="18" t="s">
        <v>1700</v>
      </c>
    </row>
    <row r="1729">
      <c r="A1729" s="5" t="s">
        <v>3172</v>
      </c>
      <c r="B1729" s="6">
        <v>1.0</v>
      </c>
      <c r="C1729" s="7">
        <v>50.0</v>
      </c>
      <c r="D1729" s="6" t="s">
        <v>3238</v>
      </c>
      <c r="E1729" s="16">
        <v>2.0</v>
      </c>
      <c r="F1729" s="18" t="s">
        <v>1701</v>
      </c>
    </row>
    <row r="1730">
      <c r="A1730" s="5" t="s">
        <v>3231</v>
      </c>
      <c r="B1730" s="6">
        <v>4.0</v>
      </c>
      <c r="C1730" s="7">
        <v>17.0</v>
      </c>
      <c r="D1730" s="6" t="s">
        <v>3241</v>
      </c>
      <c r="E1730" s="16">
        <v>2.0</v>
      </c>
      <c r="F1730" s="18" t="s">
        <v>1702</v>
      </c>
    </row>
    <row r="1731">
      <c r="A1731" s="5" t="s">
        <v>3213</v>
      </c>
      <c r="B1731" s="6">
        <v>2.0</v>
      </c>
      <c r="C1731" s="7">
        <v>144.0</v>
      </c>
      <c r="D1731" s="6" t="s">
        <v>3173</v>
      </c>
      <c r="E1731" s="16">
        <v>2.0</v>
      </c>
      <c r="F1731" s="18" t="s">
        <v>1703</v>
      </c>
    </row>
    <row r="1732">
      <c r="A1732" s="5" t="s">
        <v>3213</v>
      </c>
      <c r="B1732" s="6">
        <v>2.0</v>
      </c>
      <c r="C1732" s="7">
        <v>79.0</v>
      </c>
      <c r="D1732" s="6" t="s">
        <v>3232</v>
      </c>
      <c r="E1732" s="16">
        <v>2.0</v>
      </c>
      <c r="F1732" s="18" t="s">
        <v>1704</v>
      </c>
    </row>
    <row r="1733">
      <c r="A1733" s="5" t="s">
        <v>3201</v>
      </c>
      <c r="B1733" s="6">
        <v>5.0</v>
      </c>
      <c r="C1733" s="7">
        <v>199.0</v>
      </c>
      <c r="D1733" s="6" t="s">
        <v>3169</v>
      </c>
      <c r="E1733" s="16">
        <v>2.0</v>
      </c>
      <c r="F1733" s="18" t="s">
        <v>1705</v>
      </c>
    </row>
    <row r="1734">
      <c r="A1734" s="5" t="s">
        <v>3236</v>
      </c>
      <c r="B1734" s="6">
        <v>6.0</v>
      </c>
      <c r="C1734" s="7">
        <v>75.0</v>
      </c>
      <c r="D1734" s="6" t="s">
        <v>3257</v>
      </c>
      <c r="E1734" s="16">
        <v>2.0</v>
      </c>
      <c r="F1734" s="18" t="s">
        <v>1706</v>
      </c>
    </row>
    <row r="1735">
      <c r="A1735" s="5" t="s">
        <v>3217</v>
      </c>
      <c r="B1735" s="6">
        <v>5.0</v>
      </c>
      <c r="C1735" s="7">
        <v>10.0</v>
      </c>
      <c r="D1735" s="6" t="s">
        <v>3249</v>
      </c>
      <c r="E1735" s="16">
        <v>2.0</v>
      </c>
      <c r="F1735" s="18" t="s">
        <v>1707</v>
      </c>
    </row>
    <row r="1736">
      <c r="A1736" s="5" t="s">
        <v>3228</v>
      </c>
      <c r="B1736" s="6">
        <v>6.0</v>
      </c>
      <c r="C1736" s="7">
        <v>40.0</v>
      </c>
      <c r="D1736" s="6" t="s">
        <v>3221</v>
      </c>
      <c r="E1736" s="16">
        <v>1.0</v>
      </c>
      <c r="F1736" s="18" t="s">
        <v>1708</v>
      </c>
    </row>
    <row r="1737">
      <c r="A1737" s="5" t="s">
        <v>3259</v>
      </c>
      <c r="B1737" s="6">
        <v>6.0</v>
      </c>
      <c r="C1737" s="7">
        <v>190.0</v>
      </c>
      <c r="D1737" s="6" t="s">
        <v>3186</v>
      </c>
      <c r="E1737" s="16">
        <v>1.0</v>
      </c>
      <c r="F1737" s="18" t="s">
        <v>1709</v>
      </c>
    </row>
    <row r="1738">
      <c r="A1738" s="5" t="s">
        <v>3181</v>
      </c>
      <c r="B1738" s="6">
        <v>1.0</v>
      </c>
      <c r="C1738" s="7">
        <v>96.0</v>
      </c>
      <c r="D1738" s="6" t="s">
        <v>3190</v>
      </c>
      <c r="E1738" s="16">
        <v>1.0</v>
      </c>
      <c r="F1738" s="18" t="s">
        <v>1710</v>
      </c>
    </row>
    <row r="1739">
      <c r="A1739" s="5" t="s">
        <v>3268</v>
      </c>
      <c r="B1739" s="6">
        <v>1.0</v>
      </c>
      <c r="C1739" s="7">
        <v>139.0</v>
      </c>
      <c r="D1739" s="6" t="s">
        <v>3182</v>
      </c>
      <c r="E1739" s="16">
        <v>1.0</v>
      </c>
      <c r="F1739" s="18" t="s">
        <v>1711</v>
      </c>
    </row>
    <row r="1740">
      <c r="A1740" s="5" t="s">
        <v>3248</v>
      </c>
      <c r="B1740" s="6">
        <v>3.0</v>
      </c>
      <c r="C1740" s="7">
        <v>1.0</v>
      </c>
      <c r="D1740" s="6" t="s">
        <v>3221</v>
      </c>
      <c r="E1740" s="16">
        <v>1.0</v>
      </c>
      <c r="F1740" s="18" t="s">
        <v>1712</v>
      </c>
    </row>
    <row r="1741">
      <c r="A1741" s="5" t="s">
        <v>3234</v>
      </c>
      <c r="B1741" s="6">
        <v>6.0</v>
      </c>
      <c r="C1741" s="7">
        <v>103.0</v>
      </c>
      <c r="D1741" s="6" t="s">
        <v>3254</v>
      </c>
      <c r="E1741" s="16">
        <v>1.0</v>
      </c>
      <c r="F1741" s="18" t="s">
        <v>1713</v>
      </c>
    </row>
    <row r="1742">
      <c r="A1742" s="5" t="s">
        <v>3172</v>
      </c>
      <c r="B1742" s="6">
        <v>1.0</v>
      </c>
      <c r="C1742" s="7">
        <v>197.0</v>
      </c>
      <c r="D1742" s="6" t="s">
        <v>3173</v>
      </c>
      <c r="E1742" s="16">
        <v>1.0</v>
      </c>
      <c r="F1742" s="18" t="s">
        <v>1714</v>
      </c>
    </row>
    <row r="1743">
      <c r="A1743" s="5" t="s">
        <v>3260</v>
      </c>
      <c r="B1743" s="6">
        <v>1.0</v>
      </c>
      <c r="C1743" s="7">
        <v>19.0</v>
      </c>
      <c r="D1743" s="6" t="s">
        <v>3169</v>
      </c>
      <c r="E1743" s="16">
        <v>1.0</v>
      </c>
      <c r="F1743" s="18" t="s">
        <v>1715</v>
      </c>
    </row>
    <row r="1744">
      <c r="A1744" s="5" t="s">
        <v>3168</v>
      </c>
      <c r="B1744" s="6">
        <v>1.0</v>
      </c>
      <c r="C1744" s="7">
        <v>194.0</v>
      </c>
      <c r="D1744" s="6" t="s">
        <v>3215</v>
      </c>
      <c r="E1744" s="16">
        <v>1.0</v>
      </c>
      <c r="F1744" s="18" t="s">
        <v>1716</v>
      </c>
    </row>
    <row r="1745">
      <c r="A1745" s="5" t="s">
        <v>3174</v>
      </c>
      <c r="B1745" s="6">
        <v>1.0</v>
      </c>
      <c r="C1745" s="7">
        <v>8.0</v>
      </c>
      <c r="D1745" s="6" t="s">
        <v>3169</v>
      </c>
      <c r="E1745" s="16">
        <v>1.0</v>
      </c>
      <c r="F1745" s="18" t="s">
        <v>1717</v>
      </c>
    </row>
    <row r="1746">
      <c r="A1746" s="5" t="s">
        <v>3243</v>
      </c>
      <c r="B1746" s="6">
        <v>4.0</v>
      </c>
      <c r="C1746" s="7">
        <v>123.0</v>
      </c>
      <c r="D1746" s="6" t="s">
        <v>3192</v>
      </c>
      <c r="E1746" s="16">
        <v>1.0</v>
      </c>
      <c r="F1746" s="18" t="s">
        <v>1718</v>
      </c>
    </row>
    <row r="1747">
      <c r="A1747" s="5" t="s">
        <v>3199</v>
      </c>
      <c r="B1747" s="6">
        <v>3.0</v>
      </c>
      <c r="C1747" s="7">
        <v>133.0</v>
      </c>
      <c r="D1747" s="6" t="s">
        <v>3192</v>
      </c>
      <c r="E1747" s="16">
        <v>1.0</v>
      </c>
      <c r="F1747" s="18" t="s">
        <v>1719</v>
      </c>
    </row>
    <row r="1748">
      <c r="A1748" s="5" t="s">
        <v>3224</v>
      </c>
      <c r="B1748" s="6">
        <v>6.0</v>
      </c>
      <c r="C1748" s="7">
        <v>43.0</v>
      </c>
      <c r="D1748" s="6" t="s">
        <v>3214</v>
      </c>
      <c r="E1748" s="16">
        <v>5.0</v>
      </c>
      <c r="F1748" s="18" t="s">
        <v>1720</v>
      </c>
    </row>
    <row r="1749">
      <c r="A1749" s="5" t="s">
        <v>3185</v>
      </c>
      <c r="B1749" s="6">
        <v>1.0</v>
      </c>
      <c r="C1749" s="7">
        <v>135.0</v>
      </c>
      <c r="D1749" s="6" t="s">
        <v>3207</v>
      </c>
      <c r="E1749" s="16">
        <v>5.0</v>
      </c>
      <c r="F1749" s="18" t="s">
        <v>1721</v>
      </c>
    </row>
    <row r="1750">
      <c r="A1750" s="5" t="s">
        <v>3193</v>
      </c>
      <c r="B1750" s="6">
        <v>5.0</v>
      </c>
      <c r="C1750" s="7">
        <v>196.0</v>
      </c>
      <c r="D1750" s="6" t="s">
        <v>3169</v>
      </c>
      <c r="E1750" s="16">
        <v>5.0</v>
      </c>
      <c r="F1750" s="18" t="s">
        <v>1722</v>
      </c>
    </row>
    <row r="1751">
      <c r="A1751" s="5" t="s">
        <v>3187</v>
      </c>
      <c r="B1751" s="6">
        <v>4.0</v>
      </c>
      <c r="C1751" s="7">
        <v>158.0</v>
      </c>
      <c r="D1751" s="6" t="s">
        <v>3235</v>
      </c>
      <c r="E1751" s="16">
        <v>5.0</v>
      </c>
      <c r="F1751" s="18" t="s">
        <v>1723</v>
      </c>
    </row>
    <row r="1752">
      <c r="A1752" s="5" t="s">
        <v>3187</v>
      </c>
      <c r="B1752" s="6">
        <v>4.0</v>
      </c>
      <c r="C1752" s="7">
        <v>117.0</v>
      </c>
      <c r="D1752" s="6" t="s">
        <v>3225</v>
      </c>
      <c r="E1752" s="16">
        <v>5.0</v>
      </c>
      <c r="F1752" s="18" t="s">
        <v>1724</v>
      </c>
    </row>
    <row r="1753">
      <c r="A1753" s="5" t="s">
        <v>3243</v>
      </c>
      <c r="B1753" s="6">
        <v>4.0</v>
      </c>
      <c r="C1753" s="7">
        <v>102.0</v>
      </c>
      <c r="D1753" s="6" t="s">
        <v>3178</v>
      </c>
      <c r="E1753" s="16">
        <v>5.0</v>
      </c>
      <c r="F1753" s="18" t="s">
        <v>1725</v>
      </c>
    </row>
    <row r="1754">
      <c r="A1754" s="5" t="s">
        <v>3264</v>
      </c>
      <c r="B1754" s="6">
        <v>4.0</v>
      </c>
      <c r="C1754" s="7">
        <v>164.0</v>
      </c>
      <c r="D1754" s="6" t="s">
        <v>3232</v>
      </c>
      <c r="E1754" s="16">
        <v>5.0</v>
      </c>
      <c r="F1754" s="18" t="s">
        <v>1726</v>
      </c>
    </row>
    <row r="1755">
      <c r="A1755" s="5" t="s">
        <v>3248</v>
      </c>
      <c r="B1755" s="6">
        <v>3.0</v>
      </c>
      <c r="C1755" s="7">
        <v>169.0</v>
      </c>
      <c r="D1755" s="6" t="s">
        <v>3200</v>
      </c>
      <c r="E1755" s="16">
        <v>5.0</v>
      </c>
      <c r="F1755" s="18" t="s">
        <v>1727</v>
      </c>
    </row>
    <row r="1756">
      <c r="A1756" s="5" t="s">
        <v>3201</v>
      </c>
      <c r="B1756" s="6">
        <v>5.0</v>
      </c>
      <c r="C1756" s="7">
        <v>74.0</v>
      </c>
      <c r="D1756" s="6" t="s">
        <v>3190</v>
      </c>
      <c r="E1756" s="16">
        <v>5.0</v>
      </c>
      <c r="F1756" s="18" t="s">
        <v>1728</v>
      </c>
    </row>
    <row r="1757">
      <c r="A1757" s="5" t="s">
        <v>3231</v>
      </c>
      <c r="B1757" s="6">
        <v>4.0</v>
      </c>
      <c r="C1757" s="7">
        <v>139.0</v>
      </c>
      <c r="D1757" s="6" t="s">
        <v>3182</v>
      </c>
      <c r="E1757" s="16">
        <v>5.0</v>
      </c>
      <c r="F1757" s="18" t="s">
        <v>1729</v>
      </c>
    </row>
    <row r="1758">
      <c r="A1758" s="5" t="s">
        <v>3175</v>
      </c>
      <c r="B1758" s="6">
        <v>5.0</v>
      </c>
      <c r="C1758" s="7">
        <v>77.0</v>
      </c>
      <c r="D1758" s="6" t="s">
        <v>3254</v>
      </c>
      <c r="E1758" s="16">
        <v>5.0</v>
      </c>
      <c r="F1758" s="18" t="s">
        <v>1730</v>
      </c>
    </row>
    <row r="1759">
      <c r="A1759" s="5" t="s">
        <v>3172</v>
      </c>
      <c r="B1759" s="6">
        <v>1.0</v>
      </c>
      <c r="C1759" s="7">
        <v>24.0</v>
      </c>
      <c r="D1759" s="6" t="s">
        <v>3194</v>
      </c>
      <c r="E1759" s="16">
        <v>5.0</v>
      </c>
      <c r="F1759" s="18" t="s">
        <v>1731</v>
      </c>
    </row>
    <row r="1760">
      <c r="A1760" s="5" t="s">
        <v>3195</v>
      </c>
      <c r="B1760" s="6">
        <v>4.0</v>
      </c>
      <c r="C1760" s="7">
        <v>136.0</v>
      </c>
      <c r="D1760" s="6" t="s">
        <v>3221</v>
      </c>
      <c r="E1760" s="16">
        <v>5.0</v>
      </c>
      <c r="F1760" s="18" t="s">
        <v>1732</v>
      </c>
    </row>
    <row r="1761">
      <c r="A1761" s="5" t="s">
        <v>3187</v>
      </c>
      <c r="B1761" s="6">
        <v>4.0</v>
      </c>
      <c r="C1761" s="7">
        <v>83.0</v>
      </c>
      <c r="D1761" s="6" t="s">
        <v>3203</v>
      </c>
      <c r="E1761" s="16">
        <v>4.0</v>
      </c>
      <c r="F1761" s="18" t="s">
        <v>1733</v>
      </c>
    </row>
    <row r="1762">
      <c r="A1762" s="5" t="s">
        <v>3224</v>
      </c>
      <c r="B1762" s="6">
        <v>6.0</v>
      </c>
      <c r="C1762" s="7">
        <v>33.0</v>
      </c>
      <c r="D1762" s="6" t="s">
        <v>3225</v>
      </c>
      <c r="E1762" s="16">
        <v>4.0</v>
      </c>
      <c r="F1762" s="18" t="s">
        <v>1734</v>
      </c>
    </row>
    <row r="1763">
      <c r="A1763" s="5" t="s">
        <v>3179</v>
      </c>
      <c r="B1763" s="6">
        <v>1.0</v>
      </c>
      <c r="C1763" s="7">
        <v>199.0</v>
      </c>
      <c r="D1763" s="6" t="s">
        <v>3169</v>
      </c>
      <c r="E1763" s="16">
        <v>4.0</v>
      </c>
      <c r="F1763" s="18" t="s">
        <v>1735</v>
      </c>
    </row>
    <row r="1764">
      <c r="A1764" s="5" t="s">
        <v>3202</v>
      </c>
      <c r="B1764" s="6">
        <v>4.0</v>
      </c>
      <c r="C1764" s="7">
        <v>168.0</v>
      </c>
      <c r="D1764" s="6" t="s">
        <v>3194</v>
      </c>
      <c r="E1764" s="16">
        <v>4.0</v>
      </c>
      <c r="F1764" s="18" t="s">
        <v>1736</v>
      </c>
    </row>
    <row r="1765">
      <c r="A1765" s="5" t="s">
        <v>3264</v>
      </c>
      <c r="B1765" s="6">
        <v>4.0</v>
      </c>
      <c r="C1765" s="7">
        <v>65.0</v>
      </c>
      <c r="D1765" s="6" t="s">
        <v>3221</v>
      </c>
      <c r="E1765" s="16">
        <v>4.0</v>
      </c>
      <c r="F1765" s="18" t="s">
        <v>1737</v>
      </c>
    </row>
    <row r="1766">
      <c r="A1766" s="5" t="s">
        <v>3264</v>
      </c>
      <c r="B1766" s="6">
        <v>4.0</v>
      </c>
      <c r="C1766" s="7">
        <v>179.0</v>
      </c>
      <c r="D1766" s="6" t="s">
        <v>3214</v>
      </c>
      <c r="E1766" s="16">
        <v>4.0</v>
      </c>
      <c r="F1766" s="18" t="s">
        <v>1738</v>
      </c>
    </row>
    <row r="1767">
      <c r="A1767" s="5" t="s">
        <v>3253</v>
      </c>
      <c r="B1767" s="6">
        <v>1.0</v>
      </c>
      <c r="C1767" s="7">
        <v>45.0</v>
      </c>
      <c r="D1767" s="6" t="s">
        <v>3241</v>
      </c>
      <c r="E1767" s="16">
        <v>4.0</v>
      </c>
      <c r="F1767" s="18" t="s">
        <v>437</v>
      </c>
    </row>
    <row r="1768">
      <c r="A1768" s="5" t="s">
        <v>3230</v>
      </c>
      <c r="B1768" s="6">
        <v>1.0</v>
      </c>
      <c r="C1768" s="7">
        <v>167.0</v>
      </c>
      <c r="D1768" s="6" t="s">
        <v>3254</v>
      </c>
      <c r="E1768" s="16">
        <v>3.0</v>
      </c>
      <c r="F1768" s="18" t="s">
        <v>1739</v>
      </c>
    </row>
    <row r="1769">
      <c r="A1769" s="5" t="s">
        <v>3270</v>
      </c>
      <c r="B1769" s="6">
        <v>3.0</v>
      </c>
      <c r="C1769" s="7">
        <v>52.0</v>
      </c>
      <c r="D1769" s="6" t="s">
        <v>3194</v>
      </c>
      <c r="E1769" s="16">
        <v>3.0</v>
      </c>
      <c r="F1769" s="18" t="s">
        <v>1740</v>
      </c>
    </row>
    <row r="1770">
      <c r="A1770" s="5" t="s">
        <v>3175</v>
      </c>
      <c r="B1770" s="6">
        <v>5.0</v>
      </c>
      <c r="C1770" s="7">
        <v>196.0</v>
      </c>
      <c r="D1770" s="6" t="s">
        <v>3169</v>
      </c>
      <c r="E1770" s="16">
        <v>3.0</v>
      </c>
      <c r="F1770" s="18" t="s">
        <v>1741</v>
      </c>
    </row>
    <row r="1771">
      <c r="A1771" s="5" t="s">
        <v>3209</v>
      </c>
      <c r="B1771" s="6">
        <v>4.0</v>
      </c>
      <c r="C1771" s="7">
        <v>61.0</v>
      </c>
      <c r="D1771" s="6" t="s">
        <v>3249</v>
      </c>
      <c r="E1771" s="16">
        <v>3.0</v>
      </c>
      <c r="F1771" s="18" t="s">
        <v>1742</v>
      </c>
    </row>
    <row r="1772">
      <c r="A1772" s="5" t="s">
        <v>3268</v>
      </c>
      <c r="B1772" s="6">
        <v>1.0</v>
      </c>
      <c r="C1772" s="7">
        <v>3.0</v>
      </c>
      <c r="D1772" s="6" t="s">
        <v>3200</v>
      </c>
      <c r="E1772" s="16">
        <v>3.0</v>
      </c>
      <c r="F1772" s="18" t="s">
        <v>1743</v>
      </c>
    </row>
    <row r="1773">
      <c r="A1773" s="5" t="s">
        <v>3265</v>
      </c>
      <c r="B1773" s="6">
        <v>1.0</v>
      </c>
      <c r="C1773" s="7">
        <v>196.0</v>
      </c>
      <c r="D1773" s="6" t="s">
        <v>3169</v>
      </c>
      <c r="E1773" s="16">
        <v>3.0</v>
      </c>
      <c r="F1773" s="18" t="s">
        <v>1744</v>
      </c>
    </row>
    <row r="1774">
      <c r="A1774" s="5" t="s">
        <v>3197</v>
      </c>
      <c r="B1774" s="6">
        <v>1.0</v>
      </c>
      <c r="C1774" s="7">
        <v>113.0</v>
      </c>
      <c r="D1774" s="6" t="s">
        <v>3207</v>
      </c>
      <c r="E1774" s="16">
        <v>2.0</v>
      </c>
      <c r="F1774" s="18" t="s">
        <v>1745</v>
      </c>
    </row>
    <row r="1775">
      <c r="A1775" s="5" t="s">
        <v>3191</v>
      </c>
      <c r="B1775" s="6">
        <v>5.0</v>
      </c>
      <c r="C1775" s="7">
        <v>140.0</v>
      </c>
      <c r="D1775" s="6" t="s">
        <v>3190</v>
      </c>
      <c r="E1775" s="16">
        <v>2.0</v>
      </c>
      <c r="F1775" s="18" t="s">
        <v>1746</v>
      </c>
    </row>
    <row r="1776">
      <c r="A1776" s="5" t="s">
        <v>3213</v>
      </c>
      <c r="B1776" s="6">
        <v>2.0</v>
      </c>
      <c r="C1776" s="7">
        <v>119.0</v>
      </c>
      <c r="D1776" s="6" t="s">
        <v>3178</v>
      </c>
      <c r="E1776" s="16">
        <v>2.0</v>
      </c>
      <c r="F1776" s="18" t="s">
        <v>1747</v>
      </c>
    </row>
    <row r="1777">
      <c r="A1777" s="5" t="s">
        <v>3217</v>
      </c>
      <c r="B1777" s="6">
        <v>5.0</v>
      </c>
      <c r="C1777" s="7">
        <v>191.0</v>
      </c>
      <c r="D1777" s="6" t="s">
        <v>3221</v>
      </c>
      <c r="E1777" s="16">
        <v>2.0</v>
      </c>
      <c r="F1777" s="18" t="s">
        <v>1748</v>
      </c>
    </row>
    <row r="1778">
      <c r="A1778" s="5" t="s">
        <v>3181</v>
      </c>
      <c r="B1778" s="6">
        <v>1.0</v>
      </c>
      <c r="C1778" s="7">
        <v>83.0</v>
      </c>
      <c r="D1778" s="6" t="s">
        <v>3203</v>
      </c>
      <c r="E1778" s="16">
        <v>2.0</v>
      </c>
      <c r="F1778" s="18" t="s">
        <v>1749</v>
      </c>
    </row>
    <row r="1779">
      <c r="A1779" s="5" t="s">
        <v>3244</v>
      </c>
      <c r="B1779" s="6">
        <v>1.0</v>
      </c>
      <c r="C1779" s="7">
        <v>169.0</v>
      </c>
      <c r="D1779" s="6" t="s">
        <v>3200</v>
      </c>
      <c r="E1779" s="16">
        <v>2.0</v>
      </c>
      <c r="F1779" s="18" t="s">
        <v>1750</v>
      </c>
    </row>
    <row r="1780">
      <c r="A1780" s="5" t="s">
        <v>3258</v>
      </c>
      <c r="B1780" s="6">
        <v>6.0</v>
      </c>
      <c r="C1780" s="7">
        <v>20.0</v>
      </c>
      <c r="D1780" s="6" t="s">
        <v>3173</v>
      </c>
      <c r="E1780" s="16">
        <v>2.0</v>
      </c>
      <c r="F1780" s="18" t="s">
        <v>1751</v>
      </c>
    </row>
    <row r="1781">
      <c r="A1781" s="5" t="s">
        <v>3175</v>
      </c>
      <c r="B1781" s="6">
        <v>5.0</v>
      </c>
      <c r="C1781" s="7">
        <v>199.0</v>
      </c>
      <c r="D1781" s="6" t="s">
        <v>3169</v>
      </c>
      <c r="E1781" s="16">
        <v>2.0</v>
      </c>
      <c r="F1781" s="18" t="s">
        <v>1752</v>
      </c>
    </row>
    <row r="1782">
      <c r="A1782" s="5" t="s">
        <v>3261</v>
      </c>
      <c r="B1782" s="6">
        <v>4.0</v>
      </c>
      <c r="C1782" s="7">
        <v>83.0</v>
      </c>
      <c r="D1782" s="6" t="s">
        <v>3203</v>
      </c>
      <c r="E1782" s="16">
        <v>2.0</v>
      </c>
      <c r="F1782" s="18" t="s">
        <v>1753</v>
      </c>
    </row>
    <row r="1783">
      <c r="A1783" s="5" t="s">
        <v>3183</v>
      </c>
      <c r="B1783" s="6">
        <v>6.0</v>
      </c>
      <c r="C1783" s="7">
        <v>125.0</v>
      </c>
      <c r="D1783" s="6" t="s">
        <v>3180</v>
      </c>
      <c r="E1783" s="16">
        <v>2.0</v>
      </c>
      <c r="F1783" s="18" t="s">
        <v>1754</v>
      </c>
    </row>
    <row r="1784">
      <c r="A1784" s="5" t="s">
        <v>3197</v>
      </c>
      <c r="B1784" s="6">
        <v>1.0</v>
      </c>
      <c r="C1784" s="7">
        <v>177.0</v>
      </c>
      <c r="D1784" s="6" t="s">
        <v>3167</v>
      </c>
      <c r="E1784" s="16">
        <v>2.0</v>
      </c>
      <c r="F1784" s="18" t="s">
        <v>1755</v>
      </c>
    </row>
    <row r="1785">
      <c r="A1785" s="5" t="s">
        <v>3253</v>
      </c>
      <c r="B1785" s="6">
        <v>1.0</v>
      </c>
      <c r="C1785" s="7">
        <v>30.0</v>
      </c>
      <c r="D1785" s="6" t="s">
        <v>3171</v>
      </c>
      <c r="E1785" s="16">
        <v>2.0</v>
      </c>
      <c r="F1785" s="18" t="s">
        <v>1756</v>
      </c>
    </row>
    <row r="1786">
      <c r="A1786" s="5" t="s">
        <v>3183</v>
      </c>
      <c r="B1786" s="6">
        <v>6.0</v>
      </c>
      <c r="C1786" s="7">
        <v>162.0</v>
      </c>
      <c r="D1786" s="6" t="s">
        <v>3257</v>
      </c>
      <c r="E1786" s="16">
        <v>1.0</v>
      </c>
      <c r="F1786" s="18" t="s">
        <v>1757</v>
      </c>
    </row>
    <row r="1787">
      <c r="A1787" s="5" t="s">
        <v>3224</v>
      </c>
      <c r="B1787" s="6">
        <v>6.0</v>
      </c>
      <c r="C1787" s="7">
        <v>78.0</v>
      </c>
      <c r="D1787" s="6" t="s">
        <v>3176</v>
      </c>
      <c r="E1787" s="16">
        <v>1.0</v>
      </c>
      <c r="F1787" s="18" t="s">
        <v>1758</v>
      </c>
    </row>
    <row r="1788">
      <c r="A1788" s="5" t="s">
        <v>3177</v>
      </c>
      <c r="B1788" s="6">
        <v>5.0</v>
      </c>
      <c r="C1788" s="7">
        <v>6.0</v>
      </c>
      <c r="D1788" s="6" t="s">
        <v>3180</v>
      </c>
      <c r="E1788" s="16">
        <v>1.0</v>
      </c>
      <c r="F1788" s="18" t="s">
        <v>1759</v>
      </c>
    </row>
    <row r="1789">
      <c r="A1789" s="5" t="s">
        <v>3267</v>
      </c>
      <c r="B1789" s="6">
        <v>3.0</v>
      </c>
      <c r="C1789" s="7">
        <v>195.0</v>
      </c>
      <c r="D1789" s="6" t="s">
        <v>3239</v>
      </c>
      <c r="E1789" s="16">
        <v>1.0</v>
      </c>
      <c r="F1789" s="18" t="s">
        <v>1760</v>
      </c>
    </row>
    <row r="1790">
      <c r="A1790" s="5" t="s">
        <v>3230</v>
      </c>
      <c r="B1790" s="6">
        <v>1.0</v>
      </c>
      <c r="C1790" s="7">
        <v>160.0</v>
      </c>
      <c r="D1790" s="6" t="s">
        <v>3239</v>
      </c>
      <c r="E1790" s="16">
        <v>1.0</v>
      </c>
      <c r="F1790" s="18" t="s">
        <v>1761</v>
      </c>
    </row>
    <row r="1791">
      <c r="A1791" s="5" t="s">
        <v>3264</v>
      </c>
      <c r="B1791" s="6">
        <v>4.0</v>
      </c>
      <c r="C1791" s="7">
        <v>48.0</v>
      </c>
      <c r="D1791" s="6" t="s">
        <v>3232</v>
      </c>
      <c r="E1791" s="16">
        <v>1.0</v>
      </c>
      <c r="F1791" s="18" t="s">
        <v>1762</v>
      </c>
    </row>
    <row r="1792">
      <c r="A1792" s="5" t="s">
        <v>3212</v>
      </c>
      <c r="B1792" s="6">
        <v>6.0</v>
      </c>
      <c r="C1792" s="7">
        <v>69.0</v>
      </c>
      <c r="D1792" s="6" t="s">
        <v>3203</v>
      </c>
      <c r="E1792" s="16">
        <v>1.0</v>
      </c>
      <c r="F1792" s="18" t="s">
        <v>1763</v>
      </c>
    </row>
    <row r="1793">
      <c r="A1793" s="5" t="s">
        <v>3220</v>
      </c>
      <c r="B1793" s="6">
        <v>6.0</v>
      </c>
      <c r="C1793" s="7">
        <v>187.0</v>
      </c>
      <c r="D1793" s="6" t="s">
        <v>3254</v>
      </c>
      <c r="E1793" s="16">
        <v>1.0</v>
      </c>
      <c r="F1793" s="18" t="s">
        <v>1764</v>
      </c>
    </row>
    <row r="1794">
      <c r="A1794" s="5" t="s">
        <v>3256</v>
      </c>
      <c r="B1794" s="6">
        <v>6.0</v>
      </c>
      <c r="C1794" s="7">
        <v>158.0</v>
      </c>
      <c r="D1794" s="6" t="s">
        <v>3235</v>
      </c>
      <c r="E1794" s="16">
        <v>1.0</v>
      </c>
      <c r="F1794" s="18" t="s">
        <v>1765</v>
      </c>
    </row>
    <row r="1795">
      <c r="A1795" s="5" t="s">
        <v>3218</v>
      </c>
      <c r="B1795" s="6">
        <v>5.0</v>
      </c>
      <c r="C1795" s="7">
        <v>165.0</v>
      </c>
      <c r="D1795" s="6" t="s">
        <v>3196</v>
      </c>
      <c r="E1795" s="16">
        <v>1.0</v>
      </c>
      <c r="F1795" s="18" t="s">
        <v>1766</v>
      </c>
    </row>
    <row r="1796">
      <c r="A1796" s="5" t="s">
        <v>3172</v>
      </c>
      <c r="B1796" s="6">
        <v>1.0</v>
      </c>
      <c r="C1796" s="7">
        <v>24.0</v>
      </c>
      <c r="D1796" s="6" t="s">
        <v>3194</v>
      </c>
      <c r="E1796" s="16">
        <v>1.0</v>
      </c>
      <c r="F1796" s="18" t="s">
        <v>1767</v>
      </c>
    </row>
    <row r="1797">
      <c r="A1797" s="5" t="s">
        <v>3204</v>
      </c>
      <c r="B1797" s="6">
        <v>1.0</v>
      </c>
      <c r="C1797" s="7">
        <v>101.0</v>
      </c>
      <c r="D1797" s="6" t="s">
        <v>3238</v>
      </c>
      <c r="E1797" s="16">
        <v>1.0</v>
      </c>
      <c r="F1797" s="18" t="s">
        <v>1768</v>
      </c>
    </row>
    <row r="1798">
      <c r="A1798" s="5" t="s">
        <v>3261</v>
      </c>
      <c r="B1798" s="6">
        <v>4.0</v>
      </c>
      <c r="C1798" s="7">
        <v>118.0</v>
      </c>
      <c r="D1798" s="6" t="s">
        <v>3200</v>
      </c>
      <c r="E1798" s="16">
        <v>5.0</v>
      </c>
      <c r="F1798" s="18" t="s">
        <v>1769</v>
      </c>
    </row>
    <row r="1799">
      <c r="A1799" s="5" t="s">
        <v>3270</v>
      </c>
      <c r="B1799" s="6">
        <v>3.0</v>
      </c>
      <c r="C1799" s="7">
        <v>130.0</v>
      </c>
      <c r="D1799" s="6" t="s">
        <v>3232</v>
      </c>
      <c r="E1799" s="16">
        <v>5.0</v>
      </c>
      <c r="F1799" s="18" t="s">
        <v>1770</v>
      </c>
    </row>
    <row r="1800">
      <c r="A1800" s="5" t="s">
        <v>3177</v>
      </c>
      <c r="B1800" s="6">
        <v>5.0</v>
      </c>
      <c r="C1800" s="7">
        <v>32.0</v>
      </c>
      <c r="D1800" s="6" t="s">
        <v>3173</v>
      </c>
      <c r="E1800" s="16">
        <v>5.0</v>
      </c>
      <c r="F1800" s="18" t="s">
        <v>1771</v>
      </c>
    </row>
    <row r="1801">
      <c r="A1801" s="5" t="s">
        <v>3183</v>
      </c>
      <c r="B1801" s="6">
        <v>6.0</v>
      </c>
      <c r="C1801" s="7">
        <v>66.0</v>
      </c>
      <c r="D1801" s="6" t="s">
        <v>3171</v>
      </c>
      <c r="E1801" s="16">
        <v>5.0</v>
      </c>
      <c r="F1801" s="18" t="s">
        <v>1772</v>
      </c>
    </row>
    <row r="1802">
      <c r="A1802" s="5" t="s">
        <v>3263</v>
      </c>
      <c r="B1802" s="6">
        <v>1.0</v>
      </c>
      <c r="C1802" s="7">
        <v>77.0</v>
      </c>
      <c r="D1802" s="6" t="s">
        <v>3254</v>
      </c>
      <c r="E1802" s="16">
        <v>5.0</v>
      </c>
      <c r="F1802" s="18" t="s">
        <v>1773</v>
      </c>
    </row>
    <row r="1803">
      <c r="A1803" s="5" t="s">
        <v>3228</v>
      </c>
      <c r="B1803" s="6">
        <v>6.0</v>
      </c>
      <c r="C1803" s="7">
        <v>88.0</v>
      </c>
      <c r="D1803" s="6" t="s">
        <v>3167</v>
      </c>
      <c r="E1803" s="16">
        <v>5.0</v>
      </c>
      <c r="F1803" s="18" t="s">
        <v>1774</v>
      </c>
    </row>
    <row r="1804">
      <c r="A1804" s="5" t="s">
        <v>3197</v>
      </c>
      <c r="B1804" s="6">
        <v>1.0</v>
      </c>
      <c r="C1804" s="7">
        <v>15.0</v>
      </c>
      <c r="D1804" s="6" t="s">
        <v>3254</v>
      </c>
      <c r="E1804" s="16">
        <v>5.0</v>
      </c>
      <c r="F1804" s="18" t="s">
        <v>1775</v>
      </c>
    </row>
    <row r="1805">
      <c r="A1805" s="5" t="s">
        <v>3175</v>
      </c>
      <c r="B1805" s="6">
        <v>5.0</v>
      </c>
      <c r="C1805" s="7">
        <v>104.0</v>
      </c>
      <c r="D1805" s="6" t="s">
        <v>3257</v>
      </c>
      <c r="E1805" s="16">
        <v>5.0</v>
      </c>
      <c r="F1805" s="18" t="s">
        <v>1776</v>
      </c>
    </row>
    <row r="1806">
      <c r="A1806" s="5" t="s">
        <v>3204</v>
      </c>
      <c r="B1806" s="6">
        <v>1.0</v>
      </c>
      <c r="C1806" s="7">
        <v>108.0</v>
      </c>
      <c r="D1806" s="6" t="s">
        <v>3198</v>
      </c>
      <c r="E1806" s="16">
        <v>5.0</v>
      </c>
      <c r="F1806" s="18" t="s">
        <v>1777</v>
      </c>
    </row>
    <row r="1807">
      <c r="A1807" s="5" t="s">
        <v>3264</v>
      </c>
      <c r="B1807" s="6">
        <v>4.0</v>
      </c>
      <c r="C1807" s="7">
        <v>178.0</v>
      </c>
      <c r="D1807" s="6" t="s">
        <v>3190</v>
      </c>
      <c r="E1807" s="16">
        <v>5.0</v>
      </c>
      <c r="F1807" s="18" t="s">
        <v>1778</v>
      </c>
    </row>
    <row r="1808">
      <c r="A1808" s="5" t="s">
        <v>3258</v>
      </c>
      <c r="B1808" s="6">
        <v>6.0</v>
      </c>
      <c r="C1808" s="7">
        <v>70.0</v>
      </c>
      <c r="D1808" s="6" t="s">
        <v>3222</v>
      </c>
      <c r="E1808" s="16">
        <v>5.0</v>
      </c>
      <c r="F1808" s="18" t="s">
        <v>1779</v>
      </c>
    </row>
    <row r="1809">
      <c r="A1809" s="5" t="s">
        <v>3263</v>
      </c>
      <c r="B1809" s="6">
        <v>1.0</v>
      </c>
      <c r="C1809" s="7">
        <v>11.0</v>
      </c>
      <c r="D1809" s="6" t="s">
        <v>3180</v>
      </c>
      <c r="E1809" s="16">
        <v>5.0</v>
      </c>
      <c r="F1809" s="18" t="s">
        <v>1780</v>
      </c>
    </row>
    <row r="1810">
      <c r="A1810" s="5" t="s">
        <v>3187</v>
      </c>
      <c r="B1810" s="6">
        <v>4.0</v>
      </c>
      <c r="C1810" s="7">
        <v>117.0</v>
      </c>
      <c r="D1810" s="6" t="s">
        <v>3225</v>
      </c>
      <c r="E1810" s="16">
        <v>5.0</v>
      </c>
      <c r="F1810" s="18" t="s">
        <v>1781</v>
      </c>
    </row>
    <row r="1811">
      <c r="A1811" s="5" t="s">
        <v>3229</v>
      </c>
      <c r="B1811" s="6">
        <v>4.0</v>
      </c>
      <c r="C1811" s="7">
        <v>155.0</v>
      </c>
      <c r="D1811" s="6" t="s">
        <v>3180</v>
      </c>
      <c r="E1811" s="16">
        <v>5.0</v>
      </c>
      <c r="F1811" s="18" t="s">
        <v>1782</v>
      </c>
    </row>
    <row r="1812">
      <c r="A1812" s="5" t="s">
        <v>3224</v>
      </c>
      <c r="B1812" s="6">
        <v>6.0</v>
      </c>
      <c r="C1812" s="7">
        <v>118.0</v>
      </c>
      <c r="D1812" s="6" t="s">
        <v>3200</v>
      </c>
      <c r="E1812" s="16">
        <v>5.0</v>
      </c>
      <c r="F1812" s="18" t="s">
        <v>1783</v>
      </c>
    </row>
    <row r="1813">
      <c r="A1813" s="5" t="s">
        <v>3177</v>
      </c>
      <c r="B1813" s="6">
        <v>5.0</v>
      </c>
      <c r="C1813" s="7">
        <v>36.0</v>
      </c>
      <c r="D1813" s="6" t="s">
        <v>3227</v>
      </c>
      <c r="E1813" s="16">
        <v>5.0</v>
      </c>
      <c r="F1813" s="18" t="s">
        <v>1784</v>
      </c>
    </row>
    <row r="1814">
      <c r="A1814" s="5" t="s">
        <v>3206</v>
      </c>
      <c r="B1814" s="6">
        <v>6.0</v>
      </c>
      <c r="C1814" s="7">
        <v>95.0</v>
      </c>
      <c r="D1814" s="6" t="s">
        <v>3227</v>
      </c>
      <c r="E1814" s="16">
        <v>4.0</v>
      </c>
      <c r="F1814" s="18" t="s">
        <v>1785</v>
      </c>
    </row>
    <row r="1815">
      <c r="A1815" s="5" t="s">
        <v>3213</v>
      </c>
      <c r="B1815" s="6">
        <v>2.0</v>
      </c>
      <c r="C1815" s="7">
        <v>52.0</v>
      </c>
      <c r="D1815" s="6" t="s">
        <v>3194</v>
      </c>
      <c r="E1815" s="16">
        <v>4.0</v>
      </c>
      <c r="F1815" s="18" t="s">
        <v>1786</v>
      </c>
    </row>
    <row r="1816">
      <c r="A1816" s="5" t="s">
        <v>3193</v>
      </c>
      <c r="B1816" s="6">
        <v>5.0</v>
      </c>
      <c r="C1816" s="7">
        <v>131.0</v>
      </c>
      <c r="D1816" s="6" t="s">
        <v>3227</v>
      </c>
      <c r="E1816" s="16">
        <v>4.0</v>
      </c>
      <c r="F1816" s="18" t="s">
        <v>1787</v>
      </c>
    </row>
    <row r="1817">
      <c r="A1817" s="5" t="s">
        <v>3189</v>
      </c>
      <c r="B1817" s="6">
        <v>6.0</v>
      </c>
      <c r="C1817" s="7">
        <v>86.0</v>
      </c>
      <c r="D1817" s="6" t="s">
        <v>3245</v>
      </c>
      <c r="E1817" s="16">
        <v>4.0</v>
      </c>
      <c r="F1817" s="18" t="s">
        <v>1788</v>
      </c>
    </row>
    <row r="1818">
      <c r="A1818" s="5" t="s">
        <v>3244</v>
      </c>
      <c r="B1818" s="6">
        <v>1.0</v>
      </c>
      <c r="C1818" s="7">
        <v>13.0</v>
      </c>
      <c r="D1818" s="6" t="s">
        <v>3245</v>
      </c>
      <c r="E1818" s="16">
        <v>4.0</v>
      </c>
      <c r="F1818" s="18" t="s">
        <v>1789</v>
      </c>
    </row>
    <row r="1819">
      <c r="A1819" s="5" t="s">
        <v>3251</v>
      </c>
      <c r="B1819" s="6">
        <v>6.0</v>
      </c>
      <c r="C1819" s="7">
        <v>183.0</v>
      </c>
      <c r="D1819" s="6" t="s">
        <v>3182</v>
      </c>
      <c r="E1819" s="16">
        <v>4.0</v>
      </c>
      <c r="F1819" s="18" t="s">
        <v>1790</v>
      </c>
    </row>
    <row r="1820">
      <c r="A1820" s="5" t="s">
        <v>3174</v>
      </c>
      <c r="B1820" s="6">
        <v>1.0</v>
      </c>
      <c r="C1820" s="7">
        <v>123.0</v>
      </c>
      <c r="D1820" s="6" t="s">
        <v>3192</v>
      </c>
      <c r="E1820" s="16">
        <v>4.0</v>
      </c>
      <c r="F1820" s="18" t="s">
        <v>1791</v>
      </c>
    </row>
    <row r="1821">
      <c r="A1821" s="5" t="s">
        <v>3251</v>
      </c>
      <c r="B1821" s="6">
        <v>6.0</v>
      </c>
      <c r="C1821" s="7">
        <v>14.0</v>
      </c>
      <c r="D1821" s="6" t="s">
        <v>3196</v>
      </c>
      <c r="E1821" s="16">
        <v>4.0</v>
      </c>
      <c r="F1821" s="18" t="s">
        <v>1792</v>
      </c>
    </row>
    <row r="1822">
      <c r="A1822" s="5" t="s">
        <v>3191</v>
      </c>
      <c r="B1822" s="6">
        <v>5.0</v>
      </c>
      <c r="C1822" s="7">
        <v>13.0</v>
      </c>
      <c r="D1822" s="6" t="s">
        <v>3245</v>
      </c>
      <c r="E1822" s="16">
        <v>4.0</v>
      </c>
      <c r="F1822" s="18" t="s">
        <v>1793</v>
      </c>
    </row>
    <row r="1823">
      <c r="A1823" s="5" t="s">
        <v>3263</v>
      </c>
      <c r="B1823" s="6">
        <v>1.0</v>
      </c>
      <c r="C1823" s="7">
        <v>173.0</v>
      </c>
      <c r="D1823" s="6" t="s">
        <v>3167</v>
      </c>
      <c r="E1823" s="16">
        <v>3.0</v>
      </c>
      <c r="F1823" s="18" t="s">
        <v>1794</v>
      </c>
    </row>
    <row r="1824">
      <c r="A1824" s="5" t="s">
        <v>3191</v>
      </c>
      <c r="B1824" s="6">
        <v>5.0</v>
      </c>
      <c r="C1824" s="7">
        <v>85.0</v>
      </c>
      <c r="D1824" s="6" t="s">
        <v>3192</v>
      </c>
      <c r="E1824" s="16">
        <v>3.0</v>
      </c>
      <c r="F1824" s="18" t="s">
        <v>1795</v>
      </c>
    </row>
    <row r="1825">
      <c r="A1825" s="5" t="s">
        <v>3218</v>
      </c>
      <c r="B1825" s="6">
        <v>5.0</v>
      </c>
      <c r="C1825" s="7">
        <v>90.0</v>
      </c>
      <c r="D1825" s="6" t="s">
        <v>3178</v>
      </c>
      <c r="E1825" s="16">
        <v>3.0</v>
      </c>
      <c r="F1825" s="18" t="s">
        <v>1796</v>
      </c>
    </row>
    <row r="1826">
      <c r="A1826" s="5" t="s">
        <v>3260</v>
      </c>
      <c r="B1826" s="6">
        <v>1.0</v>
      </c>
      <c r="C1826" s="7">
        <v>17.0</v>
      </c>
      <c r="D1826" s="6" t="s">
        <v>3241</v>
      </c>
      <c r="E1826" s="16">
        <v>3.0</v>
      </c>
      <c r="F1826" s="18" t="s">
        <v>1797</v>
      </c>
    </row>
    <row r="1827">
      <c r="A1827" s="5" t="s">
        <v>3187</v>
      </c>
      <c r="B1827" s="6">
        <v>4.0</v>
      </c>
      <c r="C1827" s="7">
        <v>64.0</v>
      </c>
      <c r="D1827" s="6" t="s">
        <v>3180</v>
      </c>
      <c r="E1827" s="16">
        <v>3.0</v>
      </c>
      <c r="F1827" s="18" t="s">
        <v>1798</v>
      </c>
    </row>
    <row r="1828">
      <c r="A1828" s="5" t="s">
        <v>3246</v>
      </c>
      <c r="B1828" s="6">
        <v>4.0</v>
      </c>
      <c r="C1828" s="7">
        <v>8.0</v>
      </c>
      <c r="D1828" s="6" t="s">
        <v>3169</v>
      </c>
      <c r="E1828" s="16">
        <v>2.0</v>
      </c>
      <c r="F1828" s="18" t="s">
        <v>1799</v>
      </c>
    </row>
    <row r="1829">
      <c r="A1829" s="5" t="s">
        <v>3205</v>
      </c>
      <c r="B1829" s="6">
        <v>1.0</v>
      </c>
      <c r="C1829" s="7">
        <v>200.0</v>
      </c>
      <c r="D1829" s="6" t="s">
        <v>3238</v>
      </c>
      <c r="E1829" s="16">
        <v>2.0</v>
      </c>
      <c r="F1829" s="18" t="s">
        <v>1800</v>
      </c>
    </row>
    <row r="1830">
      <c r="A1830" s="5" t="s">
        <v>3258</v>
      </c>
      <c r="B1830" s="6">
        <v>6.0</v>
      </c>
      <c r="C1830" s="7">
        <v>77.0</v>
      </c>
      <c r="D1830" s="6" t="s">
        <v>3254</v>
      </c>
      <c r="E1830" s="16">
        <v>2.0</v>
      </c>
      <c r="F1830" s="18" t="s">
        <v>1801</v>
      </c>
    </row>
    <row r="1831">
      <c r="A1831" s="5" t="s">
        <v>3243</v>
      </c>
      <c r="B1831" s="6">
        <v>4.0</v>
      </c>
      <c r="C1831" s="7">
        <v>116.0</v>
      </c>
      <c r="D1831" s="6" t="s">
        <v>3169</v>
      </c>
      <c r="E1831" s="16">
        <v>2.0</v>
      </c>
      <c r="F1831" s="18" t="s">
        <v>1802</v>
      </c>
    </row>
    <row r="1832">
      <c r="A1832" s="5" t="s">
        <v>3253</v>
      </c>
      <c r="B1832" s="6">
        <v>1.0</v>
      </c>
      <c r="C1832" s="7">
        <v>37.0</v>
      </c>
      <c r="D1832" s="6" t="s">
        <v>3194</v>
      </c>
      <c r="E1832" s="16">
        <v>1.0</v>
      </c>
      <c r="F1832" s="18" t="s">
        <v>1803</v>
      </c>
    </row>
    <row r="1833">
      <c r="A1833" s="5" t="s">
        <v>3250</v>
      </c>
      <c r="B1833" s="6">
        <v>4.0</v>
      </c>
      <c r="C1833" s="7">
        <v>80.0</v>
      </c>
      <c r="D1833" s="6" t="s">
        <v>3180</v>
      </c>
      <c r="E1833" s="16">
        <v>1.0</v>
      </c>
      <c r="F1833" s="18" t="s">
        <v>1804</v>
      </c>
    </row>
    <row r="1834">
      <c r="A1834" s="5" t="s">
        <v>3247</v>
      </c>
      <c r="B1834" s="6">
        <v>6.0</v>
      </c>
      <c r="C1834" s="7">
        <v>149.0</v>
      </c>
      <c r="D1834" s="6" t="s">
        <v>3239</v>
      </c>
      <c r="E1834" s="16">
        <v>1.0</v>
      </c>
      <c r="F1834" s="18" t="s">
        <v>1805</v>
      </c>
    </row>
    <row r="1835">
      <c r="A1835" s="5" t="s">
        <v>3187</v>
      </c>
      <c r="B1835" s="6">
        <v>4.0</v>
      </c>
      <c r="C1835" s="7">
        <v>118.0</v>
      </c>
      <c r="D1835" s="6" t="s">
        <v>3200</v>
      </c>
      <c r="E1835" s="16">
        <v>1.0</v>
      </c>
      <c r="F1835" s="18" t="s">
        <v>1806</v>
      </c>
    </row>
    <row r="1836">
      <c r="A1836" s="5" t="s">
        <v>3181</v>
      </c>
      <c r="B1836" s="6">
        <v>1.0</v>
      </c>
      <c r="C1836" s="7">
        <v>74.0</v>
      </c>
      <c r="D1836" s="6" t="s">
        <v>3190</v>
      </c>
      <c r="E1836" s="16">
        <v>1.0</v>
      </c>
      <c r="F1836" s="18" t="s">
        <v>1807</v>
      </c>
    </row>
    <row r="1837">
      <c r="A1837" s="5" t="s">
        <v>3233</v>
      </c>
      <c r="B1837" s="6">
        <v>6.0</v>
      </c>
      <c r="C1837" s="7">
        <v>154.0</v>
      </c>
      <c r="D1837" s="6" t="s">
        <v>3171</v>
      </c>
      <c r="E1837" s="16">
        <v>1.0</v>
      </c>
      <c r="F1837" s="18" t="s">
        <v>1808</v>
      </c>
    </row>
    <row r="1838">
      <c r="A1838" s="5" t="s">
        <v>3230</v>
      </c>
      <c r="B1838" s="6">
        <v>1.0</v>
      </c>
      <c r="C1838" s="7">
        <v>100.0</v>
      </c>
      <c r="D1838" s="6" t="s">
        <v>3196</v>
      </c>
      <c r="E1838" s="16">
        <v>1.0</v>
      </c>
      <c r="F1838" s="18" t="s">
        <v>1809</v>
      </c>
    </row>
    <row r="1839">
      <c r="A1839" s="5" t="s">
        <v>3224</v>
      </c>
      <c r="B1839" s="6">
        <v>6.0</v>
      </c>
      <c r="C1839" s="7">
        <v>3.0</v>
      </c>
      <c r="D1839" s="6" t="s">
        <v>3200</v>
      </c>
      <c r="E1839" s="16">
        <v>5.0</v>
      </c>
      <c r="F1839" s="18" t="s">
        <v>1810</v>
      </c>
    </row>
    <row r="1840">
      <c r="A1840" s="5" t="s">
        <v>3264</v>
      </c>
      <c r="B1840" s="6">
        <v>4.0</v>
      </c>
      <c r="C1840" s="7">
        <v>155.0</v>
      </c>
      <c r="D1840" s="6" t="s">
        <v>3180</v>
      </c>
      <c r="E1840" s="16">
        <v>5.0</v>
      </c>
      <c r="F1840" s="18" t="s">
        <v>1811</v>
      </c>
    </row>
    <row r="1841">
      <c r="A1841" s="5" t="s">
        <v>3208</v>
      </c>
      <c r="B1841" s="6">
        <v>4.0</v>
      </c>
      <c r="C1841" s="7">
        <v>96.0</v>
      </c>
      <c r="D1841" s="6" t="s">
        <v>3190</v>
      </c>
      <c r="E1841" s="16">
        <v>5.0</v>
      </c>
      <c r="F1841" s="18" t="s">
        <v>1812</v>
      </c>
    </row>
    <row r="1842">
      <c r="A1842" s="5" t="s">
        <v>3213</v>
      </c>
      <c r="B1842" s="6">
        <v>2.0</v>
      </c>
      <c r="C1842" s="7">
        <v>18.0</v>
      </c>
      <c r="D1842" s="6" t="s">
        <v>3225</v>
      </c>
      <c r="E1842" s="16">
        <v>5.0</v>
      </c>
      <c r="F1842" s="18" t="s">
        <v>1813</v>
      </c>
    </row>
    <row r="1843">
      <c r="A1843" s="5" t="s">
        <v>3228</v>
      </c>
      <c r="B1843" s="6">
        <v>6.0</v>
      </c>
      <c r="C1843" s="7">
        <v>161.0</v>
      </c>
      <c r="D1843" s="6" t="s">
        <v>3192</v>
      </c>
      <c r="E1843" s="16">
        <v>5.0</v>
      </c>
      <c r="F1843" s="18" t="s">
        <v>1814</v>
      </c>
    </row>
    <row r="1844">
      <c r="A1844" s="5" t="s">
        <v>3205</v>
      </c>
      <c r="B1844" s="6">
        <v>1.0</v>
      </c>
      <c r="C1844" s="7">
        <v>124.0</v>
      </c>
      <c r="D1844" s="6" t="s">
        <v>3238</v>
      </c>
      <c r="E1844" s="16">
        <v>5.0</v>
      </c>
      <c r="F1844" s="18" t="s">
        <v>1815</v>
      </c>
    </row>
    <row r="1845">
      <c r="A1845" s="5" t="s">
        <v>3213</v>
      </c>
      <c r="B1845" s="6">
        <v>2.0</v>
      </c>
      <c r="C1845" s="7">
        <v>135.0</v>
      </c>
      <c r="D1845" s="6" t="s">
        <v>3207</v>
      </c>
      <c r="E1845" s="16">
        <v>5.0</v>
      </c>
      <c r="F1845" s="18" t="s">
        <v>1816</v>
      </c>
    </row>
    <row r="1846">
      <c r="A1846" s="5" t="s">
        <v>3223</v>
      </c>
      <c r="B1846" s="6">
        <v>3.0</v>
      </c>
      <c r="C1846" s="7">
        <v>152.0</v>
      </c>
      <c r="D1846" s="6" t="s">
        <v>3203</v>
      </c>
      <c r="E1846" s="16">
        <v>5.0</v>
      </c>
      <c r="F1846" s="18" t="s">
        <v>1817</v>
      </c>
    </row>
    <row r="1847">
      <c r="A1847" s="5" t="s">
        <v>3205</v>
      </c>
      <c r="B1847" s="6">
        <v>1.0</v>
      </c>
      <c r="C1847" s="7">
        <v>43.0</v>
      </c>
      <c r="D1847" s="6" t="s">
        <v>3214</v>
      </c>
      <c r="E1847" s="16">
        <v>5.0</v>
      </c>
      <c r="F1847" s="18" t="s">
        <v>1818</v>
      </c>
    </row>
    <row r="1848">
      <c r="A1848" s="5" t="s">
        <v>3252</v>
      </c>
      <c r="B1848" s="6">
        <v>6.0</v>
      </c>
      <c r="C1848" s="7">
        <v>47.0</v>
      </c>
      <c r="D1848" s="6" t="s">
        <v>3221</v>
      </c>
      <c r="E1848" s="16">
        <v>5.0</v>
      </c>
      <c r="F1848" s="18" t="s">
        <v>1819</v>
      </c>
    </row>
    <row r="1849">
      <c r="A1849" s="5" t="s">
        <v>3199</v>
      </c>
      <c r="B1849" s="6">
        <v>3.0</v>
      </c>
      <c r="C1849" s="7">
        <v>76.0</v>
      </c>
      <c r="D1849" s="6" t="s">
        <v>3190</v>
      </c>
      <c r="E1849" s="16">
        <v>5.0</v>
      </c>
      <c r="F1849" s="18" t="s">
        <v>1820</v>
      </c>
    </row>
    <row r="1850">
      <c r="A1850" s="5" t="s">
        <v>3218</v>
      </c>
      <c r="B1850" s="6">
        <v>5.0</v>
      </c>
      <c r="C1850" s="7">
        <v>159.0</v>
      </c>
      <c r="D1850" s="6" t="s">
        <v>3188</v>
      </c>
      <c r="E1850" s="16">
        <v>5.0</v>
      </c>
      <c r="F1850" s="18" t="s">
        <v>1821</v>
      </c>
    </row>
    <row r="1851">
      <c r="A1851" s="5" t="s">
        <v>3179</v>
      </c>
      <c r="B1851" s="6">
        <v>1.0</v>
      </c>
      <c r="C1851" s="7">
        <v>63.0</v>
      </c>
      <c r="D1851" s="6" t="s">
        <v>3257</v>
      </c>
      <c r="E1851" s="16">
        <v>5.0</v>
      </c>
      <c r="F1851" s="18" t="s">
        <v>1822</v>
      </c>
    </row>
    <row r="1852">
      <c r="A1852" s="5" t="s">
        <v>3175</v>
      </c>
      <c r="B1852" s="6">
        <v>5.0</v>
      </c>
      <c r="C1852" s="7">
        <v>110.0</v>
      </c>
      <c r="D1852" s="6" t="s">
        <v>3211</v>
      </c>
      <c r="E1852" s="16">
        <v>5.0</v>
      </c>
      <c r="F1852" s="18" t="s">
        <v>1823</v>
      </c>
    </row>
    <row r="1853">
      <c r="A1853" s="5" t="s">
        <v>3223</v>
      </c>
      <c r="B1853" s="6">
        <v>3.0</v>
      </c>
      <c r="C1853" s="7">
        <v>125.0</v>
      </c>
      <c r="D1853" s="6" t="s">
        <v>3180</v>
      </c>
      <c r="E1853" s="16">
        <v>4.0</v>
      </c>
      <c r="F1853" s="18" t="s">
        <v>1824</v>
      </c>
    </row>
    <row r="1854">
      <c r="A1854" s="5" t="s">
        <v>3259</v>
      </c>
      <c r="B1854" s="6">
        <v>6.0</v>
      </c>
      <c r="C1854" s="7">
        <v>124.0</v>
      </c>
      <c r="D1854" s="6" t="s">
        <v>3238</v>
      </c>
      <c r="E1854" s="16">
        <v>4.0</v>
      </c>
      <c r="F1854" s="18" t="s">
        <v>1825</v>
      </c>
    </row>
    <row r="1855">
      <c r="A1855" s="5" t="s">
        <v>3265</v>
      </c>
      <c r="B1855" s="6">
        <v>1.0</v>
      </c>
      <c r="C1855" s="7">
        <v>10.0</v>
      </c>
      <c r="D1855" s="6" t="s">
        <v>3249</v>
      </c>
      <c r="E1855" s="16">
        <v>4.0</v>
      </c>
      <c r="F1855" s="18" t="s">
        <v>1826</v>
      </c>
    </row>
    <row r="1856">
      <c r="A1856" s="5" t="s">
        <v>3237</v>
      </c>
      <c r="B1856" s="6">
        <v>2.0</v>
      </c>
      <c r="C1856" s="7">
        <v>170.0</v>
      </c>
      <c r="D1856" s="6" t="s">
        <v>3182</v>
      </c>
      <c r="E1856" s="16">
        <v>4.0</v>
      </c>
      <c r="F1856" s="18" t="s">
        <v>1827</v>
      </c>
    </row>
    <row r="1857">
      <c r="A1857" s="5" t="s">
        <v>3237</v>
      </c>
      <c r="B1857" s="6">
        <v>2.0</v>
      </c>
      <c r="C1857" s="7">
        <v>157.0</v>
      </c>
      <c r="D1857" s="6" t="s">
        <v>3219</v>
      </c>
      <c r="E1857" s="16">
        <v>4.0</v>
      </c>
      <c r="F1857" s="18" t="s">
        <v>1828</v>
      </c>
    </row>
    <row r="1858">
      <c r="A1858" s="5" t="s">
        <v>3197</v>
      </c>
      <c r="B1858" s="6">
        <v>1.0</v>
      </c>
      <c r="C1858" s="7">
        <v>77.0</v>
      </c>
      <c r="D1858" s="6" t="s">
        <v>3254</v>
      </c>
      <c r="E1858" s="16">
        <v>4.0</v>
      </c>
      <c r="F1858" s="18" t="s">
        <v>1829</v>
      </c>
    </row>
    <row r="1859">
      <c r="A1859" s="5" t="s">
        <v>3217</v>
      </c>
      <c r="B1859" s="6">
        <v>5.0</v>
      </c>
      <c r="C1859" s="7">
        <v>13.0</v>
      </c>
      <c r="D1859" s="6" t="s">
        <v>3245</v>
      </c>
      <c r="E1859" s="16">
        <v>4.0</v>
      </c>
      <c r="F1859" s="18" t="s">
        <v>1830</v>
      </c>
    </row>
    <row r="1860">
      <c r="A1860" s="5" t="s">
        <v>3269</v>
      </c>
      <c r="B1860" s="6">
        <v>6.0</v>
      </c>
      <c r="C1860" s="7">
        <v>179.0</v>
      </c>
      <c r="D1860" s="6" t="s">
        <v>3214</v>
      </c>
      <c r="E1860" s="16">
        <v>4.0</v>
      </c>
      <c r="F1860" s="18" t="s">
        <v>1831</v>
      </c>
    </row>
    <row r="1861">
      <c r="A1861" s="5" t="s">
        <v>3185</v>
      </c>
      <c r="B1861" s="6">
        <v>1.0</v>
      </c>
      <c r="C1861" s="7">
        <v>21.0</v>
      </c>
      <c r="D1861" s="6" t="s">
        <v>3200</v>
      </c>
      <c r="E1861" s="16">
        <v>3.0</v>
      </c>
      <c r="F1861" s="18" t="s">
        <v>1832</v>
      </c>
    </row>
    <row r="1862">
      <c r="A1862" s="5" t="s">
        <v>3258</v>
      </c>
      <c r="B1862" s="6">
        <v>6.0</v>
      </c>
      <c r="C1862" s="7">
        <v>14.0</v>
      </c>
      <c r="D1862" s="6" t="s">
        <v>3196</v>
      </c>
      <c r="E1862" s="16">
        <v>3.0</v>
      </c>
      <c r="F1862" s="18" t="s">
        <v>1833</v>
      </c>
    </row>
    <row r="1863">
      <c r="A1863" s="5" t="s">
        <v>3210</v>
      </c>
      <c r="B1863" s="6">
        <v>1.0</v>
      </c>
      <c r="C1863" s="7">
        <v>120.0</v>
      </c>
      <c r="D1863" s="6" t="s">
        <v>3171</v>
      </c>
      <c r="E1863" s="16">
        <v>2.0</v>
      </c>
      <c r="F1863" s="18" t="s">
        <v>1834</v>
      </c>
    </row>
    <row r="1864">
      <c r="A1864" s="5" t="s">
        <v>3185</v>
      </c>
      <c r="B1864" s="6">
        <v>1.0</v>
      </c>
      <c r="C1864" s="7">
        <v>194.0</v>
      </c>
      <c r="D1864" s="6" t="s">
        <v>3215</v>
      </c>
      <c r="E1864" s="16">
        <v>2.0</v>
      </c>
      <c r="F1864" s="18" t="s">
        <v>1835</v>
      </c>
    </row>
    <row r="1865">
      <c r="A1865" s="5" t="s">
        <v>3205</v>
      </c>
      <c r="B1865" s="6">
        <v>1.0</v>
      </c>
      <c r="C1865" s="7">
        <v>23.0</v>
      </c>
      <c r="D1865" s="6" t="s">
        <v>3219</v>
      </c>
      <c r="E1865" s="16">
        <v>2.0</v>
      </c>
      <c r="F1865" s="18" t="s">
        <v>1836</v>
      </c>
    </row>
    <row r="1866">
      <c r="A1866" s="5" t="s">
        <v>3259</v>
      </c>
      <c r="B1866" s="6">
        <v>6.0</v>
      </c>
      <c r="C1866" s="7">
        <v>41.0</v>
      </c>
      <c r="D1866" s="6" t="s">
        <v>3238</v>
      </c>
      <c r="E1866" s="16">
        <v>2.0</v>
      </c>
      <c r="F1866" s="18" t="s">
        <v>1837</v>
      </c>
    </row>
    <row r="1867">
      <c r="A1867" s="5" t="s">
        <v>3168</v>
      </c>
      <c r="B1867" s="6">
        <v>1.0</v>
      </c>
      <c r="C1867" s="7">
        <v>185.0</v>
      </c>
      <c r="D1867" s="6" t="s">
        <v>3173</v>
      </c>
      <c r="E1867" s="16">
        <v>2.0</v>
      </c>
      <c r="F1867" s="18" t="s">
        <v>1838</v>
      </c>
    </row>
    <row r="1868">
      <c r="A1868" s="5" t="s">
        <v>3179</v>
      </c>
      <c r="B1868" s="6">
        <v>1.0</v>
      </c>
      <c r="C1868" s="7">
        <v>65.0</v>
      </c>
      <c r="D1868" s="6" t="s">
        <v>3221</v>
      </c>
      <c r="E1868" s="16">
        <v>2.0</v>
      </c>
      <c r="F1868" s="18" t="s">
        <v>1839</v>
      </c>
    </row>
    <row r="1869">
      <c r="A1869" s="5" t="s">
        <v>3224</v>
      </c>
      <c r="B1869" s="6">
        <v>6.0</v>
      </c>
      <c r="C1869" s="7">
        <v>80.0</v>
      </c>
      <c r="D1869" s="6" t="s">
        <v>3180</v>
      </c>
      <c r="E1869" s="16">
        <v>2.0</v>
      </c>
      <c r="F1869" s="18" t="s">
        <v>1840</v>
      </c>
    </row>
    <row r="1870">
      <c r="A1870" s="5" t="s">
        <v>3217</v>
      </c>
      <c r="B1870" s="6">
        <v>5.0</v>
      </c>
      <c r="C1870" s="7">
        <v>4.0</v>
      </c>
      <c r="D1870" s="6" t="s">
        <v>3196</v>
      </c>
      <c r="E1870" s="16">
        <v>2.0</v>
      </c>
      <c r="F1870" s="18" t="s">
        <v>1841</v>
      </c>
    </row>
    <row r="1871">
      <c r="A1871" s="5" t="s">
        <v>3248</v>
      </c>
      <c r="B1871" s="6">
        <v>3.0</v>
      </c>
      <c r="C1871" s="7">
        <v>8.0</v>
      </c>
      <c r="D1871" s="6" t="s">
        <v>3169</v>
      </c>
      <c r="E1871" s="16">
        <v>2.0</v>
      </c>
      <c r="F1871" s="18" t="s">
        <v>1842</v>
      </c>
    </row>
    <row r="1872">
      <c r="A1872" s="5" t="s">
        <v>3228</v>
      </c>
      <c r="B1872" s="6">
        <v>6.0</v>
      </c>
      <c r="C1872" s="7">
        <v>119.0</v>
      </c>
      <c r="D1872" s="6" t="s">
        <v>3178</v>
      </c>
      <c r="E1872" s="16">
        <v>1.0</v>
      </c>
      <c r="F1872" s="18" t="s">
        <v>1843</v>
      </c>
    </row>
    <row r="1873">
      <c r="A1873" s="5" t="s">
        <v>3189</v>
      </c>
      <c r="B1873" s="6">
        <v>6.0</v>
      </c>
      <c r="C1873" s="7">
        <v>34.0</v>
      </c>
      <c r="D1873" s="6" t="s">
        <v>3227</v>
      </c>
      <c r="E1873" s="16">
        <v>1.0</v>
      </c>
      <c r="F1873" s="18" t="s">
        <v>1844</v>
      </c>
    </row>
    <row r="1874">
      <c r="A1874" s="5" t="s">
        <v>3261</v>
      </c>
      <c r="B1874" s="6">
        <v>4.0</v>
      </c>
      <c r="C1874" s="7">
        <v>132.0</v>
      </c>
      <c r="D1874" s="6" t="s">
        <v>3186</v>
      </c>
      <c r="E1874" s="16">
        <v>1.0</v>
      </c>
      <c r="F1874" s="18" t="s">
        <v>1845</v>
      </c>
    </row>
    <row r="1875">
      <c r="A1875" s="5" t="s">
        <v>3199</v>
      </c>
      <c r="B1875" s="6">
        <v>3.0</v>
      </c>
      <c r="C1875" s="7">
        <v>108.0</v>
      </c>
      <c r="D1875" s="6" t="s">
        <v>3198</v>
      </c>
      <c r="E1875" s="16">
        <v>1.0</v>
      </c>
      <c r="F1875" s="18" t="s">
        <v>1846</v>
      </c>
    </row>
    <row r="1876">
      <c r="A1876" s="5" t="s">
        <v>3189</v>
      </c>
      <c r="B1876" s="6">
        <v>6.0</v>
      </c>
      <c r="C1876" s="7">
        <v>26.0</v>
      </c>
      <c r="D1876" s="6" t="s">
        <v>3188</v>
      </c>
      <c r="E1876" s="16">
        <v>1.0</v>
      </c>
      <c r="F1876" s="18" t="s">
        <v>1847</v>
      </c>
    </row>
    <row r="1877">
      <c r="A1877" s="5" t="s">
        <v>3240</v>
      </c>
      <c r="B1877" s="6">
        <v>2.0</v>
      </c>
      <c r="C1877" s="7">
        <v>157.0</v>
      </c>
      <c r="D1877" s="6" t="s">
        <v>3219</v>
      </c>
      <c r="E1877" s="16">
        <v>1.0</v>
      </c>
      <c r="F1877" s="18" t="s">
        <v>1848</v>
      </c>
    </row>
    <row r="1878">
      <c r="A1878" s="5" t="s">
        <v>3206</v>
      </c>
      <c r="B1878" s="6">
        <v>6.0</v>
      </c>
      <c r="C1878" s="7">
        <v>61.0</v>
      </c>
      <c r="D1878" s="6" t="s">
        <v>3249</v>
      </c>
      <c r="E1878" s="16">
        <v>1.0</v>
      </c>
      <c r="F1878" s="18" t="s">
        <v>1849</v>
      </c>
    </row>
    <row r="1879">
      <c r="A1879" s="5" t="s">
        <v>3256</v>
      </c>
      <c r="B1879" s="6">
        <v>6.0</v>
      </c>
      <c r="C1879" s="7">
        <v>150.0</v>
      </c>
      <c r="D1879" s="6" t="s">
        <v>3167</v>
      </c>
      <c r="E1879" s="16">
        <v>1.0</v>
      </c>
      <c r="F1879" s="18" t="s">
        <v>1850</v>
      </c>
    </row>
    <row r="1880">
      <c r="A1880" s="5" t="s">
        <v>3228</v>
      </c>
      <c r="B1880" s="6">
        <v>6.0</v>
      </c>
      <c r="C1880" s="7">
        <v>164.0</v>
      </c>
      <c r="D1880" s="6" t="s">
        <v>3232</v>
      </c>
      <c r="E1880" s="16">
        <v>5.0</v>
      </c>
      <c r="F1880" s="18" t="s">
        <v>1851</v>
      </c>
    </row>
    <row r="1881">
      <c r="A1881" s="5" t="s">
        <v>3236</v>
      </c>
      <c r="B1881" s="6">
        <v>6.0</v>
      </c>
      <c r="C1881" s="7">
        <v>75.0</v>
      </c>
      <c r="D1881" s="6" t="s">
        <v>3257</v>
      </c>
      <c r="E1881" s="16">
        <v>5.0</v>
      </c>
      <c r="F1881" s="18" t="s">
        <v>1852</v>
      </c>
    </row>
    <row r="1882">
      <c r="A1882" s="5" t="s">
        <v>3242</v>
      </c>
      <c r="B1882" s="6">
        <v>1.0</v>
      </c>
      <c r="C1882" s="7">
        <v>79.0</v>
      </c>
      <c r="D1882" s="6" t="s">
        <v>3232</v>
      </c>
      <c r="E1882" s="16">
        <v>5.0</v>
      </c>
      <c r="F1882" s="18" t="s">
        <v>1853</v>
      </c>
    </row>
    <row r="1883">
      <c r="A1883" s="5" t="s">
        <v>3172</v>
      </c>
      <c r="B1883" s="6">
        <v>1.0</v>
      </c>
      <c r="C1883" s="7">
        <v>140.0</v>
      </c>
      <c r="D1883" s="6" t="s">
        <v>3190</v>
      </c>
      <c r="E1883" s="16">
        <v>5.0</v>
      </c>
      <c r="F1883" s="18" t="s">
        <v>1854</v>
      </c>
    </row>
    <row r="1884">
      <c r="A1884" s="5" t="s">
        <v>3253</v>
      </c>
      <c r="B1884" s="6">
        <v>1.0</v>
      </c>
      <c r="C1884" s="7">
        <v>9.0</v>
      </c>
      <c r="D1884" s="6" t="s">
        <v>3232</v>
      </c>
      <c r="E1884" s="16">
        <v>5.0</v>
      </c>
      <c r="F1884" s="18" t="s">
        <v>1855</v>
      </c>
    </row>
    <row r="1885">
      <c r="A1885" s="5" t="s">
        <v>3218</v>
      </c>
      <c r="B1885" s="6">
        <v>5.0</v>
      </c>
      <c r="C1885" s="7">
        <v>125.0</v>
      </c>
      <c r="D1885" s="6" t="s">
        <v>3180</v>
      </c>
      <c r="E1885" s="16">
        <v>5.0</v>
      </c>
      <c r="F1885" s="18" t="s">
        <v>1856</v>
      </c>
    </row>
    <row r="1886">
      <c r="A1886" s="5" t="s">
        <v>3205</v>
      </c>
      <c r="B1886" s="6">
        <v>1.0</v>
      </c>
      <c r="C1886" s="7">
        <v>6.0</v>
      </c>
      <c r="D1886" s="6" t="s">
        <v>3180</v>
      </c>
      <c r="E1886" s="16">
        <v>5.0</v>
      </c>
      <c r="F1886" s="18" t="s">
        <v>1857</v>
      </c>
    </row>
    <row r="1887">
      <c r="A1887" s="5" t="s">
        <v>3260</v>
      </c>
      <c r="B1887" s="6">
        <v>1.0</v>
      </c>
      <c r="C1887" s="7">
        <v>128.0</v>
      </c>
      <c r="D1887" s="6" t="s">
        <v>3211</v>
      </c>
      <c r="E1887" s="16">
        <v>5.0</v>
      </c>
      <c r="F1887" s="18" t="s">
        <v>1858</v>
      </c>
    </row>
    <row r="1888">
      <c r="A1888" s="5" t="s">
        <v>3226</v>
      </c>
      <c r="B1888" s="6">
        <v>1.0</v>
      </c>
      <c r="C1888" s="7">
        <v>112.0</v>
      </c>
      <c r="D1888" s="6" t="s">
        <v>3227</v>
      </c>
      <c r="E1888" s="16">
        <v>5.0</v>
      </c>
      <c r="F1888" s="18" t="s">
        <v>1859</v>
      </c>
    </row>
    <row r="1889">
      <c r="A1889" s="5" t="s">
        <v>3265</v>
      </c>
      <c r="B1889" s="6">
        <v>1.0</v>
      </c>
      <c r="C1889" s="7">
        <v>149.0</v>
      </c>
      <c r="D1889" s="6" t="s">
        <v>3239</v>
      </c>
      <c r="E1889" s="16">
        <v>5.0</v>
      </c>
      <c r="F1889" s="18" t="s">
        <v>1860</v>
      </c>
    </row>
    <row r="1890">
      <c r="A1890" s="5" t="s">
        <v>3230</v>
      </c>
      <c r="B1890" s="6">
        <v>1.0</v>
      </c>
      <c r="C1890" s="7">
        <v>78.0</v>
      </c>
      <c r="D1890" s="6" t="s">
        <v>3176</v>
      </c>
      <c r="E1890" s="16">
        <v>5.0</v>
      </c>
      <c r="F1890" s="18" t="s">
        <v>1861</v>
      </c>
    </row>
    <row r="1891">
      <c r="A1891" s="5" t="s">
        <v>3253</v>
      </c>
      <c r="B1891" s="6">
        <v>1.0</v>
      </c>
      <c r="C1891" s="7">
        <v>49.0</v>
      </c>
      <c r="D1891" s="6" t="s">
        <v>3254</v>
      </c>
      <c r="E1891" s="16">
        <v>5.0</v>
      </c>
      <c r="F1891" s="18" t="s">
        <v>1862</v>
      </c>
    </row>
    <row r="1892">
      <c r="A1892" s="5" t="s">
        <v>3265</v>
      </c>
      <c r="B1892" s="6">
        <v>1.0</v>
      </c>
      <c r="C1892" s="7">
        <v>115.0</v>
      </c>
      <c r="D1892" s="6" t="s">
        <v>3173</v>
      </c>
      <c r="E1892" s="16">
        <v>5.0</v>
      </c>
      <c r="F1892" s="18" t="s">
        <v>1863</v>
      </c>
    </row>
    <row r="1893">
      <c r="A1893" s="5" t="s">
        <v>3233</v>
      </c>
      <c r="B1893" s="6">
        <v>6.0</v>
      </c>
      <c r="C1893" s="7">
        <v>115.0</v>
      </c>
      <c r="D1893" s="6" t="s">
        <v>3173</v>
      </c>
      <c r="E1893" s="16">
        <v>5.0</v>
      </c>
      <c r="F1893" s="18" t="s">
        <v>1864</v>
      </c>
    </row>
    <row r="1894">
      <c r="A1894" s="5" t="s">
        <v>3197</v>
      </c>
      <c r="B1894" s="6">
        <v>1.0</v>
      </c>
      <c r="C1894" s="7">
        <v>103.0</v>
      </c>
      <c r="D1894" s="6" t="s">
        <v>3254</v>
      </c>
      <c r="E1894" s="16">
        <v>5.0</v>
      </c>
      <c r="F1894" s="18" t="s">
        <v>1865</v>
      </c>
    </row>
    <row r="1895">
      <c r="A1895" s="5" t="s">
        <v>3179</v>
      </c>
      <c r="B1895" s="6">
        <v>1.0</v>
      </c>
      <c r="C1895" s="7">
        <v>7.0</v>
      </c>
      <c r="D1895" s="6" t="s">
        <v>3180</v>
      </c>
      <c r="E1895" s="16">
        <v>5.0</v>
      </c>
      <c r="F1895" s="18" t="s">
        <v>1866</v>
      </c>
    </row>
    <row r="1896">
      <c r="A1896" s="5" t="s">
        <v>3189</v>
      </c>
      <c r="B1896" s="6">
        <v>6.0</v>
      </c>
      <c r="C1896" s="7">
        <v>51.0</v>
      </c>
      <c r="D1896" s="6" t="s">
        <v>3169</v>
      </c>
      <c r="E1896" s="16">
        <v>4.0</v>
      </c>
      <c r="F1896" s="18" t="s">
        <v>1867</v>
      </c>
    </row>
    <row r="1897">
      <c r="A1897" s="5" t="s">
        <v>3218</v>
      </c>
      <c r="B1897" s="6">
        <v>5.0</v>
      </c>
      <c r="C1897" s="7">
        <v>188.0</v>
      </c>
      <c r="D1897" s="6" t="s">
        <v>3198</v>
      </c>
      <c r="E1897" s="16">
        <v>4.0</v>
      </c>
      <c r="F1897" s="18" t="s">
        <v>1868</v>
      </c>
    </row>
    <row r="1898">
      <c r="A1898" s="5" t="s">
        <v>3206</v>
      </c>
      <c r="B1898" s="6">
        <v>6.0</v>
      </c>
      <c r="C1898" s="7">
        <v>50.0</v>
      </c>
      <c r="D1898" s="6" t="s">
        <v>3238</v>
      </c>
      <c r="E1898" s="16">
        <v>4.0</v>
      </c>
      <c r="F1898" s="18" t="s">
        <v>1869</v>
      </c>
    </row>
    <row r="1899">
      <c r="A1899" s="5" t="s">
        <v>3181</v>
      </c>
      <c r="B1899" s="6">
        <v>1.0</v>
      </c>
      <c r="C1899" s="7">
        <v>192.0</v>
      </c>
      <c r="D1899" s="6" t="s">
        <v>3186</v>
      </c>
      <c r="E1899" s="16">
        <v>4.0</v>
      </c>
      <c r="F1899" s="18" t="s">
        <v>1870</v>
      </c>
    </row>
    <row r="1900">
      <c r="A1900" s="5" t="s">
        <v>3199</v>
      </c>
      <c r="B1900" s="6">
        <v>3.0</v>
      </c>
      <c r="C1900" s="7">
        <v>150.0</v>
      </c>
      <c r="D1900" s="6" t="s">
        <v>3167</v>
      </c>
      <c r="E1900" s="16">
        <v>4.0</v>
      </c>
      <c r="F1900" s="18" t="s">
        <v>1871</v>
      </c>
    </row>
    <row r="1901">
      <c r="A1901" s="5" t="s">
        <v>3263</v>
      </c>
      <c r="B1901" s="6">
        <v>1.0</v>
      </c>
      <c r="C1901" s="7">
        <v>59.0</v>
      </c>
      <c r="D1901" s="6" t="s">
        <v>3227</v>
      </c>
      <c r="E1901" s="16">
        <v>4.0</v>
      </c>
      <c r="F1901" s="18" t="s">
        <v>1872</v>
      </c>
    </row>
    <row r="1902">
      <c r="A1902" s="5" t="s">
        <v>3270</v>
      </c>
      <c r="B1902" s="6">
        <v>3.0</v>
      </c>
      <c r="C1902" s="7">
        <v>2.0</v>
      </c>
      <c r="D1902" s="6" t="s">
        <v>3214</v>
      </c>
      <c r="E1902" s="16">
        <v>4.0</v>
      </c>
      <c r="F1902" s="18" t="s">
        <v>1873</v>
      </c>
    </row>
    <row r="1903">
      <c r="A1903" s="5" t="s">
        <v>3199</v>
      </c>
      <c r="B1903" s="6">
        <v>3.0</v>
      </c>
      <c r="C1903" s="7">
        <v>98.0</v>
      </c>
      <c r="D1903" s="6" t="s">
        <v>3211</v>
      </c>
      <c r="E1903" s="16">
        <v>3.0</v>
      </c>
      <c r="F1903" s="18" t="s">
        <v>1874</v>
      </c>
    </row>
    <row r="1904">
      <c r="A1904" s="5" t="s">
        <v>3256</v>
      </c>
      <c r="B1904" s="6">
        <v>6.0</v>
      </c>
      <c r="C1904" s="7">
        <v>81.0</v>
      </c>
      <c r="D1904" s="6" t="s">
        <v>3169</v>
      </c>
      <c r="E1904" s="16">
        <v>3.0</v>
      </c>
      <c r="F1904" s="18" t="s">
        <v>1875</v>
      </c>
    </row>
    <row r="1905">
      <c r="A1905" s="5" t="s">
        <v>3228</v>
      </c>
      <c r="B1905" s="6">
        <v>6.0</v>
      </c>
      <c r="C1905" s="7">
        <v>169.0</v>
      </c>
      <c r="D1905" s="6" t="s">
        <v>3200</v>
      </c>
      <c r="E1905" s="16">
        <v>3.0</v>
      </c>
      <c r="F1905" s="18" t="s">
        <v>1876</v>
      </c>
    </row>
    <row r="1906">
      <c r="A1906" s="5" t="s">
        <v>3172</v>
      </c>
      <c r="B1906" s="6">
        <v>1.0</v>
      </c>
      <c r="C1906" s="7">
        <v>20.0</v>
      </c>
      <c r="D1906" s="6" t="s">
        <v>3173</v>
      </c>
      <c r="E1906" s="16">
        <v>3.0</v>
      </c>
      <c r="F1906" s="18" t="s">
        <v>1877</v>
      </c>
    </row>
    <row r="1907">
      <c r="A1907" s="5" t="s">
        <v>3177</v>
      </c>
      <c r="B1907" s="6">
        <v>5.0</v>
      </c>
      <c r="C1907" s="7">
        <v>16.0</v>
      </c>
      <c r="D1907" s="6" t="s">
        <v>3178</v>
      </c>
      <c r="E1907" s="16">
        <v>2.0</v>
      </c>
      <c r="F1907" s="18" t="s">
        <v>1878</v>
      </c>
    </row>
    <row r="1908">
      <c r="A1908" s="5" t="s">
        <v>3264</v>
      </c>
      <c r="B1908" s="6">
        <v>4.0</v>
      </c>
      <c r="C1908" s="7">
        <v>55.0</v>
      </c>
      <c r="D1908" s="6" t="s">
        <v>3198</v>
      </c>
      <c r="E1908" s="16">
        <v>2.0</v>
      </c>
      <c r="F1908" s="18" t="s">
        <v>1879</v>
      </c>
    </row>
    <row r="1909">
      <c r="A1909" s="5" t="s">
        <v>3193</v>
      </c>
      <c r="B1909" s="6">
        <v>5.0</v>
      </c>
      <c r="C1909" s="7">
        <v>85.0</v>
      </c>
      <c r="D1909" s="6" t="s">
        <v>3192</v>
      </c>
      <c r="E1909" s="16">
        <v>2.0</v>
      </c>
      <c r="F1909" s="18" t="s">
        <v>1880</v>
      </c>
    </row>
    <row r="1910">
      <c r="A1910" s="5" t="s">
        <v>3226</v>
      </c>
      <c r="B1910" s="6">
        <v>1.0</v>
      </c>
      <c r="C1910" s="7">
        <v>187.0</v>
      </c>
      <c r="D1910" s="6" t="s">
        <v>3254</v>
      </c>
      <c r="E1910" s="16">
        <v>2.0</v>
      </c>
      <c r="F1910" s="18" t="s">
        <v>1881</v>
      </c>
    </row>
    <row r="1911">
      <c r="A1911" s="5" t="s">
        <v>3237</v>
      </c>
      <c r="B1911" s="6">
        <v>2.0</v>
      </c>
      <c r="C1911" s="7">
        <v>81.0</v>
      </c>
      <c r="D1911" s="6" t="s">
        <v>3169</v>
      </c>
      <c r="E1911" s="16">
        <v>2.0</v>
      </c>
      <c r="F1911" s="18" t="s">
        <v>1882</v>
      </c>
    </row>
    <row r="1912">
      <c r="A1912" s="5" t="s">
        <v>3228</v>
      </c>
      <c r="B1912" s="6">
        <v>6.0</v>
      </c>
      <c r="C1912" s="7">
        <v>31.0</v>
      </c>
      <c r="D1912" s="6" t="s">
        <v>3227</v>
      </c>
      <c r="E1912" s="16">
        <v>1.0</v>
      </c>
      <c r="F1912" s="18" t="s">
        <v>1883</v>
      </c>
    </row>
    <row r="1913">
      <c r="A1913" s="5" t="s">
        <v>3253</v>
      </c>
      <c r="B1913" s="6">
        <v>1.0</v>
      </c>
      <c r="C1913" s="7">
        <v>125.0</v>
      </c>
      <c r="D1913" s="6" t="s">
        <v>3180</v>
      </c>
      <c r="E1913" s="16">
        <v>1.0</v>
      </c>
      <c r="F1913" s="18" t="s">
        <v>1884</v>
      </c>
    </row>
    <row r="1914">
      <c r="A1914" s="5" t="s">
        <v>3247</v>
      </c>
      <c r="B1914" s="6">
        <v>6.0</v>
      </c>
      <c r="C1914" s="7">
        <v>165.0</v>
      </c>
      <c r="D1914" s="6" t="s">
        <v>3196</v>
      </c>
      <c r="E1914" s="16">
        <v>1.0</v>
      </c>
      <c r="F1914" s="18" t="s">
        <v>1885</v>
      </c>
    </row>
    <row r="1915">
      <c r="A1915" s="5" t="s">
        <v>3250</v>
      </c>
      <c r="B1915" s="6">
        <v>4.0</v>
      </c>
      <c r="C1915" s="7">
        <v>45.0</v>
      </c>
      <c r="D1915" s="6" t="s">
        <v>3241</v>
      </c>
      <c r="E1915" s="16">
        <v>1.0</v>
      </c>
      <c r="F1915" s="18" t="s">
        <v>1886</v>
      </c>
    </row>
    <row r="1916">
      <c r="A1916" s="5" t="s">
        <v>3170</v>
      </c>
      <c r="B1916" s="6">
        <v>1.0</v>
      </c>
      <c r="C1916" s="7">
        <v>75.0</v>
      </c>
      <c r="D1916" s="6" t="s">
        <v>3257</v>
      </c>
      <c r="E1916" s="16">
        <v>1.0</v>
      </c>
      <c r="F1916" s="18" t="s">
        <v>1887</v>
      </c>
    </row>
    <row r="1917">
      <c r="A1917" s="5" t="s">
        <v>3252</v>
      </c>
      <c r="B1917" s="6">
        <v>6.0</v>
      </c>
      <c r="C1917" s="7">
        <v>142.0</v>
      </c>
      <c r="D1917" s="6" t="s">
        <v>3173</v>
      </c>
      <c r="E1917" s="16">
        <v>1.0</v>
      </c>
      <c r="F1917" s="18" t="s">
        <v>1888</v>
      </c>
    </row>
    <row r="1918">
      <c r="A1918" s="5" t="s">
        <v>3213</v>
      </c>
      <c r="B1918" s="6">
        <v>2.0</v>
      </c>
      <c r="C1918" s="7">
        <v>82.0</v>
      </c>
      <c r="D1918" s="6" t="s">
        <v>3190</v>
      </c>
      <c r="E1918" s="16">
        <v>1.0</v>
      </c>
      <c r="F1918" s="18" t="s">
        <v>1889</v>
      </c>
    </row>
    <row r="1919">
      <c r="A1919" s="5" t="s">
        <v>3193</v>
      </c>
      <c r="B1919" s="6">
        <v>5.0</v>
      </c>
      <c r="C1919" s="7">
        <v>76.0</v>
      </c>
      <c r="D1919" s="6" t="s">
        <v>3190</v>
      </c>
      <c r="E1919" s="16">
        <v>1.0</v>
      </c>
      <c r="F1919" s="18" t="s">
        <v>1890</v>
      </c>
    </row>
    <row r="1920">
      <c r="A1920" s="5" t="s">
        <v>3208</v>
      </c>
      <c r="B1920" s="6">
        <v>4.0</v>
      </c>
      <c r="C1920" s="7">
        <v>56.0</v>
      </c>
      <c r="D1920" s="6" t="s">
        <v>3186</v>
      </c>
      <c r="E1920" s="16">
        <v>1.0</v>
      </c>
      <c r="F1920" s="18" t="s">
        <v>1891</v>
      </c>
    </row>
    <row r="1921">
      <c r="A1921" s="5" t="s">
        <v>3199</v>
      </c>
      <c r="B1921" s="6">
        <v>3.0</v>
      </c>
      <c r="C1921" s="7">
        <v>50.0</v>
      </c>
      <c r="D1921" s="6" t="s">
        <v>3238</v>
      </c>
      <c r="E1921" s="16">
        <v>1.0</v>
      </c>
      <c r="F1921" s="18" t="s">
        <v>1892</v>
      </c>
    </row>
    <row r="1922">
      <c r="A1922" s="5" t="s">
        <v>3205</v>
      </c>
      <c r="B1922" s="6">
        <v>1.0</v>
      </c>
      <c r="C1922" s="7">
        <v>129.0</v>
      </c>
      <c r="D1922" s="6" t="s">
        <v>3182</v>
      </c>
      <c r="E1922" s="16">
        <v>1.0</v>
      </c>
      <c r="F1922" s="18" t="s">
        <v>1893</v>
      </c>
    </row>
    <row r="1923">
      <c r="A1923" s="5" t="s">
        <v>3243</v>
      </c>
      <c r="B1923" s="6">
        <v>4.0</v>
      </c>
      <c r="C1923" s="7">
        <v>198.0</v>
      </c>
      <c r="D1923" s="6" t="s">
        <v>3180</v>
      </c>
      <c r="E1923" s="16">
        <v>5.0</v>
      </c>
      <c r="F1923" s="18" t="s">
        <v>1894</v>
      </c>
    </row>
    <row r="1924">
      <c r="A1924" s="5" t="s">
        <v>3223</v>
      </c>
      <c r="B1924" s="6">
        <v>3.0</v>
      </c>
      <c r="C1924" s="7">
        <v>174.0</v>
      </c>
      <c r="D1924" s="6" t="s">
        <v>3188</v>
      </c>
      <c r="E1924" s="16">
        <v>5.0</v>
      </c>
      <c r="F1924" s="18" t="s">
        <v>1895</v>
      </c>
    </row>
    <row r="1925">
      <c r="A1925" s="5" t="s">
        <v>3213</v>
      </c>
      <c r="B1925" s="6">
        <v>2.0</v>
      </c>
      <c r="C1925" s="7">
        <v>97.0</v>
      </c>
      <c r="D1925" s="6" t="s">
        <v>3194</v>
      </c>
      <c r="E1925" s="16">
        <v>5.0</v>
      </c>
      <c r="F1925" s="18" t="s">
        <v>1896</v>
      </c>
    </row>
    <row r="1926">
      <c r="A1926" s="5" t="s">
        <v>3197</v>
      </c>
      <c r="B1926" s="6">
        <v>1.0</v>
      </c>
      <c r="C1926" s="7">
        <v>31.0</v>
      </c>
      <c r="D1926" s="6" t="s">
        <v>3227</v>
      </c>
      <c r="E1926" s="16">
        <v>5.0</v>
      </c>
      <c r="F1926" s="18" t="s">
        <v>1897</v>
      </c>
    </row>
    <row r="1927">
      <c r="A1927" s="5" t="s">
        <v>3181</v>
      </c>
      <c r="B1927" s="6">
        <v>1.0</v>
      </c>
      <c r="C1927" s="7">
        <v>117.0</v>
      </c>
      <c r="D1927" s="6" t="s">
        <v>3225</v>
      </c>
      <c r="E1927" s="16">
        <v>5.0</v>
      </c>
      <c r="F1927" s="18" t="s">
        <v>1898</v>
      </c>
    </row>
    <row r="1928">
      <c r="A1928" s="5" t="s">
        <v>3234</v>
      </c>
      <c r="B1928" s="6">
        <v>6.0</v>
      </c>
      <c r="C1928" s="7">
        <v>61.0</v>
      </c>
      <c r="D1928" s="6" t="s">
        <v>3249</v>
      </c>
      <c r="E1928" s="16">
        <v>5.0</v>
      </c>
      <c r="F1928" s="18" t="s">
        <v>1899</v>
      </c>
    </row>
    <row r="1929">
      <c r="A1929" s="5" t="s">
        <v>3202</v>
      </c>
      <c r="B1929" s="6">
        <v>4.0</v>
      </c>
      <c r="C1929" s="7">
        <v>161.0</v>
      </c>
      <c r="D1929" s="6" t="s">
        <v>3192</v>
      </c>
      <c r="E1929" s="16">
        <v>5.0</v>
      </c>
      <c r="F1929" s="18" t="s">
        <v>1900</v>
      </c>
    </row>
    <row r="1930">
      <c r="A1930" s="5" t="s">
        <v>3216</v>
      </c>
      <c r="B1930" s="6">
        <v>6.0</v>
      </c>
      <c r="C1930" s="7">
        <v>48.0</v>
      </c>
      <c r="D1930" s="6" t="s">
        <v>3232</v>
      </c>
      <c r="E1930" s="16">
        <v>5.0</v>
      </c>
      <c r="F1930" s="18" t="s">
        <v>1901</v>
      </c>
    </row>
    <row r="1931">
      <c r="A1931" s="5" t="s">
        <v>3236</v>
      </c>
      <c r="B1931" s="6">
        <v>6.0</v>
      </c>
      <c r="C1931" s="7">
        <v>97.0</v>
      </c>
      <c r="D1931" s="6" t="s">
        <v>3194</v>
      </c>
      <c r="E1931" s="16">
        <v>5.0</v>
      </c>
      <c r="F1931" s="18" t="s">
        <v>1902</v>
      </c>
    </row>
    <row r="1932">
      <c r="A1932" s="5" t="s">
        <v>3197</v>
      </c>
      <c r="B1932" s="6">
        <v>1.0</v>
      </c>
      <c r="C1932" s="7">
        <v>52.0</v>
      </c>
      <c r="D1932" s="6" t="s">
        <v>3194</v>
      </c>
      <c r="E1932" s="16">
        <v>5.0</v>
      </c>
      <c r="F1932" s="18" t="s">
        <v>1903</v>
      </c>
    </row>
    <row r="1933">
      <c r="A1933" s="5" t="s">
        <v>3252</v>
      </c>
      <c r="B1933" s="6">
        <v>6.0</v>
      </c>
      <c r="C1933" s="7">
        <v>197.0</v>
      </c>
      <c r="D1933" s="6" t="s">
        <v>3173</v>
      </c>
      <c r="E1933" s="16">
        <v>5.0</v>
      </c>
      <c r="F1933" s="18" t="s">
        <v>1904</v>
      </c>
    </row>
    <row r="1934">
      <c r="A1934" s="5" t="s">
        <v>3234</v>
      </c>
      <c r="B1934" s="6">
        <v>6.0</v>
      </c>
      <c r="C1934" s="7">
        <v>40.0</v>
      </c>
      <c r="D1934" s="6" t="s">
        <v>3221</v>
      </c>
      <c r="E1934" s="16">
        <v>5.0</v>
      </c>
      <c r="F1934" s="18" t="s">
        <v>1905</v>
      </c>
    </row>
    <row r="1935">
      <c r="A1935" s="5" t="s">
        <v>3189</v>
      </c>
      <c r="B1935" s="6">
        <v>6.0</v>
      </c>
      <c r="C1935" s="7">
        <v>127.0</v>
      </c>
      <c r="D1935" s="6" t="s">
        <v>3262</v>
      </c>
      <c r="E1935" s="16">
        <v>5.0</v>
      </c>
      <c r="F1935" s="18" t="s">
        <v>1906</v>
      </c>
    </row>
    <row r="1936">
      <c r="A1936" s="5" t="s">
        <v>3204</v>
      </c>
      <c r="B1936" s="6">
        <v>1.0</v>
      </c>
      <c r="C1936" s="7">
        <v>117.0</v>
      </c>
      <c r="D1936" s="6" t="s">
        <v>3225</v>
      </c>
      <c r="E1936" s="16">
        <v>5.0</v>
      </c>
      <c r="F1936" s="18" t="s">
        <v>1907</v>
      </c>
    </row>
    <row r="1937">
      <c r="A1937" s="5" t="s">
        <v>3218</v>
      </c>
      <c r="B1937" s="6">
        <v>5.0</v>
      </c>
      <c r="C1937" s="7">
        <v>39.0</v>
      </c>
      <c r="D1937" s="6" t="s">
        <v>3254</v>
      </c>
      <c r="E1937" s="16">
        <v>5.0</v>
      </c>
      <c r="F1937" s="18" t="s">
        <v>1908</v>
      </c>
    </row>
    <row r="1938">
      <c r="A1938" s="5" t="s">
        <v>3201</v>
      </c>
      <c r="B1938" s="6">
        <v>5.0</v>
      </c>
      <c r="C1938" s="7">
        <v>173.0</v>
      </c>
      <c r="D1938" s="6" t="s">
        <v>3167</v>
      </c>
      <c r="E1938" s="16">
        <v>5.0</v>
      </c>
      <c r="F1938" s="18" t="s">
        <v>1909</v>
      </c>
    </row>
    <row r="1939">
      <c r="A1939" s="5" t="s">
        <v>3170</v>
      </c>
      <c r="B1939" s="6">
        <v>1.0</v>
      </c>
      <c r="C1939" s="7">
        <v>98.0</v>
      </c>
      <c r="D1939" s="6" t="s">
        <v>3211</v>
      </c>
      <c r="E1939" s="16">
        <v>5.0</v>
      </c>
      <c r="F1939" s="18" t="s">
        <v>1910</v>
      </c>
    </row>
    <row r="1940">
      <c r="A1940" s="5" t="s">
        <v>3175</v>
      </c>
      <c r="B1940" s="6">
        <v>5.0</v>
      </c>
      <c r="C1940" s="7">
        <v>177.0</v>
      </c>
      <c r="D1940" s="6" t="s">
        <v>3167</v>
      </c>
      <c r="E1940" s="16">
        <v>5.0</v>
      </c>
      <c r="F1940" s="18" t="s">
        <v>1911</v>
      </c>
    </row>
    <row r="1941">
      <c r="A1941" s="5" t="s">
        <v>3248</v>
      </c>
      <c r="B1941" s="6">
        <v>3.0</v>
      </c>
      <c r="C1941" s="7">
        <v>25.0</v>
      </c>
      <c r="D1941" s="6" t="s">
        <v>3173</v>
      </c>
      <c r="E1941" s="16">
        <v>4.0</v>
      </c>
      <c r="F1941" s="18" t="s">
        <v>1912</v>
      </c>
    </row>
    <row r="1942">
      <c r="A1942" s="5" t="s">
        <v>3172</v>
      </c>
      <c r="B1942" s="6">
        <v>1.0</v>
      </c>
      <c r="C1942" s="7">
        <v>176.0</v>
      </c>
      <c r="D1942" s="6" t="s">
        <v>3232</v>
      </c>
      <c r="E1942" s="16">
        <v>4.0</v>
      </c>
      <c r="F1942" s="18" t="s">
        <v>1913</v>
      </c>
    </row>
    <row r="1943">
      <c r="A1943" s="5" t="s">
        <v>3202</v>
      </c>
      <c r="B1943" s="6">
        <v>4.0</v>
      </c>
      <c r="C1943" s="7">
        <v>151.0</v>
      </c>
      <c r="D1943" s="6" t="s">
        <v>3232</v>
      </c>
      <c r="E1943" s="16">
        <v>4.0</v>
      </c>
      <c r="F1943" s="18" t="s">
        <v>1914</v>
      </c>
    </row>
    <row r="1944">
      <c r="A1944" s="5" t="s">
        <v>3240</v>
      </c>
      <c r="B1944" s="6">
        <v>2.0</v>
      </c>
      <c r="C1944" s="7">
        <v>112.0</v>
      </c>
      <c r="D1944" s="6" t="s">
        <v>3227</v>
      </c>
      <c r="E1944" s="16">
        <v>4.0</v>
      </c>
      <c r="F1944" s="18" t="s">
        <v>1915</v>
      </c>
    </row>
    <row r="1945">
      <c r="A1945" s="5" t="s">
        <v>3166</v>
      </c>
      <c r="B1945" s="6">
        <v>6.0</v>
      </c>
      <c r="C1945" s="7">
        <v>2.0</v>
      </c>
      <c r="D1945" s="6" t="s">
        <v>3214</v>
      </c>
      <c r="E1945" s="16">
        <v>4.0</v>
      </c>
      <c r="F1945" s="18" t="s">
        <v>1916</v>
      </c>
    </row>
    <row r="1946">
      <c r="A1946" s="5" t="s">
        <v>3234</v>
      </c>
      <c r="B1946" s="6">
        <v>6.0</v>
      </c>
      <c r="C1946" s="7">
        <v>53.0</v>
      </c>
      <c r="D1946" s="6" t="s">
        <v>3249</v>
      </c>
      <c r="E1946" s="16">
        <v>3.0</v>
      </c>
      <c r="F1946" s="18" t="s">
        <v>1917</v>
      </c>
    </row>
    <row r="1947">
      <c r="A1947" s="5" t="s">
        <v>3197</v>
      </c>
      <c r="B1947" s="6">
        <v>1.0</v>
      </c>
      <c r="C1947" s="7">
        <v>20.0</v>
      </c>
      <c r="D1947" s="6" t="s">
        <v>3173</v>
      </c>
      <c r="E1947" s="16">
        <v>3.0</v>
      </c>
      <c r="F1947" s="18" t="s">
        <v>1918</v>
      </c>
    </row>
    <row r="1948">
      <c r="A1948" s="5" t="s">
        <v>3252</v>
      </c>
      <c r="B1948" s="6">
        <v>6.0</v>
      </c>
      <c r="C1948" s="7">
        <v>78.0</v>
      </c>
      <c r="D1948" s="6" t="s">
        <v>3176</v>
      </c>
      <c r="E1948" s="16">
        <v>3.0</v>
      </c>
      <c r="F1948" s="18" t="s">
        <v>1919</v>
      </c>
    </row>
    <row r="1949">
      <c r="A1949" s="5" t="s">
        <v>3170</v>
      </c>
      <c r="B1949" s="6">
        <v>1.0</v>
      </c>
      <c r="C1949" s="7">
        <v>145.0</v>
      </c>
      <c r="D1949" s="6" t="s">
        <v>3222</v>
      </c>
      <c r="E1949" s="16">
        <v>2.0</v>
      </c>
      <c r="F1949" s="18" t="s">
        <v>1920</v>
      </c>
    </row>
    <row r="1950">
      <c r="A1950" s="5" t="s">
        <v>3236</v>
      </c>
      <c r="B1950" s="6">
        <v>6.0</v>
      </c>
      <c r="C1950" s="7">
        <v>15.0</v>
      </c>
      <c r="D1950" s="6" t="s">
        <v>3254</v>
      </c>
      <c r="E1950" s="16">
        <v>2.0</v>
      </c>
      <c r="F1950" s="18" t="s">
        <v>1921</v>
      </c>
    </row>
    <row r="1951">
      <c r="A1951" s="5" t="s">
        <v>3236</v>
      </c>
      <c r="B1951" s="6">
        <v>6.0</v>
      </c>
      <c r="C1951" s="7">
        <v>40.0</v>
      </c>
      <c r="D1951" s="6" t="s">
        <v>3221</v>
      </c>
      <c r="E1951" s="16">
        <v>2.0</v>
      </c>
      <c r="F1951" s="18" t="s">
        <v>1922</v>
      </c>
    </row>
    <row r="1952">
      <c r="A1952" s="5" t="s">
        <v>3252</v>
      </c>
      <c r="B1952" s="6">
        <v>6.0</v>
      </c>
      <c r="C1952" s="7">
        <v>119.0</v>
      </c>
      <c r="D1952" s="6" t="s">
        <v>3178</v>
      </c>
      <c r="E1952" s="16">
        <v>2.0</v>
      </c>
      <c r="F1952" s="18" t="s">
        <v>1923</v>
      </c>
    </row>
    <row r="1953">
      <c r="A1953" s="5" t="s">
        <v>3255</v>
      </c>
      <c r="B1953" s="6">
        <v>6.0</v>
      </c>
      <c r="C1953" s="7">
        <v>130.0</v>
      </c>
      <c r="D1953" s="6" t="s">
        <v>3232</v>
      </c>
      <c r="E1953" s="16">
        <v>2.0</v>
      </c>
      <c r="F1953" s="18" t="s">
        <v>1924</v>
      </c>
    </row>
    <row r="1954">
      <c r="A1954" s="5" t="s">
        <v>3195</v>
      </c>
      <c r="B1954" s="6">
        <v>4.0</v>
      </c>
      <c r="C1954" s="7">
        <v>46.0</v>
      </c>
      <c r="D1954" s="6" t="s">
        <v>3194</v>
      </c>
      <c r="E1954" s="16">
        <v>2.0</v>
      </c>
      <c r="F1954" s="18" t="s">
        <v>1925</v>
      </c>
    </row>
    <row r="1955">
      <c r="A1955" s="5" t="s">
        <v>3233</v>
      </c>
      <c r="B1955" s="6">
        <v>6.0</v>
      </c>
      <c r="C1955" s="7">
        <v>200.0</v>
      </c>
      <c r="D1955" s="6" t="s">
        <v>3238</v>
      </c>
      <c r="E1955" s="16">
        <v>2.0</v>
      </c>
      <c r="F1955" s="18" t="s">
        <v>1926</v>
      </c>
    </row>
    <row r="1956">
      <c r="A1956" s="5" t="s">
        <v>3201</v>
      </c>
      <c r="B1956" s="6">
        <v>5.0</v>
      </c>
      <c r="C1956" s="7">
        <v>15.0</v>
      </c>
      <c r="D1956" s="6" t="s">
        <v>3254</v>
      </c>
      <c r="E1956" s="16">
        <v>2.0</v>
      </c>
      <c r="F1956" s="18" t="s">
        <v>1927</v>
      </c>
    </row>
    <row r="1957">
      <c r="A1957" s="5" t="s">
        <v>3267</v>
      </c>
      <c r="B1957" s="6">
        <v>3.0</v>
      </c>
      <c r="C1957" s="7">
        <v>75.0</v>
      </c>
      <c r="D1957" s="6" t="s">
        <v>3257</v>
      </c>
      <c r="E1957" s="16">
        <v>2.0</v>
      </c>
      <c r="F1957" s="18" t="s">
        <v>1928</v>
      </c>
    </row>
    <row r="1958">
      <c r="A1958" s="5" t="s">
        <v>3210</v>
      </c>
      <c r="B1958" s="6">
        <v>1.0</v>
      </c>
      <c r="C1958" s="7">
        <v>145.0</v>
      </c>
      <c r="D1958" s="6" t="s">
        <v>3222</v>
      </c>
      <c r="E1958" s="16">
        <v>2.0</v>
      </c>
      <c r="F1958" s="18" t="s">
        <v>1929</v>
      </c>
    </row>
    <row r="1959">
      <c r="A1959" s="5" t="s">
        <v>3208</v>
      </c>
      <c r="B1959" s="6">
        <v>4.0</v>
      </c>
      <c r="C1959" s="7">
        <v>41.0</v>
      </c>
      <c r="D1959" s="6" t="s">
        <v>3238</v>
      </c>
      <c r="E1959" s="16">
        <v>2.0</v>
      </c>
      <c r="F1959" s="18" t="s">
        <v>1930</v>
      </c>
    </row>
    <row r="1960">
      <c r="A1960" s="5" t="s">
        <v>3258</v>
      </c>
      <c r="B1960" s="6">
        <v>6.0</v>
      </c>
      <c r="C1960" s="7">
        <v>12.0</v>
      </c>
      <c r="D1960" s="6" t="s">
        <v>3225</v>
      </c>
      <c r="E1960" s="16">
        <v>1.0</v>
      </c>
      <c r="F1960" s="18" t="s">
        <v>1931</v>
      </c>
    </row>
    <row r="1961">
      <c r="A1961" s="5" t="s">
        <v>3258</v>
      </c>
      <c r="B1961" s="6">
        <v>6.0</v>
      </c>
      <c r="C1961" s="7">
        <v>6.0</v>
      </c>
      <c r="D1961" s="6" t="s">
        <v>3180</v>
      </c>
      <c r="E1961" s="16">
        <v>1.0</v>
      </c>
      <c r="F1961" s="18" t="s">
        <v>1932</v>
      </c>
    </row>
    <row r="1962">
      <c r="A1962" s="5" t="s">
        <v>3193</v>
      </c>
      <c r="B1962" s="6">
        <v>5.0</v>
      </c>
      <c r="C1962" s="7">
        <v>27.0</v>
      </c>
      <c r="D1962" s="6" t="s">
        <v>3182</v>
      </c>
      <c r="E1962" s="16">
        <v>1.0</v>
      </c>
      <c r="F1962" s="18" t="s">
        <v>1933</v>
      </c>
    </row>
    <row r="1963">
      <c r="A1963" s="5" t="s">
        <v>3172</v>
      </c>
      <c r="B1963" s="6">
        <v>1.0</v>
      </c>
      <c r="C1963" s="7">
        <v>146.0</v>
      </c>
      <c r="D1963" s="6" t="s">
        <v>3200</v>
      </c>
      <c r="E1963" s="16">
        <v>1.0</v>
      </c>
      <c r="F1963" s="18" t="s">
        <v>1934</v>
      </c>
    </row>
    <row r="1964">
      <c r="A1964" s="5" t="s">
        <v>3259</v>
      </c>
      <c r="B1964" s="6">
        <v>6.0</v>
      </c>
      <c r="C1964" s="7">
        <v>179.0</v>
      </c>
      <c r="D1964" s="6" t="s">
        <v>3214</v>
      </c>
      <c r="E1964" s="16">
        <v>1.0</v>
      </c>
      <c r="F1964" s="18" t="s">
        <v>1935</v>
      </c>
    </row>
    <row r="1965">
      <c r="A1965" s="5" t="s">
        <v>3267</v>
      </c>
      <c r="B1965" s="6">
        <v>3.0</v>
      </c>
      <c r="C1965" s="7">
        <v>69.0</v>
      </c>
      <c r="D1965" s="6" t="s">
        <v>3203</v>
      </c>
      <c r="E1965" s="16">
        <v>1.0</v>
      </c>
      <c r="F1965" s="18" t="s">
        <v>1936</v>
      </c>
    </row>
    <row r="1966">
      <c r="A1966" s="5" t="s">
        <v>3237</v>
      </c>
      <c r="B1966" s="6">
        <v>2.0</v>
      </c>
      <c r="C1966" s="7">
        <v>196.0</v>
      </c>
      <c r="D1966" s="6" t="s">
        <v>3169</v>
      </c>
      <c r="E1966" s="16">
        <v>1.0</v>
      </c>
      <c r="F1966" s="18" t="s">
        <v>1937</v>
      </c>
    </row>
    <row r="1967">
      <c r="A1967" s="5" t="s">
        <v>3263</v>
      </c>
      <c r="B1967" s="6">
        <v>1.0</v>
      </c>
      <c r="C1967" s="7">
        <v>194.0</v>
      </c>
      <c r="D1967" s="6" t="s">
        <v>3215</v>
      </c>
      <c r="E1967" s="16">
        <v>1.0</v>
      </c>
      <c r="F1967" s="18" t="s">
        <v>1938</v>
      </c>
    </row>
    <row r="1968">
      <c r="A1968" s="5" t="s">
        <v>3259</v>
      </c>
      <c r="B1968" s="6">
        <v>6.0</v>
      </c>
      <c r="C1968" s="7">
        <v>99.0</v>
      </c>
      <c r="D1968" s="6" t="s">
        <v>3200</v>
      </c>
      <c r="E1968" s="16">
        <v>1.0</v>
      </c>
      <c r="F1968" s="18" t="s">
        <v>1939</v>
      </c>
    </row>
    <row r="1969">
      <c r="A1969" s="5" t="s">
        <v>3172</v>
      </c>
      <c r="B1969" s="6">
        <v>1.0</v>
      </c>
      <c r="C1969" s="7">
        <v>78.0</v>
      </c>
      <c r="D1969" s="6" t="s">
        <v>3176</v>
      </c>
      <c r="E1969" s="16">
        <v>1.0</v>
      </c>
      <c r="F1969" s="18" t="s">
        <v>1940</v>
      </c>
    </row>
    <row r="1970">
      <c r="A1970" s="5" t="s">
        <v>3220</v>
      </c>
      <c r="B1970" s="6">
        <v>6.0</v>
      </c>
      <c r="C1970" s="7">
        <v>178.0</v>
      </c>
      <c r="D1970" s="6" t="s">
        <v>3190</v>
      </c>
      <c r="E1970" s="16">
        <v>1.0</v>
      </c>
      <c r="F1970" s="18" t="s">
        <v>1941</v>
      </c>
    </row>
    <row r="1971">
      <c r="A1971" s="5" t="s">
        <v>3263</v>
      </c>
      <c r="B1971" s="6">
        <v>1.0</v>
      </c>
      <c r="C1971" s="7">
        <v>112.0</v>
      </c>
      <c r="D1971" s="6" t="s">
        <v>3227</v>
      </c>
      <c r="E1971" s="16">
        <v>1.0</v>
      </c>
      <c r="F1971" s="18" t="s">
        <v>1942</v>
      </c>
    </row>
    <row r="1972">
      <c r="A1972" s="5" t="s">
        <v>3218</v>
      </c>
      <c r="B1972" s="6">
        <v>5.0</v>
      </c>
      <c r="C1972" s="7">
        <v>38.0</v>
      </c>
      <c r="D1972" s="6" t="s">
        <v>3169</v>
      </c>
      <c r="E1972" s="16">
        <v>1.0</v>
      </c>
      <c r="F1972" s="18" t="s">
        <v>1943</v>
      </c>
    </row>
    <row r="1973">
      <c r="A1973" s="5" t="s">
        <v>3185</v>
      </c>
      <c r="B1973" s="6">
        <v>1.0</v>
      </c>
      <c r="C1973" s="7">
        <v>55.0</v>
      </c>
      <c r="D1973" s="6" t="s">
        <v>3198</v>
      </c>
      <c r="E1973" s="16">
        <v>5.0</v>
      </c>
      <c r="F1973" s="18" t="s">
        <v>1944</v>
      </c>
    </row>
    <row r="1974">
      <c r="A1974" s="5" t="s">
        <v>3265</v>
      </c>
      <c r="B1974" s="6">
        <v>1.0</v>
      </c>
      <c r="C1974" s="7">
        <v>122.0</v>
      </c>
      <c r="D1974" s="6" t="s">
        <v>3232</v>
      </c>
      <c r="E1974" s="16">
        <v>5.0</v>
      </c>
      <c r="F1974" s="18" t="s">
        <v>1945</v>
      </c>
    </row>
    <row r="1975">
      <c r="A1975" s="5" t="s">
        <v>3183</v>
      </c>
      <c r="B1975" s="6">
        <v>6.0</v>
      </c>
      <c r="C1975" s="7">
        <v>87.0</v>
      </c>
      <c r="D1975" s="6" t="s">
        <v>3227</v>
      </c>
      <c r="E1975" s="16">
        <v>5.0</v>
      </c>
      <c r="F1975" s="18" t="s">
        <v>1946</v>
      </c>
    </row>
    <row r="1976">
      <c r="A1976" s="5" t="s">
        <v>3258</v>
      </c>
      <c r="B1976" s="6">
        <v>6.0</v>
      </c>
      <c r="C1976" s="7">
        <v>33.0</v>
      </c>
      <c r="D1976" s="6" t="s">
        <v>3225</v>
      </c>
      <c r="E1976" s="16">
        <v>5.0</v>
      </c>
      <c r="F1976" s="18" t="s">
        <v>1947</v>
      </c>
    </row>
    <row r="1977">
      <c r="A1977" s="5" t="s">
        <v>3234</v>
      </c>
      <c r="B1977" s="6">
        <v>6.0</v>
      </c>
      <c r="C1977" s="7">
        <v>15.0</v>
      </c>
      <c r="D1977" s="6" t="s">
        <v>3254</v>
      </c>
      <c r="E1977" s="16">
        <v>5.0</v>
      </c>
      <c r="F1977" s="18" t="s">
        <v>1948</v>
      </c>
    </row>
    <row r="1978">
      <c r="A1978" s="5" t="s">
        <v>3246</v>
      </c>
      <c r="B1978" s="6">
        <v>4.0</v>
      </c>
      <c r="C1978" s="7">
        <v>197.0</v>
      </c>
      <c r="D1978" s="6" t="s">
        <v>3173</v>
      </c>
      <c r="E1978" s="16">
        <v>5.0</v>
      </c>
      <c r="F1978" s="18" t="s">
        <v>1949</v>
      </c>
    </row>
    <row r="1979">
      <c r="A1979" s="5" t="s">
        <v>3261</v>
      </c>
      <c r="B1979" s="6">
        <v>4.0</v>
      </c>
      <c r="C1979" s="7">
        <v>184.0</v>
      </c>
      <c r="D1979" s="6" t="s">
        <v>3169</v>
      </c>
      <c r="E1979" s="16">
        <v>5.0</v>
      </c>
      <c r="F1979" s="18" t="s">
        <v>1950</v>
      </c>
    </row>
    <row r="1980">
      <c r="A1980" s="5" t="s">
        <v>3166</v>
      </c>
      <c r="B1980" s="6">
        <v>6.0</v>
      </c>
      <c r="C1980" s="7">
        <v>61.0</v>
      </c>
      <c r="D1980" s="6" t="s">
        <v>3249</v>
      </c>
      <c r="E1980" s="16">
        <v>5.0</v>
      </c>
      <c r="F1980" s="18" t="s">
        <v>1951</v>
      </c>
    </row>
    <row r="1981">
      <c r="A1981" s="5" t="s">
        <v>3242</v>
      </c>
      <c r="B1981" s="6">
        <v>1.0</v>
      </c>
      <c r="C1981" s="7">
        <v>112.0</v>
      </c>
      <c r="D1981" s="6" t="s">
        <v>3227</v>
      </c>
      <c r="E1981" s="16">
        <v>5.0</v>
      </c>
      <c r="F1981" s="19"/>
    </row>
    <row r="1982">
      <c r="A1982" s="5" t="s">
        <v>3216</v>
      </c>
      <c r="B1982" s="6">
        <v>6.0</v>
      </c>
      <c r="C1982" s="7">
        <v>96.0</v>
      </c>
      <c r="D1982" s="6" t="s">
        <v>3190</v>
      </c>
      <c r="E1982" s="16">
        <v>5.0</v>
      </c>
      <c r="F1982" s="18" t="s">
        <v>1952</v>
      </c>
    </row>
    <row r="1983">
      <c r="A1983" s="5" t="s">
        <v>3251</v>
      </c>
      <c r="B1983" s="6">
        <v>6.0</v>
      </c>
      <c r="C1983" s="7">
        <v>165.0</v>
      </c>
      <c r="D1983" s="6" t="s">
        <v>3196</v>
      </c>
      <c r="E1983" s="16">
        <v>5.0</v>
      </c>
      <c r="F1983" s="18" t="s">
        <v>1189</v>
      </c>
    </row>
    <row r="1984">
      <c r="A1984" s="5" t="s">
        <v>3174</v>
      </c>
      <c r="B1984" s="6">
        <v>1.0</v>
      </c>
      <c r="C1984" s="7">
        <v>50.0</v>
      </c>
      <c r="D1984" s="6" t="s">
        <v>3238</v>
      </c>
      <c r="E1984" s="16">
        <v>5.0</v>
      </c>
      <c r="F1984" s="18" t="s">
        <v>1953</v>
      </c>
    </row>
    <row r="1985">
      <c r="A1985" s="5" t="s">
        <v>3261</v>
      </c>
      <c r="B1985" s="6">
        <v>4.0</v>
      </c>
      <c r="C1985" s="7">
        <v>69.0</v>
      </c>
      <c r="D1985" s="6" t="s">
        <v>3203</v>
      </c>
      <c r="E1985" s="16">
        <v>5.0</v>
      </c>
      <c r="F1985" s="18" t="s">
        <v>1954</v>
      </c>
    </row>
    <row r="1986">
      <c r="A1986" s="5" t="s">
        <v>3216</v>
      </c>
      <c r="B1986" s="6">
        <v>6.0</v>
      </c>
      <c r="C1986" s="7">
        <v>138.0</v>
      </c>
      <c r="D1986" s="6" t="s">
        <v>3219</v>
      </c>
      <c r="E1986" s="16">
        <v>5.0</v>
      </c>
      <c r="F1986" s="18" t="s">
        <v>1955</v>
      </c>
    </row>
    <row r="1987">
      <c r="A1987" s="5" t="s">
        <v>3202</v>
      </c>
      <c r="B1987" s="6">
        <v>4.0</v>
      </c>
      <c r="C1987" s="7">
        <v>78.0</v>
      </c>
      <c r="D1987" s="6" t="s">
        <v>3176</v>
      </c>
      <c r="E1987" s="16">
        <v>5.0</v>
      </c>
      <c r="F1987" s="18" t="s">
        <v>998</v>
      </c>
    </row>
    <row r="1988">
      <c r="A1988" s="5" t="s">
        <v>3202</v>
      </c>
      <c r="B1988" s="6">
        <v>4.0</v>
      </c>
      <c r="C1988" s="7">
        <v>166.0</v>
      </c>
      <c r="D1988" s="6" t="s">
        <v>3227</v>
      </c>
      <c r="E1988" s="16">
        <v>4.0</v>
      </c>
      <c r="F1988" s="18" t="s">
        <v>1956</v>
      </c>
    </row>
    <row r="1989">
      <c r="A1989" s="5" t="s">
        <v>3216</v>
      </c>
      <c r="B1989" s="6">
        <v>6.0</v>
      </c>
      <c r="C1989" s="7">
        <v>124.0</v>
      </c>
      <c r="D1989" s="6" t="s">
        <v>3238</v>
      </c>
      <c r="E1989" s="16">
        <v>4.0</v>
      </c>
      <c r="F1989" s="18" t="s">
        <v>1957</v>
      </c>
    </row>
    <row r="1990">
      <c r="A1990" s="5" t="s">
        <v>3243</v>
      </c>
      <c r="B1990" s="6">
        <v>4.0</v>
      </c>
      <c r="C1990" s="7">
        <v>42.0</v>
      </c>
      <c r="D1990" s="6" t="s">
        <v>3182</v>
      </c>
      <c r="E1990" s="16">
        <v>4.0</v>
      </c>
      <c r="F1990" s="18" t="s">
        <v>1958</v>
      </c>
    </row>
    <row r="1991">
      <c r="A1991" s="5" t="s">
        <v>3208</v>
      </c>
      <c r="B1991" s="6">
        <v>4.0</v>
      </c>
      <c r="C1991" s="7">
        <v>53.0</v>
      </c>
      <c r="D1991" s="6" t="s">
        <v>3249</v>
      </c>
      <c r="E1991" s="16">
        <v>4.0</v>
      </c>
      <c r="F1991" s="18" t="s">
        <v>1959</v>
      </c>
    </row>
    <row r="1992">
      <c r="A1992" s="5" t="s">
        <v>3252</v>
      </c>
      <c r="B1992" s="6">
        <v>6.0</v>
      </c>
      <c r="C1992" s="7">
        <v>92.0</v>
      </c>
      <c r="D1992" s="6" t="s">
        <v>3215</v>
      </c>
      <c r="E1992" s="16">
        <v>4.0</v>
      </c>
      <c r="F1992" s="18" t="s">
        <v>1960</v>
      </c>
    </row>
    <row r="1993">
      <c r="A1993" s="5" t="s">
        <v>3209</v>
      </c>
      <c r="B1993" s="6">
        <v>4.0</v>
      </c>
      <c r="C1993" s="7">
        <v>93.0</v>
      </c>
      <c r="D1993" s="6" t="s">
        <v>3221</v>
      </c>
      <c r="E1993" s="16">
        <v>3.0</v>
      </c>
      <c r="F1993" s="18" t="s">
        <v>1961</v>
      </c>
    </row>
    <row r="1994">
      <c r="A1994" s="5" t="s">
        <v>3265</v>
      </c>
      <c r="B1994" s="6">
        <v>1.0</v>
      </c>
      <c r="C1994" s="7">
        <v>108.0</v>
      </c>
      <c r="D1994" s="6" t="s">
        <v>3198</v>
      </c>
      <c r="E1994" s="16">
        <v>3.0</v>
      </c>
      <c r="F1994" s="18" t="s">
        <v>1962</v>
      </c>
    </row>
    <row r="1995">
      <c r="A1995" s="5" t="s">
        <v>3199</v>
      </c>
      <c r="B1995" s="6">
        <v>3.0</v>
      </c>
      <c r="C1995" s="7">
        <v>154.0</v>
      </c>
      <c r="D1995" s="6" t="s">
        <v>3171</v>
      </c>
      <c r="E1995" s="16">
        <v>3.0</v>
      </c>
      <c r="F1995" s="18" t="s">
        <v>1963</v>
      </c>
    </row>
    <row r="1996">
      <c r="A1996" s="5" t="s">
        <v>3255</v>
      </c>
      <c r="B1996" s="6">
        <v>6.0</v>
      </c>
      <c r="C1996" s="7">
        <v>9.0</v>
      </c>
      <c r="D1996" s="6" t="s">
        <v>3232</v>
      </c>
      <c r="E1996" s="16">
        <v>3.0</v>
      </c>
      <c r="F1996" s="18" t="s">
        <v>1964</v>
      </c>
    </row>
    <row r="1997">
      <c r="A1997" s="5" t="s">
        <v>3202</v>
      </c>
      <c r="B1997" s="6">
        <v>4.0</v>
      </c>
      <c r="C1997" s="7">
        <v>105.0</v>
      </c>
      <c r="D1997" s="6" t="s">
        <v>3167</v>
      </c>
      <c r="E1997" s="16">
        <v>3.0</v>
      </c>
      <c r="F1997" s="18" t="s">
        <v>1965</v>
      </c>
    </row>
    <row r="1998">
      <c r="A1998" s="5" t="s">
        <v>3267</v>
      </c>
      <c r="B1998" s="6">
        <v>3.0</v>
      </c>
      <c r="C1998" s="7">
        <v>81.0</v>
      </c>
      <c r="D1998" s="6" t="s">
        <v>3169</v>
      </c>
      <c r="E1998" s="16">
        <v>3.0</v>
      </c>
      <c r="F1998" s="18" t="s">
        <v>1966</v>
      </c>
    </row>
    <row r="1999">
      <c r="A1999" s="5" t="s">
        <v>3252</v>
      </c>
      <c r="B1999" s="6">
        <v>6.0</v>
      </c>
      <c r="C1999" s="7">
        <v>181.0</v>
      </c>
      <c r="D1999" s="6" t="s">
        <v>3190</v>
      </c>
      <c r="E1999" s="16">
        <v>3.0</v>
      </c>
      <c r="F1999" s="18" t="s">
        <v>1967</v>
      </c>
    </row>
    <row r="2000">
      <c r="A2000" s="5" t="s">
        <v>3209</v>
      </c>
      <c r="B2000" s="6">
        <v>4.0</v>
      </c>
      <c r="C2000" s="7">
        <v>180.0</v>
      </c>
      <c r="D2000" s="6" t="s">
        <v>3192</v>
      </c>
      <c r="E2000" s="16">
        <v>2.0</v>
      </c>
      <c r="F2000" s="18" t="s">
        <v>1968</v>
      </c>
    </row>
    <row r="2001">
      <c r="A2001" s="5" t="s">
        <v>3258</v>
      </c>
      <c r="B2001" s="6">
        <v>6.0</v>
      </c>
      <c r="C2001" s="7">
        <v>152.0</v>
      </c>
      <c r="D2001" s="6" t="s">
        <v>3203</v>
      </c>
      <c r="E2001" s="16">
        <v>2.0</v>
      </c>
      <c r="F2001" s="18" t="s">
        <v>1969</v>
      </c>
    </row>
    <row r="2002">
      <c r="A2002" s="5" t="s">
        <v>3174</v>
      </c>
      <c r="B2002" s="6">
        <v>1.0</v>
      </c>
      <c r="C2002" s="7">
        <v>127.0</v>
      </c>
      <c r="D2002" s="6" t="s">
        <v>3262</v>
      </c>
      <c r="E2002" s="16">
        <v>2.0</v>
      </c>
      <c r="F2002" s="18" t="s">
        <v>1970</v>
      </c>
    </row>
    <row r="2003">
      <c r="A2003" s="5" t="s">
        <v>3233</v>
      </c>
      <c r="B2003" s="6">
        <v>6.0</v>
      </c>
      <c r="C2003" s="7">
        <v>154.0</v>
      </c>
      <c r="D2003" s="6" t="s">
        <v>3171</v>
      </c>
      <c r="E2003" s="16">
        <v>2.0</v>
      </c>
      <c r="F2003" s="18" t="s">
        <v>1971</v>
      </c>
    </row>
    <row r="2004">
      <c r="A2004" s="5" t="s">
        <v>3170</v>
      </c>
      <c r="B2004" s="6">
        <v>1.0</v>
      </c>
      <c r="C2004" s="7">
        <v>151.0</v>
      </c>
      <c r="D2004" s="6" t="s">
        <v>3232</v>
      </c>
      <c r="E2004" s="16">
        <v>2.0</v>
      </c>
      <c r="F2004" s="18" t="s">
        <v>1972</v>
      </c>
    </row>
    <row r="2005">
      <c r="A2005" s="5" t="s">
        <v>3224</v>
      </c>
      <c r="B2005" s="6">
        <v>6.0</v>
      </c>
      <c r="C2005" s="7">
        <v>126.0</v>
      </c>
      <c r="D2005" s="6" t="s">
        <v>3211</v>
      </c>
      <c r="E2005" s="16">
        <v>2.0</v>
      </c>
      <c r="F2005" s="18" t="s">
        <v>1973</v>
      </c>
    </row>
    <row r="2006">
      <c r="A2006" s="5" t="s">
        <v>3201</v>
      </c>
      <c r="B2006" s="6">
        <v>5.0</v>
      </c>
      <c r="C2006" s="7">
        <v>191.0</v>
      </c>
      <c r="D2006" s="6" t="s">
        <v>3221</v>
      </c>
      <c r="E2006" s="16">
        <v>2.0</v>
      </c>
      <c r="F2006" s="18" t="s">
        <v>1974</v>
      </c>
    </row>
    <row r="2007">
      <c r="A2007" s="5" t="s">
        <v>3226</v>
      </c>
      <c r="B2007" s="6">
        <v>1.0</v>
      </c>
      <c r="C2007" s="7">
        <v>79.0</v>
      </c>
      <c r="D2007" s="6" t="s">
        <v>3232</v>
      </c>
      <c r="E2007" s="16">
        <v>2.0</v>
      </c>
      <c r="F2007" s="18" t="s">
        <v>1975</v>
      </c>
    </row>
    <row r="2008">
      <c r="A2008" s="5" t="s">
        <v>3261</v>
      </c>
      <c r="B2008" s="6">
        <v>4.0</v>
      </c>
      <c r="C2008" s="7">
        <v>81.0</v>
      </c>
      <c r="D2008" s="6" t="s">
        <v>3169</v>
      </c>
      <c r="E2008" s="16">
        <v>2.0</v>
      </c>
      <c r="F2008" s="18" t="s">
        <v>1976</v>
      </c>
    </row>
    <row r="2009">
      <c r="A2009" s="5" t="s">
        <v>3209</v>
      </c>
      <c r="B2009" s="6">
        <v>4.0</v>
      </c>
      <c r="C2009" s="7">
        <v>67.0</v>
      </c>
      <c r="D2009" s="6" t="s">
        <v>3186</v>
      </c>
      <c r="E2009" s="16">
        <v>1.0</v>
      </c>
      <c r="F2009" s="18" t="s">
        <v>1977</v>
      </c>
    </row>
    <row r="2010">
      <c r="A2010" s="5" t="s">
        <v>3230</v>
      </c>
      <c r="B2010" s="6">
        <v>1.0</v>
      </c>
      <c r="C2010" s="7">
        <v>94.0</v>
      </c>
      <c r="D2010" s="6" t="s">
        <v>3239</v>
      </c>
      <c r="E2010" s="16">
        <v>1.0</v>
      </c>
      <c r="F2010" s="18" t="s">
        <v>1978</v>
      </c>
    </row>
    <row r="2011">
      <c r="A2011" s="5" t="s">
        <v>3247</v>
      </c>
      <c r="B2011" s="6">
        <v>6.0</v>
      </c>
      <c r="C2011" s="7">
        <v>38.0</v>
      </c>
      <c r="D2011" s="6" t="s">
        <v>3169</v>
      </c>
      <c r="E2011" s="16">
        <v>1.0</v>
      </c>
      <c r="F2011" s="18" t="s">
        <v>1979</v>
      </c>
    </row>
    <row r="2012">
      <c r="A2012" s="5" t="s">
        <v>3233</v>
      </c>
      <c r="B2012" s="6">
        <v>6.0</v>
      </c>
      <c r="C2012" s="7">
        <v>142.0</v>
      </c>
      <c r="D2012" s="6" t="s">
        <v>3173</v>
      </c>
      <c r="E2012" s="16">
        <v>1.0</v>
      </c>
      <c r="F2012" s="18" t="s">
        <v>1980</v>
      </c>
    </row>
    <row r="2013">
      <c r="A2013" s="5" t="s">
        <v>3185</v>
      </c>
      <c r="B2013" s="6">
        <v>1.0</v>
      </c>
      <c r="C2013" s="7">
        <v>34.0</v>
      </c>
      <c r="D2013" s="6" t="s">
        <v>3227</v>
      </c>
      <c r="E2013" s="16">
        <v>1.0</v>
      </c>
      <c r="F2013" s="18" t="s">
        <v>1981</v>
      </c>
    </row>
    <row r="2014">
      <c r="A2014" s="5" t="s">
        <v>3266</v>
      </c>
      <c r="B2014" s="6">
        <v>3.0</v>
      </c>
      <c r="C2014" s="7">
        <v>72.0</v>
      </c>
      <c r="D2014" s="6" t="s">
        <v>3171</v>
      </c>
      <c r="E2014" s="16">
        <v>1.0</v>
      </c>
      <c r="F2014" s="18" t="s">
        <v>1982</v>
      </c>
    </row>
    <row r="2015">
      <c r="A2015" s="5" t="s">
        <v>3208</v>
      </c>
      <c r="B2015" s="6">
        <v>4.0</v>
      </c>
      <c r="C2015" s="7">
        <v>119.0</v>
      </c>
      <c r="D2015" s="6" t="s">
        <v>3178</v>
      </c>
      <c r="E2015" s="16">
        <v>1.0</v>
      </c>
      <c r="F2015" s="18" t="s">
        <v>1983</v>
      </c>
    </row>
    <row r="2016">
      <c r="A2016" s="5" t="s">
        <v>3265</v>
      </c>
      <c r="B2016" s="6">
        <v>1.0</v>
      </c>
      <c r="C2016" s="7">
        <v>141.0</v>
      </c>
      <c r="D2016" s="6" t="s">
        <v>3171</v>
      </c>
      <c r="E2016" s="16">
        <v>1.0</v>
      </c>
      <c r="F2016" s="18" t="s">
        <v>1984</v>
      </c>
    </row>
    <row r="2017">
      <c r="A2017" s="5" t="s">
        <v>3268</v>
      </c>
      <c r="B2017" s="6">
        <v>1.0</v>
      </c>
      <c r="C2017" s="7">
        <v>120.0</v>
      </c>
      <c r="D2017" s="6" t="s">
        <v>3171</v>
      </c>
      <c r="E2017" s="16">
        <v>1.0</v>
      </c>
      <c r="F2017" s="18" t="s">
        <v>1985</v>
      </c>
    </row>
    <row r="2018">
      <c r="A2018" s="5" t="s">
        <v>3205</v>
      </c>
      <c r="B2018" s="6">
        <v>1.0</v>
      </c>
      <c r="C2018" s="7">
        <v>50.0</v>
      </c>
      <c r="D2018" s="6" t="s">
        <v>3238</v>
      </c>
      <c r="E2018" s="16">
        <v>1.0</v>
      </c>
      <c r="F2018" s="18" t="s">
        <v>1986</v>
      </c>
    </row>
    <row r="2019">
      <c r="A2019" s="5" t="s">
        <v>3237</v>
      </c>
      <c r="B2019" s="6">
        <v>2.0</v>
      </c>
      <c r="C2019" s="7">
        <v>162.0</v>
      </c>
      <c r="D2019" s="6" t="s">
        <v>3257</v>
      </c>
      <c r="E2019" s="16">
        <v>1.0</v>
      </c>
      <c r="F2019" s="18" t="s">
        <v>1987</v>
      </c>
    </row>
    <row r="2020">
      <c r="A2020" s="5" t="s">
        <v>3197</v>
      </c>
      <c r="B2020" s="6">
        <v>1.0</v>
      </c>
      <c r="C2020" s="7">
        <v>41.0</v>
      </c>
      <c r="D2020" s="6" t="s">
        <v>3238</v>
      </c>
      <c r="E2020" s="16">
        <v>1.0</v>
      </c>
      <c r="F2020" s="18" t="s">
        <v>1988</v>
      </c>
    </row>
    <row r="2021">
      <c r="A2021" s="5" t="s">
        <v>3185</v>
      </c>
      <c r="B2021" s="6">
        <v>1.0</v>
      </c>
      <c r="C2021" s="7">
        <v>8.0</v>
      </c>
      <c r="D2021" s="6" t="s">
        <v>3169</v>
      </c>
      <c r="E2021" s="16">
        <v>1.0</v>
      </c>
      <c r="F2021" s="18" t="s">
        <v>1989</v>
      </c>
    </row>
    <row r="2022">
      <c r="A2022" s="5" t="s">
        <v>3258</v>
      </c>
      <c r="B2022" s="6">
        <v>6.0</v>
      </c>
      <c r="C2022" s="7">
        <v>22.0</v>
      </c>
      <c r="D2022" s="6" t="s">
        <v>3167</v>
      </c>
      <c r="E2022" s="16">
        <v>5.0</v>
      </c>
      <c r="F2022" s="18" t="s">
        <v>1990</v>
      </c>
    </row>
    <row r="2023">
      <c r="A2023" s="5" t="s">
        <v>3229</v>
      </c>
      <c r="B2023" s="6">
        <v>4.0</v>
      </c>
      <c r="C2023" s="7">
        <v>187.0</v>
      </c>
      <c r="D2023" s="6" t="s">
        <v>3254</v>
      </c>
      <c r="E2023" s="16">
        <v>5.0</v>
      </c>
      <c r="F2023" s="18" t="s">
        <v>1991</v>
      </c>
    </row>
    <row r="2024">
      <c r="A2024" s="5" t="s">
        <v>3223</v>
      </c>
      <c r="B2024" s="6">
        <v>3.0</v>
      </c>
      <c r="C2024" s="7">
        <v>23.0</v>
      </c>
      <c r="D2024" s="6" t="s">
        <v>3219</v>
      </c>
      <c r="E2024" s="16">
        <v>5.0</v>
      </c>
      <c r="F2024" s="18" t="s">
        <v>1992</v>
      </c>
    </row>
    <row r="2025">
      <c r="A2025" s="5" t="s">
        <v>3175</v>
      </c>
      <c r="B2025" s="6">
        <v>5.0</v>
      </c>
      <c r="C2025" s="7">
        <v>181.0</v>
      </c>
      <c r="D2025" s="6" t="s">
        <v>3190</v>
      </c>
      <c r="E2025" s="16">
        <v>5.0</v>
      </c>
      <c r="F2025" s="18" t="s">
        <v>1993</v>
      </c>
    </row>
    <row r="2026">
      <c r="A2026" s="5" t="s">
        <v>3217</v>
      </c>
      <c r="B2026" s="6">
        <v>5.0</v>
      </c>
      <c r="C2026" s="7">
        <v>186.0</v>
      </c>
      <c r="D2026" s="6" t="s">
        <v>3222</v>
      </c>
      <c r="E2026" s="16">
        <v>5.0</v>
      </c>
      <c r="F2026" s="18" t="s">
        <v>1994</v>
      </c>
    </row>
    <row r="2027">
      <c r="A2027" s="5" t="s">
        <v>3218</v>
      </c>
      <c r="B2027" s="6">
        <v>5.0</v>
      </c>
      <c r="C2027" s="7">
        <v>50.0</v>
      </c>
      <c r="D2027" s="6" t="s">
        <v>3238</v>
      </c>
      <c r="E2027" s="16">
        <v>5.0</v>
      </c>
      <c r="F2027" s="18" t="s">
        <v>1995</v>
      </c>
    </row>
    <row r="2028">
      <c r="A2028" s="5" t="s">
        <v>3240</v>
      </c>
      <c r="B2028" s="6">
        <v>2.0</v>
      </c>
      <c r="C2028" s="7">
        <v>115.0</v>
      </c>
      <c r="D2028" s="6" t="s">
        <v>3173</v>
      </c>
      <c r="E2028" s="16">
        <v>5.0</v>
      </c>
      <c r="F2028" s="18" t="s">
        <v>1996</v>
      </c>
    </row>
    <row r="2029">
      <c r="A2029" s="5" t="s">
        <v>3253</v>
      </c>
      <c r="B2029" s="6">
        <v>1.0</v>
      </c>
      <c r="C2029" s="7">
        <v>29.0</v>
      </c>
      <c r="D2029" s="6" t="s">
        <v>3235</v>
      </c>
      <c r="E2029" s="16">
        <v>5.0</v>
      </c>
      <c r="F2029" s="18" t="s">
        <v>1997</v>
      </c>
    </row>
    <row r="2030">
      <c r="A2030" s="5" t="s">
        <v>3247</v>
      </c>
      <c r="B2030" s="6">
        <v>6.0</v>
      </c>
      <c r="C2030" s="7">
        <v>99.0</v>
      </c>
      <c r="D2030" s="6" t="s">
        <v>3200</v>
      </c>
      <c r="E2030" s="16">
        <v>5.0</v>
      </c>
      <c r="F2030" s="18" t="s">
        <v>1998</v>
      </c>
    </row>
    <row r="2031">
      <c r="A2031" s="5" t="s">
        <v>3177</v>
      </c>
      <c r="B2031" s="6">
        <v>5.0</v>
      </c>
      <c r="C2031" s="7">
        <v>147.0</v>
      </c>
      <c r="D2031" s="6" t="s">
        <v>3196</v>
      </c>
      <c r="E2031" s="16">
        <v>5.0</v>
      </c>
      <c r="F2031" s="18" t="s">
        <v>1999</v>
      </c>
    </row>
    <row r="2032">
      <c r="A2032" s="5" t="s">
        <v>3193</v>
      </c>
      <c r="B2032" s="6">
        <v>5.0</v>
      </c>
      <c r="C2032" s="7">
        <v>132.0</v>
      </c>
      <c r="D2032" s="6" t="s">
        <v>3186</v>
      </c>
      <c r="E2032" s="16">
        <v>5.0</v>
      </c>
      <c r="F2032" s="18" t="s">
        <v>1266</v>
      </c>
    </row>
    <row r="2033">
      <c r="A2033" s="5" t="s">
        <v>3208</v>
      </c>
      <c r="B2033" s="6">
        <v>4.0</v>
      </c>
      <c r="C2033" s="7">
        <v>158.0</v>
      </c>
      <c r="D2033" s="6" t="s">
        <v>3235</v>
      </c>
      <c r="E2033" s="16">
        <v>5.0</v>
      </c>
      <c r="F2033" s="18" t="s">
        <v>2000</v>
      </c>
    </row>
    <row r="2034">
      <c r="A2034" s="5" t="s">
        <v>3212</v>
      </c>
      <c r="B2034" s="6">
        <v>6.0</v>
      </c>
      <c r="C2034" s="7">
        <v>88.0</v>
      </c>
      <c r="D2034" s="6" t="s">
        <v>3167</v>
      </c>
      <c r="E2034" s="16">
        <v>5.0</v>
      </c>
      <c r="F2034" s="18" t="s">
        <v>1269</v>
      </c>
    </row>
    <row r="2035">
      <c r="A2035" s="5" t="s">
        <v>3174</v>
      </c>
      <c r="B2035" s="6">
        <v>1.0</v>
      </c>
      <c r="C2035" s="7">
        <v>106.0</v>
      </c>
      <c r="D2035" s="6" t="s">
        <v>3167</v>
      </c>
      <c r="E2035" s="16">
        <v>5.0</v>
      </c>
      <c r="F2035" s="18" t="s">
        <v>2001</v>
      </c>
    </row>
    <row r="2036">
      <c r="A2036" s="5" t="s">
        <v>3183</v>
      </c>
      <c r="B2036" s="6">
        <v>6.0</v>
      </c>
      <c r="C2036" s="7">
        <v>146.0</v>
      </c>
      <c r="D2036" s="6" t="s">
        <v>3200</v>
      </c>
      <c r="E2036" s="16">
        <v>5.0</v>
      </c>
      <c r="F2036" s="18" t="s">
        <v>2002</v>
      </c>
    </row>
    <row r="2037">
      <c r="A2037" s="5" t="s">
        <v>3236</v>
      </c>
      <c r="B2037" s="6">
        <v>6.0</v>
      </c>
      <c r="C2037" s="7">
        <v>12.0</v>
      </c>
      <c r="D2037" s="6" t="s">
        <v>3225</v>
      </c>
      <c r="E2037" s="16">
        <v>5.0</v>
      </c>
      <c r="F2037" s="18" t="s">
        <v>2003</v>
      </c>
    </row>
    <row r="2038">
      <c r="A2038" s="5" t="s">
        <v>3201</v>
      </c>
      <c r="B2038" s="6">
        <v>5.0</v>
      </c>
      <c r="C2038" s="7">
        <v>86.0</v>
      </c>
      <c r="D2038" s="6" t="s">
        <v>3245</v>
      </c>
      <c r="E2038" s="16">
        <v>5.0</v>
      </c>
      <c r="F2038" s="18" t="s">
        <v>2004</v>
      </c>
    </row>
    <row r="2039">
      <c r="A2039" s="5" t="s">
        <v>3264</v>
      </c>
      <c r="B2039" s="6">
        <v>4.0</v>
      </c>
      <c r="C2039" s="7">
        <v>86.0</v>
      </c>
      <c r="D2039" s="6" t="s">
        <v>3245</v>
      </c>
      <c r="E2039" s="16">
        <v>5.0</v>
      </c>
      <c r="F2039" s="18" t="s">
        <v>2005</v>
      </c>
    </row>
    <row r="2040">
      <c r="A2040" s="5" t="s">
        <v>3242</v>
      </c>
      <c r="B2040" s="6">
        <v>1.0</v>
      </c>
      <c r="C2040" s="7">
        <v>152.0</v>
      </c>
      <c r="D2040" s="6" t="s">
        <v>3203</v>
      </c>
      <c r="E2040" s="16">
        <v>5.0</v>
      </c>
      <c r="F2040" s="18" t="s">
        <v>2006</v>
      </c>
    </row>
    <row r="2041">
      <c r="A2041" s="5" t="s">
        <v>3223</v>
      </c>
      <c r="B2041" s="6">
        <v>3.0</v>
      </c>
      <c r="C2041" s="7">
        <v>156.0</v>
      </c>
      <c r="D2041" s="6" t="s">
        <v>3245</v>
      </c>
      <c r="E2041" s="16">
        <v>5.0</v>
      </c>
      <c r="F2041" s="18" t="s">
        <v>2007</v>
      </c>
    </row>
    <row r="2042">
      <c r="A2042" s="5" t="s">
        <v>3185</v>
      </c>
      <c r="B2042" s="6">
        <v>1.0</v>
      </c>
      <c r="C2042" s="7">
        <v>163.0</v>
      </c>
      <c r="D2042" s="6" t="s">
        <v>3173</v>
      </c>
      <c r="E2042" s="16">
        <v>4.0</v>
      </c>
      <c r="F2042" s="18" t="s">
        <v>2008</v>
      </c>
    </row>
    <row r="2043">
      <c r="A2043" s="5" t="s">
        <v>3231</v>
      </c>
      <c r="B2043" s="6">
        <v>4.0</v>
      </c>
      <c r="C2043" s="7">
        <v>29.0</v>
      </c>
      <c r="D2043" s="6" t="s">
        <v>3235</v>
      </c>
      <c r="E2043" s="16">
        <v>4.0</v>
      </c>
      <c r="F2043" s="18" t="s">
        <v>2009</v>
      </c>
    </row>
    <row r="2044">
      <c r="A2044" s="5" t="s">
        <v>3234</v>
      </c>
      <c r="B2044" s="6">
        <v>6.0</v>
      </c>
      <c r="C2044" s="7">
        <v>172.0</v>
      </c>
      <c r="D2044" s="6" t="s">
        <v>3178</v>
      </c>
      <c r="E2044" s="16">
        <v>4.0</v>
      </c>
      <c r="F2044" s="18" t="s">
        <v>2010</v>
      </c>
    </row>
    <row r="2045">
      <c r="A2045" s="5" t="s">
        <v>3244</v>
      </c>
      <c r="B2045" s="6">
        <v>1.0</v>
      </c>
      <c r="C2045" s="7">
        <v>188.0</v>
      </c>
      <c r="D2045" s="6" t="s">
        <v>3198</v>
      </c>
      <c r="E2045" s="16">
        <v>4.0</v>
      </c>
      <c r="F2045" s="18" t="s">
        <v>2011</v>
      </c>
    </row>
    <row r="2046">
      <c r="A2046" s="5" t="s">
        <v>3252</v>
      </c>
      <c r="B2046" s="6">
        <v>6.0</v>
      </c>
      <c r="C2046" s="7">
        <v>31.0</v>
      </c>
      <c r="D2046" s="6" t="s">
        <v>3227</v>
      </c>
      <c r="E2046" s="16">
        <v>4.0</v>
      </c>
      <c r="F2046" s="18" t="s">
        <v>2012</v>
      </c>
    </row>
    <row r="2047">
      <c r="A2047" s="5" t="s">
        <v>3220</v>
      </c>
      <c r="B2047" s="6">
        <v>6.0</v>
      </c>
      <c r="C2047" s="7">
        <v>110.0</v>
      </c>
      <c r="D2047" s="6" t="s">
        <v>3211</v>
      </c>
      <c r="E2047" s="16">
        <v>4.0</v>
      </c>
      <c r="F2047" s="18" t="s">
        <v>2013</v>
      </c>
    </row>
    <row r="2048">
      <c r="A2048" s="5" t="s">
        <v>3240</v>
      </c>
      <c r="B2048" s="6">
        <v>2.0</v>
      </c>
      <c r="C2048" s="7">
        <v>186.0</v>
      </c>
      <c r="D2048" s="6" t="s">
        <v>3222</v>
      </c>
      <c r="E2048" s="16">
        <v>4.0</v>
      </c>
      <c r="F2048" s="18" t="s">
        <v>2014</v>
      </c>
    </row>
    <row r="2049">
      <c r="A2049" s="5" t="s">
        <v>3261</v>
      </c>
      <c r="B2049" s="6">
        <v>4.0</v>
      </c>
      <c r="C2049" s="7">
        <v>135.0</v>
      </c>
      <c r="D2049" s="6" t="s">
        <v>3207</v>
      </c>
      <c r="E2049" s="16">
        <v>4.0</v>
      </c>
      <c r="F2049" s="18" t="s">
        <v>2015</v>
      </c>
    </row>
    <row r="2050">
      <c r="A2050" s="5" t="s">
        <v>3256</v>
      </c>
      <c r="B2050" s="6">
        <v>6.0</v>
      </c>
      <c r="C2050" s="7">
        <v>49.0</v>
      </c>
      <c r="D2050" s="6" t="s">
        <v>3254</v>
      </c>
      <c r="E2050" s="16">
        <v>3.0</v>
      </c>
      <c r="F2050" s="18" t="s">
        <v>2016</v>
      </c>
    </row>
    <row r="2051">
      <c r="A2051" s="5" t="s">
        <v>3263</v>
      </c>
      <c r="B2051" s="6">
        <v>1.0</v>
      </c>
      <c r="C2051" s="7">
        <v>161.0</v>
      </c>
      <c r="D2051" s="6" t="s">
        <v>3192</v>
      </c>
      <c r="E2051" s="16">
        <v>3.0</v>
      </c>
      <c r="F2051" s="18" t="s">
        <v>2017</v>
      </c>
    </row>
    <row r="2052">
      <c r="A2052" s="5" t="s">
        <v>3267</v>
      </c>
      <c r="B2052" s="6">
        <v>3.0</v>
      </c>
      <c r="C2052" s="7">
        <v>5.0</v>
      </c>
      <c r="D2052" s="6" t="s">
        <v>3207</v>
      </c>
      <c r="E2052" s="16">
        <v>3.0</v>
      </c>
      <c r="F2052" s="18" t="s">
        <v>2018</v>
      </c>
    </row>
    <row r="2053">
      <c r="A2053" s="5" t="s">
        <v>3258</v>
      </c>
      <c r="B2053" s="6">
        <v>6.0</v>
      </c>
      <c r="C2053" s="7">
        <v>160.0</v>
      </c>
      <c r="D2053" s="6" t="s">
        <v>3239</v>
      </c>
      <c r="E2053" s="16">
        <v>3.0</v>
      </c>
      <c r="F2053" s="18" t="s">
        <v>2019</v>
      </c>
    </row>
    <row r="2054">
      <c r="A2054" s="5" t="s">
        <v>3210</v>
      </c>
      <c r="B2054" s="6">
        <v>1.0</v>
      </c>
      <c r="C2054" s="7">
        <v>176.0</v>
      </c>
      <c r="D2054" s="6" t="s">
        <v>3232</v>
      </c>
      <c r="E2054" s="16">
        <v>3.0</v>
      </c>
      <c r="F2054" s="18" t="s">
        <v>2020</v>
      </c>
    </row>
    <row r="2055">
      <c r="A2055" s="5" t="s">
        <v>3210</v>
      </c>
      <c r="B2055" s="6">
        <v>1.0</v>
      </c>
      <c r="C2055" s="7">
        <v>164.0</v>
      </c>
      <c r="D2055" s="6" t="s">
        <v>3232</v>
      </c>
      <c r="E2055" s="16">
        <v>2.0</v>
      </c>
      <c r="F2055" s="18" t="s">
        <v>2021</v>
      </c>
    </row>
    <row r="2056">
      <c r="A2056" s="5" t="s">
        <v>3236</v>
      </c>
      <c r="B2056" s="6">
        <v>6.0</v>
      </c>
      <c r="C2056" s="7">
        <v>24.0</v>
      </c>
      <c r="D2056" s="6" t="s">
        <v>3194</v>
      </c>
      <c r="E2056" s="16">
        <v>2.0</v>
      </c>
      <c r="F2056" s="18" t="s">
        <v>2022</v>
      </c>
    </row>
    <row r="2057">
      <c r="A2057" s="5" t="s">
        <v>3264</v>
      </c>
      <c r="B2057" s="6">
        <v>4.0</v>
      </c>
      <c r="C2057" s="7">
        <v>151.0</v>
      </c>
      <c r="D2057" s="6" t="s">
        <v>3232</v>
      </c>
      <c r="E2057" s="16">
        <v>2.0</v>
      </c>
      <c r="F2057" s="18" t="s">
        <v>2023</v>
      </c>
    </row>
    <row r="2058">
      <c r="A2058" s="5" t="s">
        <v>3201</v>
      </c>
      <c r="B2058" s="6">
        <v>5.0</v>
      </c>
      <c r="C2058" s="7">
        <v>37.0</v>
      </c>
      <c r="D2058" s="6" t="s">
        <v>3194</v>
      </c>
      <c r="E2058" s="16">
        <v>2.0</v>
      </c>
      <c r="F2058" s="18" t="s">
        <v>2024</v>
      </c>
    </row>
    <row r="2059">
      <c r="A2059" s="5" t="s">
        <v>3191</v>
      </c>
      <c r="B2059" s="6">
        <v>5.0</v>
      </c>
      <c r="C2059" s="7">
        <v>49.0</v>
      </c>
      <c r="D2059" s="6" t="s">
        <v>3254</v>
      </c>
      <c r="E2059" s="16">
        <v>2.0</v>
      </c>
      <c r="F2059" s="18" t="s">
        <v>2025</v>
      </c>
    </row>
    <row r="2060">
      <c r="A2060" s="5" t="s">
        <v>3179</v>
      </c>
      <c r="B2060" s="6">
        <v>1.0</v>
      </c>
      <c r="C2060" s="7">
        <v>50.0</v>
      </c>
      <c r="D2060" s="6" t="s">
        <v>3238</v>
      </c>
      <c r="E2060" s="16">
        <v>2.0</v>
      </c>
      <c r="F2060" s="18" t="s">
        <v>2026</v>
      </c>
    </row>
    <row r="2061">
      <c r="A2061" s="5" t="s">
        <v>3179</v>
      </c>
      <c r="B2061" s="6">
        <v>1.0</v>
      </c>
      <c r="C2061" s="7">
        <v>143.0</v>
      </c>
      <c r="D2061" s="6" t="s">
        <v>3176</v>
      </c>
      <c r="E2061" s="16">
        <v>2.0</v>
      </c>
      <c r="F2061" s="18" t="s">
        <v>2027</v>
      </c>
    </row>
    <row r="2062">
      <c r="A2062" s="5" t="s">
        <v>3263</v>
      </c>
      <c r="B2062" s="6">
        <v>1.0</v>
      </c>
      <c r="C2062" s="7">
        <v>156.0</v>
      </c>
      <c r="D2062" s="6" t="s">
        <v>3245</v>
      </c>
      <c r="E2062" s="16">
        <v>1.0</v>
      </c>
      <c r="F2062" s="18" t="s">
        <v>2028</v>
      </c>
    </row>
    <row r="2063">
      <c r="A2063" s="5" t="s">
        <v>3237</v>
      </c>
      <c r="B2063" s="6">
        <v>2.0</v>
      </c>
      <c r="C2063" s="7">
        <v>163.0</v>
      </c>
      <c r="D2063" s="6" t="s">
        <v>3173</v>
      </c>
      <c r="E2063" s="16">
        <v>1.0</v>
      </c>
      <c r="F2063" s="18" t="s">
        <v>2029</v>
      </c>
    </row>
    <row r="2064">
      <c r="A2064" s="5" t="s">
        <v>3204</v>
      </c>
      <c r="B2064" s="6">
        <v>1.0</v>
      </c>
      <c r="C2064" s="7">
        <v>126.0</v>
      </c>
      <c r="D2064" s="6" t="s">
        <v>3211</v>
      </c>
      <c r="E2064" s="16">
        <v>1.0</v>
      </c>
      <c r="F2064" s="18" t="s">
        <v>2030</v>
      </c>
    </row>
    <row r="2065">
      <c r="A2065" s="5" t="s">
        <v>3174</v>
      </c>
      <c r="B2065" s="6">
        <v>1.0</v>
      </c>
      <c r="C2065" s="7">
        <v>68.0</v>
      </c>
      <c r="D2065" s="6" t="s">
        <v>3182</v>
      </c>
      <c r="E2065" s="16">
        <v>1.0</v>
      </c>
      <c r="F2065" s="18" t="s">
        <v>2031</v>
      </c>
    </row>
    <row r="2066">
      <c r="A2066" s="5" t="s">
        <v>3233</v>
      </c>
      <c r="B2066" s="6">
        <v>6.0</v>
      </c>
      <c r="C2066" s="7">
        <v>15.0</v>
      </c>
      <c r="D2066" s="6" t="s">
        <v>3254</v>
      </c>
      <c r="E2066" s="16">
        <v>1.0</v>
      </c>
      <c r="F2066" s="18" t="s">
        <v>2032</v>
      </c>
    </row>
    <row r="2067">
      <c r="A2067" s="5" t="s">
        <v>3242</v>
      </c>
      <c r="B2067" s="6">
        <v>1.0</v>
      </c>
      <c r="C2067" s="7">
        <v>133.0</v>
      </c>
      <c r="D2067" s="6" t="s">
        <v>3192</v>
      </c>
      <c r="E2067" s="16">
        <v>1.0</v>
      </c>
      <c r="F2067" s="18" t="s">
        <v>2033</v>
      </c>
    </row>
    <row r="2068">
      <c r="A2068" s="5" t="s">
        <v>3209</v>
      </c>
      <c r="B2068" s="6">
        <v>4.0</v>
      </c>
      <c r="C2068" s="7">
        <v>55.0</v>
      </c>
      <c r="D2068" s="6" t="s">
        <v>3198</v>
      </c>
      <c r="E2068" s="16">
        <v>1.0</v>
      </c>
      <c r="F2068" s="18" t="s">
        <v>2034</v>
      </c>
    </row>
    <row r="2069">
      <c r="A2069" s="5" t="s">
        <v>3201</v>
      </c>
      <c r="B2069" s="6">
        <v>5.0</v>
      </c>
      <c r="C2069" s="7">
        <v>111.0</v>
      </c>
      <c r="D2069" s="6" t="s">
        <v>3235</v>
      </c>
      <c r="E2069" s="16">
        <v>1.0</v>
      </c>
      <c r="F2069" s="18" t="s">
        <v>2035</v>
      </c>
    </row>
    <row r="2070">
      <c r="A2070" s="5" t="s">
        <v>3213</v>
      </c>
      <c r="B2070" s="6">
        <v>2.0</v>
      </c>
      <c r="C2070" s="7">
        <v>176.0</v>
      </c>
      <c r="D2070" s="6" t="s">
        <v>3232</v>
      </c>
      <c r="E2070" s="16">
        <v>1.0</v>
      </c>
      <c r="F2070" s="18" t="s">
        <v>2036</v>
      </c>
    </row>
    <row r="2071">
      <c r="A2071" s="5" t="s">
        <v>3197</v>
      </c>
      <c r="B2071" s="6">
        <v>1.0</v>
      </c>
      <c r="C2071" s="7">
        <v>187.0</v>
      </c>
      <c r="D2071" s="6" t="s">
        <v>3254</v>
      </c>
      <c r="E2071" s="16">
        <v>1.0</v>
      </c>
      <c r="F2071" s="18" t="s">
        <v>2037</v>
      </c>
    </row>
    <row r="2072">
      <c r="A2072" s="5" t="s">
        <v>3189</v>
      </c>
      <c r="B2072" s="6">
        <v>6.0</v>
      </c>
      <c r="C2072" s="7">
        <v>148.0</v>
      </c>
      <c r="D2072" s="6" t="s">
        <v>3262</v>
      </c>
      <c r="E2072" s="16">
        <v>1.0</v>
      </c>
      <c r="F2072" s="18" t="s">
        <v>2038</v>
      </c>
    </row>
    <row r="2073">
      <c r="A2073" s="5" t="s">
        <v>3263</v>
      </c>
      <c r="B2073" s="6">
        <v>1.0</v>
      </c>
      <c r="C2073" s="7">
        <v>138.0</v>
      </c>
      <c r="D2073" s="6" t="s">
        <v>3219</v>
      </c>
      <c r="E2073" s="16">
        <v>1.0</v>
      </c>
      <c r="F2073" s="18" t="s">
        <v>2039</v>
      </c>
    </row>
    <row r="2074">
      <c r="A2074" s="5" t="s">
        <v>3268</v>
      </c>
      <c r="B2074" s="6">
        <v>1.0</v>
      </c>
      <c r="C2074" s="7">
        <v>74.0</v>
      </c>
      <c r="D2074" s="6" t="s">
        <v>3190</v>
      </c>
      <c r="E2074" s="16">
        <v>1.0</v>
      </c>
      <c r="F2074" s="18" t="s">
        <v>2040</v>
      </c>
    </row>
    <row r="2075">
      <c r="A2075" s="5" t="s">
        <v>3269</v>
      </c>
      <c r="B2075" s="6">
        <v>6.0</v>
      </c>
      <c r="C2075" s="7">
        <v>153.0</v>
      </c>
      <c r="D2075" s="6" t="s">
        <v>3180</v>
      </c>
      <c r="E2075" s="16">
        <v>5.0</v>
      </c>
      <c r="F2075" s="18" t="s">
        <v>2041</v>
      </c>
    </row>
    <row r="2076">
      <c r="A2076" s="5" t="s">
        <v>3248</v>
      </c>
      <c r="B2076" s="6">
        <v>3.0</v>
      </c>
      <c r="C2076" s="7">
        <v>36.0</v>
      </c>
      <c r="D2076" s="6" t="s">
        <v>3227</v>
      </c>
      <c r="E2076" s="16">
        <v>5.0</v>
      </c>
      <c r="F2076" s="18" t="s">
        <v>2042</v>
      </c>
    </row>
    <row r="2077">
      <c r="A2077" s="5" t="s">
        <v>3213</v>
      </c>
      <c r="B2077" s="6">
        <v>2.0</v>
      </c>
      <c r="C2077" s="7">
        <v>42.0</v>
      </c>
      <c r="D2077" s="6" t="s">
        <v>3182</v>
      </c>
      <c r="E2077" s="16">
        <v>5.0</v>
      </c>
      <c r="F2077" s="18" t="s">
        <v>2043</v>
      </c>
    </row>
    <row r="2078">
      <c r="A2078" s="5" t="s">
        <v>3233</v>
      </c>
      <c r="B2078" s="6">
        <v>6.0</v>
      </c>
      <c r="C2078" s="7">
        <v>136.0</v>
      </c>
      <c r="D2078" s="6" t="s">
        <v>3221</v>
      </c>
      <c r="E2078" s="16">
        <v>5.0</v>
      </c>
      <c r="F2078" s="18" t="s">
        <v>2044</v>
      </c>
    </row>
    <row r="2079">
      <c r="A2079" s="5" t="s">
        <v>3233</v>
      </c>
      <c r="B2079" s="6">
        <v>6.0</v>
      </c>
      <c r="C2079" s="7">
        <v>147.0</v>
      </c>
      <c r="D2079" s="6" t="s">
        <v>3196</v>
      </c>
      <c r="E2079" s="16">
        <v>5.0</v>
      </c>
      <c r="F2079" s="18" t="s">
        <v>2045</v>
      </c>
    </row>
    <row r="2080">
      <c r="A2080" s="5" t="s">
        <v>3189</v>
      </c>
      <c r="B2080" s="6">
        <v>6.0</v>
      </c>
      <c r="C2080" s="7">
        <v>98.0</v>
      </c>
      <c r="D2080" s="6" t="s">
        <v>3211</v>
      </c>
      <c r="E2080" s="16">
        <v>5.0</v>
      </c>
      <c r="F2080" s="18" t="s">
        <v>2046</v>
      </c>
    </row>
    <row r="2081">
      <c r="A2081" s="5" t="s">
        <v>3179</v>
      </c>
      <c r="B2081" s="6">
        <v>1.0</v>
      </c>
      <c r="C2081" s="7">
        <v>29.0</v>
      </c>
      <c r="D2081" s="6" t="s">
        <v>3235</v>
      </c>
      <c r="E2081" s="16">
        <v>5.0</v>
      </c>
      <c r="F2081" s="18" t="s">
        <v>2047</v>
      </c>
    </row>
    <row r="2082">
      <c r="A2082" s="5" t="s">
        <v>3236</v>
      </c>
      <c r="B2082" s="6">
        <v>6.0</v>
      </c>
      <c r="C2082" s="7">
        <v>167.0</v>
      </c>
      <c r="D2082" s="6" t="s">
        <v>3254</v>
      </c>
      <c r="E2082" s="16">
        <v>5.0</v>
      </c>
      <c r="F2082" s="18" t="s">
        <v>2048</v>
      </c>
    </row>
    <row r="2083">
      <c r="A2083" s="5" t="s">
        <v>3269</v>
      </c>
      <c r="B2083" s="6">
        <v>6.0</v>
      </c>
      <c r="C2083" s="7">
        <v>85.0</v>
      </c>
      <c r="D2083" s="6" t="s">
        <v>3192</v>
      </c>
      <c r="E2083" s="16">
        <v>5.0</v>
      </c>
      <c r="F2083" s="18" t="s">
        <v>1093</v>
      </c>
    </row>
    <row r="2084">
      <c r="A2084" s="5" t="s">
        <v>3217</v>
      </c>
      <c r="B2084" s="6">
        <v>5.0</v>
      </c>
      <c r="C2084" s="7">
        <v>95.0</v>
      </c>
      <c r="D2084" s="6" t="s">
        <v>3227</v>
      </c>
      <c r="E2084" s="16">
        <v>5.0</v>
      </c>
      <c r="F2084" s="18" t="s">
        <v>2049</v>
      </c>
    </row>
    <row r="2085">
      <c r="A2085" s="5" t="s">
        <v>3191</v>
      </c>
      <c r="B2085" s="6">
        <v>5.0</v>
      </c>
      <c r="C2085" s="7">
        <v>105.0</v>
      </c>
      <c r="D2085" s="6" t="s">
        <v>3167</v>
      </c>
      <c r="E2085" s="16">
        <v>5.0</v>
      </c>
      <c r="F2085" s="18" t="s">
        <v>2050</v>
      </c>
    </row>
    <row r="2086">
      <c r="A2086" s="5" t="s">
        <v>3181</v>
      </c>
      <c r="B2086" s="6">
        <v>1.0</v>
      </c>
      <c r="C2086" s="7">
        <v>137.0</v>
      </c>
      <c r="D2086" s="6" t="s">
        <v>3215</v>
      </c>
      <c r="E2086" s="16">
        <v>4.0</v>
      </c>
      <c r="F2086" s="18" t="s">
        <v>2051</v>
      </c>
    </row>
    <row r="2087">
      <c r="A2087" s="5" t="s">
        <v>3231</v>
      </c>
      <c r="B2087" s="6">
        <v>4.0</v>
      </c>
      <c r="C2087" s="7">
        <v>173.0</v>
      </c>
      <c r="D2087" s="6" t="s">
        <v>3167</v>
      </c>
      <c r="E2087" s="16">
        <v>4.0</v>
      </c>
      <c r="F2087" s="18" t="s">
        <v>2052</v>
      </c>
    </row>
    <row r="2088">
      <c r="A2088" s="5" t="s">
        <v>3183</v>
      </c>
      <c r="B2088" s="6">
        <v>6.0</v>
      </c>
      <c r="C2088" s="7">
        <v>45.0</v>
      </c>
      <c r="D2088" s="6" t="s">
        <v>3241</v>
      </c>
      <c r="E2088" s="16">
        <v>4.0</v>
      </c>
      <c r="F2088" s="18" t="s">
        <v>2053</v>
      </c>
    </row>
    <row r="2089">
      <c r="A2089" s="5" t="s">
        <v>3166</v>
      </c>
      <c r="B2089" s="6">
        <v>6.0</v>
      </c>
      <c r="C2089" s="7">
        <v>183.0</v>
      </c>
      <c r="D2089" s="6" t="s">
        <v>3182</v>
      </c>
      <c r="E2089" s="16">
        <v>4.0</v>
      </c>
      <c r="F2089" s="18" t="s">
        <v>2054</v>
      </c>
    </row>
    <row r="2090">
      <c r="A2090" s="5" t="s">
        <v>3240</v>
      </c>
      <c r="B2090" s="6">
        <v>2.0</v>
      </c>
      <c r="C2090" s="7">
        <v>65.0</v>
      </c>
      <c r="D2090" s="6" t="s">
        <v>3221</v>
      </c>
      <c r="E2090" s="16">
        <v>4.0</v>
      </c>
      <c r="F2090" s="18" t="s">
        <v>2055</v>
      </c>
    </row>
    <row r="2091">
      <c r="A2091" s="5" t="s">
        <v>3255</v>
      </c>
      <c r="B2091" s="6">
        <v>6.0</v>
      </c>
      <c r="C2091" s="7">
        <v>97.0</v>
      </c>
      <c r="D2091" s="6" t="s">
        <v>3194</v>
      </c>
      <c r="E2091" s="16">
        <v>4.0</v>
      </c>
      <c r="F2091" s="18" t="s">
        <v>2056</v>
      </c>
    </row>
    <row r="2092">
      <c r="A2092" s="5" t="s">
        <v>3181</v>
      </c>
      <c r="B2092" s="6">
        <v>1.0</v>
      </c>
      <c r="C2092" s="7">
        <v>73.0</v>
      </c>
      <c r="D2092" s="6" t="s">
        <v>3173</v>
      </c>
      <c r="E2092" s="16">
        <v>3.0</v>
      </c>
      <c r="F2092" s="18" t="s">
        <v>2057</v>
      </c>
    </row>
    <row r="2093">
      <c r="A2093" s="5" t="s">
        <v>3228</v>
      </c>
      <c r="B2093" s="6">
        <v>6.0</v>
      </c>
      <c r="C2093" s="7">
        <v>73.0</v>
      </c>
      <c r="D2093" s="6" t="s">
        <v>3173</v>
      </c>
      <c r="E2093" s="16">
        <v>3.0</v>
      </c>
      <c r="F2093" s="18" t="s">
        <v>2058</v>
      </c>
    </row>
    <row r="2094">
      <c r="A2094" s="5" t="s">
        <v>3253</v>
      </c>
      <c r="B2094" s="6">
        <v>1.0</v>
      </c>
      <c r="C2094" s="7">
        <v>18.0</v>
      </c>
      <c r="D2094" s="6" t="s">
        <v>3225</v>
      </c>
      <c r="E2094" s="16">
        <v>3.0</v>
      </c>
      <c r="F2094" s="18" t="s">
        <v>2059</v>
      </c>
    </row>
    <row r="2095">
      <c r="A2095" s="5" t="s">
        <v>3185</v>
      </c>
      <c r="B2095" s="6">
        <v>1.0</v>
      </c>
      <c r="C2095" s="7">
        <v>9.0</v>
      </c>
      <c r="D2095" s="6" t="s">
        <v>3232</v>
      </c>
      <c r="E2095" s="16">
        <v>2.0</v>
      </c>
      <c r="F2095" s="18" t="s">
        <v>2060</v>
      </c>
    </row>
    <row r="2096">
      <c r="A2096" s="5" t="s">
        <v>3252</v>
      </c>
      <c r="B2096" s="6">
        <v>6.0</v>
      </c>
      <c r="C2096" s="7">
        <v>178.0</v>
      </c>
      <c r="D2096" s="6" t="s">
        <v>3190</v>
      </c>
      <c r="E2096" s="16">
        <v>2.0</v>
      </c>
      <c r="F2096" s="18" t="s">
        <v>2061</v>
      </c>
    </row>
    <row r="2097">
      <c r="A2097" s="5" t="s">
        <v>3206</v>
      </c>
      <c r="B2097" s="6">
        <v>6.0</v>
      </c>
      <c r="C2097" s="7">
        <v>19.0</v>
      </c>
      <c r="D2097" s="6" t="s">
        <v>3169</v>
      </c>
      <c r="E2097" s="16">
        <v>2.0</v>
      </c>
      <c r="F2097" s="18" t="s">
        <v>2062</v>
      </c>
    </row>
    <row r="2098">
      <c r="A2098" s="5" t="s">
        <v>3175</v>
      </c>
      <c r="B2098" s="6">
        <v>5.0</v>
      </c>
      <c r="C2098" s="7">
        <v>113.0</v>
      </c>
      <c r="D2098" s="6" t="s">
        <v>3207</v>
      </c>
      <c r="E2098" s="16">
        <v>2.0</v>
      </c>
      <c r="F2098" s="18" t="s">
        <v>2063</v>
      </c>
    </row>
    <row r="2099">
      <c r="A2099" s="5" t="s">
        <v>3210</v>
      </c>
      <c r="B2099" s="6">
        <v>1.0</v>
      </c>
      <c r="C2099" s="7">
        <v>33.0</v>
      </c>
      <c r="D2099" s="6" t="s">
        <v>3225</v>
      </c>
      <c r="E2099" s="16">
        <v>2.0</v>
      </c>
      <c r="F2099" s="18" t="s">
        <v>2064</v>
      </c>
    </row>
    <row r="2100">
      <c r="A2100" s="5" t="s">
        <v>3195</v>
      </c>
      <c r="B2100" s="6">
        <v>4.0</v>
      </c>
      <c r="C2100" s="7">
        <v>60.0</v>
      </c>
      <c r="D2100" s="6" t="s">
        <v>3196</v>
      </c>
      <c r="E2100" s="16">
        <v>2.0</v>
      </c>
      <c r="F2100" s="18" t="s">
        <v>2065</v>
      </c>
    </row>
    <row r="2101">
      <c r="A2101" s="5" t="s">
        <v>3197</v>
      </c>
      <c r="B2101" s="6">
        <v>1.0</v>
      </c>
      <c r="C2101" s="7">
        <v>92.0</v>
      </c>
      <c r="D2101" s="6" t="s">
        <v>3215</v>
      </c>
      <c r="E2101" s="16">
        <v>2.0</v>
      </c>
      <c r="F2101" s="18" t="s">
        <v>2066</v>
      </c>
    </row>
    <row r="2102">
      <c r="A2102" s="5" t="s">
        <v>3268</v>
      </c>
      <c r="B2102" s="6">
        <v>1.0</v>
      </c>
      <c r="C2102" s="7">
        <v>57.0</v>
      </c>
      <c r="D2102" s="6" t="s">
        <v>3239</v>
      </c>
      <c r="E2102" s="16">
        <v>2.0</v>
      </c>
      <c r="F2102" s="18" t="s">
        <v>2067</v>
      </c>
    </row>
    <row r="2103">
      <c r="A2103" s="5" t="s">
        <v>3242</v>
      </c>
      <c r="B2103" s="6">
        <v>1.0</v>
      </c>
      <c r="C2103" s="7">
        <v>185.0</v>
      </c>
      <c r="D2103" s="6" t="s">
        <v>3173</v>
      </c>
      <c r="E2103" s="16">
        <v>2.0</v>
      </c>
      <c r="F2103" s="18" t="s">
        <v>2068</v>
      </c>
    </row>
    <row r="2104">
      <c r="A2104" s="5" t="s">
        <v>3168</v>
      </c>
      <c r="B2104" s="6">
        <v>1.0</v>
      </c>
      <c r="C2104" s="7">
        <v>31.0</v>
      </c>
      <c r="D2104" s="6" t="s">
        <v>3227</v>
      </c>
      <c r="E2104" s="16">
        <v>2.0</v>
      </c>
      <c r="F2104" s="18" t="s">
        <v>2069</v>
      </c>
    </row>
    <row r="2105">
      <c r="A2105" s="5" t="s">
        <v>3242</v>
      </c>
      <c r="B2105" s="6">
        <v>1.0</v>
      </c>
      <c r="C2105" s="7">
        <v>129.0</v>
      </c>
      <c r="D2105" s="6" t="s">
        <v>3182</v>
      </c>
      <c r="E2105" s="16">
        <v>1.0</v>
      </c>
      <c r="F2105" s="18" t="s">
        <v>2070</v>
      </c>
    </row>
    <row r="2106">
      <c r="A2106" s="5" t="s">
        <v>3256</v>
      </c>
      <c r="B2106" s="6">
        <v>6.0</v>
      </c>
      <c r="C2106" s="7">
        <v>120.0</v>
      </c>
      <c r="D2106" s="6" t="s">
        <v>3171</v>
      </c>
      <c r="E2106" s="16">
        <v>1.0</v>
      </c>
      <c r="F2106" s="18" t="s">
        <v>2071</v>
      </c>
    </row>
    <row r="2107">
      <c r="A2107" s="5" t="s">
        <v>3175</v>
      </c>
      <c r="B2107" s="6">
        <v>5.0</v>
      </c>
      <c r="C2107" s="7">
        <v>23.0</v>
      </c>
      <c r="D2107" s="6" t="s">
        <v>3219</v>
      </c>
      <c r="E2107" s="16">
        <v>1.0</v>
      </c>
      <c r="F2107" s="18" t="s">
        <v>2072</v>
      </c>
    </row>
    <row r="2108">
      <c r="A2108" s="5" t="s">
        <v>3231</v>
      </c>
      <c r="B2108" s="6">
        <v>4.0</v>
      </c>
      <c r="C2108" s="7">
        <v>13.0</v>
      </c>
      <c r="D2108" s="6" t="s">
        <v>3245</v>
      </c>
      <c r="E2108" s="16">
        <v>1.0</v>
      </c>
      <c r="F2108" s="18" t="s">
        <v>2073</v>
      </c>
    </row>
    <row r="2109">
      <c r="A2109" s="5" t="s">
        <v>3220</v>
      </c>
      <c r="B2109" s="6">
        <v>6.0</v>
      </c>
      <c r="C2109" s="7">
        <v>19.0</v>
      </c>
      <c r="D2109" s="6" t="s">
        <v>3169</v>
      </c>
      <c r="E2109" s="16">
        <v>1.0</v>
      </c>
      <c r="F2109" s="18" t="s">
        <v>2074</v>
      </c>
    </row>
    <row r="2110">
      <c r="A2110" s="5" t="s">
        <v>3199</v>
      </c>
      <c r="B2110" s="6">
        <v>3.0</v>
      </c>
      <c r="C2110" s="7">
        <v>8.0</v>
      </c>
      <c r="D2110" s="6" t="s">
        <v>3169</v>
      </c>
      <c r="E2110" s="16">
        <v>1.0</v>
      </c>
      <c r="F2110" s="18" t="s">
        <v>2075</v>
      </c>
    </row>
    <row r="2111">
      <c r="A2111" s="5" t="s">
        <v>3212</v>
      </c>
      <c r="B2111" s="6">
        <v>6.0</v>
      </c>
      <c r="C2111" s="7">
        <v>164.0</v>
      </c>
      <c r="D2111" s="6" t="s">
        <v>3232</v>
      </c>
      <c r="E2111" s="16">
        <v>1.0</v>
      </c>
      <c r="F2111" s="18" t="s">
        <v>2076</v>
      </c>
    </row>
    <row r="2112">
      <c r="A2112" s="5" t="s">
        <v>3231</v>
      </c>
      <c r="B2112" s="6">
        <v>4.0</v>
      </c>
      <c r="C2112" s="7">
        <v>163.0</v>
      </c>
      <c r="D2112" s="6" t="s">
        <v>3173</v>
      </c>
      <c r="E2112" s="16">
        <v>1.0</v>
      </c>
      <c r="F2112" s="18" t="s">
        <v>2077</v>
      </c>
    </row>
    <row r="2113">
      <c r="A2113" s="5" t="s">
        <v>3263</v>
      </c>
      <c r="B2113" s="6">
        <v>1.0</v>
      </c>
      <c r="C2113" s="7">
        <v>98.0</v>
      </c>
      <c r="D2113" s="6" t="s">
        <v>3211</v>
      </c>
      <c r="E2113" s="16">
        <v>1.0</v>
      </c>
      <c r="F2113" s="18" t="s">
        <v>2078</v>
      </c>
    </row>
    <row r="2114">
      <c r="A2114" s="5" t="s">
        <v>3251</v>
      </c>
      <c r="B2114" s="6">
        <v>6.0</v>
      </c>
      <c r="C2114" s="7">
        <v>187.0</v>
      </c>
      <c r="D2114" s="6" t="s">
        <v>3254</v>
      </c>
      <c r="E2114" s="16">
        <v>5.0</v>
      </c>
      <c r="F2114" s="18" t="s">
        <v>2079</v>
      </c>
    </row>
    <row r="2115">
      <c r="A2115" s="5" t="s">
        <v>3181</v>
      </c>
      <c r="B2115" s="6">
        <v>1.0</v>
      </c>
      <c r="C2115" s="7">
        <v>16.0</v>
      </c>
      <c r="D2115" s="6" t="s">
        <v>3178</v>
      </c>
      <c r="E2115" s="16">
        <v>5.0</v>
      </c>
      <c r="F2115" s="18" t="s">
        <v>2080</v>
      </c>
    </row>
    <row r="2116">
      <c r="A2116" s="5" t="s">
        <v>3259</v>
      </c>
      <c r="B2116" s="6">
        <v>6.0</v>
      </c>
      <c r="C2116" s="7">
        <v>185.0</v>
      </c>
      <c r="D2116" s="6" t="s">
        <v>3173</v>
      </c>
      <c r="E2116" s="16">
        <v>5.0</v>
      </c>
      <c r="F2116" s="18" t="s">
        <v>2081</v>
      </c>
    </row>
    <row r="2117">
      <c r="A2117" s="5" t="s">
        <v>3191</v>
      </c>
      <c r="B2117" s="6">
        <v>5.0</v>
      </c>
      <c r="C2117" s="7">
        <v>135.0</v>
      </c>
      <c r="D2117" s="6" t="s">
        <v>3207</v>
      </c>
      <c r="E2117" s="16">
        <v>5.0</v>
      </c>
      <c r="F2117" s="18" t="s">
        <v>2082</v>
      </c>
    </row>
    <row r="2118">
      <c r="A2118" s="5" t="s">
        <v>3240</v>
      </c>
      <c r="B2118" s="6">
        <v>2.0</v>
      </c>
      <c r="C2118" s="7">
        <v>75.0</v>
      </c>
      <c r="D2118" s="6" t="s">
        <v>3257</v>
      </c>
      <c r="E2118" s="16">
        <v>5.0</v>
      </c>
      <c r="F2118" s="18" t="s">
        <v>2083</v>
      </c>
    </row>
    <row r="2119">
      <c r="A2119" s="5" t="s">
        <v>3255</v>
      </c>
      <c r="B2119" s="6">
        <v>6.0</v>
      </c>
      <c r="C2119" s="7">
        <v>96.0</v>
      </c>
      <c r="D2119" s="6" t="s">
        <v>3190</v>
      </c>
      <c r="E2119" s="16">
        <v>5.0</v>
      </c>
      <c r="F2119" s="18" t="s">
        <v>2084</v>
      </c>
    </row>
    <row r="2120">
      <c r="A2120" s="5" t="s">
        <v>3216</v>
      </c>
      <c r="B2120" s="6">
        <v>6.0</v>
      </c>
      <c r="C2120" s="7">
        <v>32.0</v>
      </c>
      <c r="D2120" s="6" t="s">
        <v>3173</v>
      </c>
      <c r="E2120" s="16">
        <v>5.0</v>
      </c>
      <c r="F2120" s="18" t="s">
        <v>2085</v>
      </c>
    </row>
    <row r="2121">
      <c r="A2121" s="5" t="s">
        <v>3229</v>
      </c>
      <c r="B2121" s="6">
        <v>4.0</v>
      </c>
      <c r="C2121" s="7">
        <v>194.0</v>
      </c>
      <c r="D2121" s="6" t="s">
        <v>3215</v>
      </c>
      <c r="E2121" s="16">
        <v>5.0</v>
      </c>
      <c r="F2121" s="18" t="s">
        <v>2086</v>
      </c>
    </row>
    <row r="2122">
      <c r="A2122" s="5" t="s">
        <v>3243</v>
      </c>
      <c r="B2122" s="6">
        <v>4.0</v>
      </c>
      <c r="C2122" s="7">
        <v>110.0</v>
      </c>
      <c r="D2122" s="6" t="s">
        <v>3211</v>
      </c>
      <c r="E2122" s="16">
        <v>5.0</v>
      </c>
      <c r="F2122" s="18" t="s">
        <v>2087</v>
      </c>
    </row>
    <row r="2123">
      <c r="A2123" s="5" t="s">
        <v>3250</v>
      </c>
      <c r="B2123" s="6">
        <v>4.0</v>
      </c>
      <c r="C2123" s="7">
        <v>147.0</v>
      </c>
      <c r="D2123" s="6" t="s">
        <v>3196</v>
      </c>
      <c r="E2123" s="16">
        <v>5.0</v>
      </c>
      <c r="F2123" s="18" t="s">
        <v>2088</v>
      </c>
    </row>
    <row r="2124">
      <c r="A2124" s="5" t="s">
        <v>3260</v>
      </c>
      <c r="B2124" s="6">
        <v>1.0</v>
      </c>
      <c r="C2124" s="7">
        <v>129.0</v>
      </c>
      <c r="D2124" s="6" t="s">
        <v>3182</v>
      </c>
      <c r="E2124" s="16">
        <v>5.0</v>
      </c>
      <c r="F2124" s="18" t="s">
        <v>2089</v>
      </c>
    </row>
    <row r="2125">
      <c r="A2125" s="5" t="s">
        <v>3247</v>
      </c>
      <c r="B2125" s="6">
        <v>6.0</v>
      </c>
      <c r="C2125" s="7">
        <v>146.0</v>
      </c>
      <c r="D2125" s="6" t="s">
        <v>3200</v>
      </c>
      <c r="E2125" s="16">
        <v>5.0</v>
      </c>
      <c r="F2125" s="18" t="s">
        <v>2090</v>
      </c>
    </row>
    <row r="2126">
      <c r="A2126" s="5" t="s">
        <v>3183</v>
      </c>
      <c r="B2126" s="6">
        <v>6.0</v>
      </c>
      <c r="C2126" s="7">
        <v>116.0</v>
      </c>
      <c r="D2126" s="6" t="s">
        <v>3169</v>
      </c>
      <c r="E2126" s="16">
        <v>5.0</v>
      </c>
      <c r="F2126" s="18" t="s">
        <v>2091</v>
      </c>
    </row>
    <row r="2127">
      <c r="A2127" s="5" t="s">
        <v>3205</v>
      </c>
      <c r="B2127" s="6">
        <v>1.0</v>
      </c>
      <c r="C2127" s="7">
        <v>110.0</v>
      </c>
      <c r="D2127" s="6" t="s">
        <v>3211</v>
      </c>
      <c r="E2127" s="16">
        <v>5.0</v>
      </c>
      <c r="F2127" s="18" t="s">
        <v>2092</v>
      </c>
    </row>
    <row r="2128">
      <c r="A2128" s="5" t="s">
        <v>3181</v>
      </c>
      <c r="B2128" s="6">
        <v>1.0</v>
      </c>
      <c r="C2128" s="7">
        <v>27.0</v>
      </c>
      <c r="D2128" s="6" t="s">
        <v>3182</v>
      </c>
      <c r="E2128" s="16">
        <v>4.0</v>
      </c>
      <c r="F2128" s="18" t="s">
        <v>2093</v>
      </c>
    </row>
    <row r="2129">
      <c r="A2129" s="5" t="s">
        <v>3189</v>
      </c>
      <c r="B2129" s="6">
        <v>6.0</v>
      </c>
      <c r="C2129" s="7">
        <v>62.0</v>
      </c>
      <c r="D2129" s="6" t="s">
        <v>3200</v>
      </c>
      <c r="E2129" s="16">
        <v>4.0</v>
      </c>
      <c r="F2129" s="18" t="s">
        <v>2094</v>
      </c>
    </row>
    <row r="2130">
      <c r="A2130" s="5" t="s">
        <v>3270</v>
      </c>
      <c r="B2130" s="6">
        <v>3.0</v>
      </c>
      <c r="C2130" s="7">
        <v>53.0</v>
      </c>
      <c r="D2130" s="6" t="s">
        <v>3249</v>
      </c>
      <c r="E2130" s="16">
        <v>4.0</v>
      </c>
      <c r="F2130" s="18" t="s">
        <v>2095</v>
      </c>
    </row>
    <row r="2131">
      <c r="A2131" s="5" t="s">
        <v>3172</v>
      </c>
      <c r="B2131" s="6">
        <v>1.0</v>
      </c>
      <c r="C2131" s="7">
        <v>30.0</v>
      </c>
      <c r="D2131" s="6" t="s">
        <v>3171</v>
      </c>
      <c r="E2131" s="16">
        <v>4.0</v>
      </c>
      <c r="F2131" s="18" t="s">
        <v>2096</v>
      </c>
    </row>
    <row r="2132">
      <c r="A2132" s="5" t="s">
        <v>3204</v>
      </c>
      <c r="B2132" s="6">
        <v>1.0</v>
      </c>
      <c r="C2132" s="7">
        <v>81.0</v>
      </c>
      <c r="D2132" s="6" t="s">
        <v>3169</v>
      </c>
      <c r="E2132" s="16">
        <v>4.0</v>
      </c>
      <c r="F2132" s="18" t="s">
        <v>2097</v>
      </c>
    </row>
    <row r="2133">
      <c r="A2133" s="5" t="s">
        <v>3220</v>
      </c>
      <c r="B2133" s="6">
        <v>6.0</v>
      </c>
      <c r="C2133" s="7">
        <v>1.0</v>
      </c>
      <c r="D2133" s="6" t="s">
        <v>3221</v>
      </c>
      <c r="E2133" s="16">
        <v>4.0</v>
      </c>
      <c r="F2133" s="18" t="s">
        <v>2098</v>
      </c>
    </row>
    <row r="2134">
      <c r="A2134" s="5" t="s">
        <v>3237</v>
      </c>
      <c r="B2134" s="6">
        <v>2.0</v>
      </c>
      <c r="C2134" s="7">
        <v>180.0</v>
      </c>
      <c r="D2134" s="6" t="s">
        <v>3192</v>
      </c>
      <c r="E2134" s="16">
        <v>4.0</v>
      </c>
      <c r="F2134" s="18" t="s">
        <v>2099</v>
      </c>
    </row>
    <row r="2135">
      <c r="A2135" s="5" t="s">
        <v>3199</v>
      </c>
      <c r="B2135" s="6">
        <v>3.0</v>
      </c>
      <c r="C2135" s="7">
        <v>63.0</v>
      </c>
      <c r="D2135" s="6" t="s">
        <v>3257</v>
      </c>
      <c r="E2135" s="16">
        <v>4.0</v>
      </c>
      <c r="F2135" s="18" t="s">
        <v>2100</v>
      </c>
    </row>
    <row r="2136">
      <c r="A2136" s="5" t="s">
        <v>3195</v>
      </c>
      <c r="B2136" s="6">
        <v>4.0</v>
      </c>
      <c r="C2136" s="7">
        <v>115.0</v>
      </c>
      <c r="D2136" s="6" t="s">
        <v>3173</v>
      </c>
      <c r="E2136" s="16">
        <v>4.0</v>
      </c>
      <c r="F2136" s="18" t="s">
        <v>2101</v>
      </c>
    </row>
    <row r="2137">
      <c r="A2137" s="5" t="s">
        <v>3253</v>
      </c>
      <c r="B2137" s="6">
        <v>1.0</v>
      </c>
      <c r="C2137" s="7">
        <v>164.0</v>
      </c>
      <c r="D2137" s="6" t="s">
        <v>3232</v>
      </c>
      <c r="E2137" s="16">
        <v>4.0</v>
      </c>
      <c r="F2137" s="18" t="s">
        <v>2102</v>
      </c>
    </row>
    <row r="2138">
      <c r="A2138" s="5" t="s">
        <v>3228</v>
      </c>
      <c r="B2138" s="6">
        <v>6.0</v>
      </c>
      <c r="C2138" s="7">
        <v>46.0</v>
      </c>
      <c r="D2138" s="6" t="s">
        <v>3194</v>
      </c>
      <c r="E2138" s="16">
        <v>4.0</v>
      </c>
      <c r="F2138" s="18" t="s">
        <v>2103</v>
      </c>
    </row>
    <row r="2139">
      <c r="A2139" s="5" t="s">
        <v>3181</v>
      </c>
      <c r="B2139" s="6">
        <v>1.0</v>
      </c>
      <c r="C2139" s="7">
        <v>171.0</v>
      </c>
      <c r="D2139" s="6" t="s">
        <v>3245</v>
      </c>
      <c r="E2139" s="16">
        <v>3.0</v>
      </c>
      <c r="F2139" s="18" t="s">
        <v>2104</v>
      </c>
    </row>
    <row r="2140">
      <c r="A2140" s="5" t="s">
        <v>3187</v>
      </c>
      <c r="B2140" s="6">
        <v>4.0</v>
      </c>
      <c r="C2140" s="7">
        <v>174.0</v>
      </c>
      <c r="D2140" s="6" t="s">
        <v>3188</v>
      </c>
      <c r="E2140" s="16">
        <v>3.0</v>
      </c>
      <c r="F2140" s="18" t="s">
        <v>2105</v>
      </c>
    </row>
    <row r="2141">
      <c r="A2141" s="5" t="s">
        <v>3231</v>
      </c>
      <c r="B2141" s="6">
        <v>4.0</v>
      </c>
      <c r="C2141" s="7">
        <v>114.0</v>
      </c>
      <c r="D2141" s="6" t="s">
        <v>3245</v>
      </c>
      <c r="E2141" s="16">
        <v>3.0</v>
      </c>
      <c r="F2141" s="18" t="s">
        <v>2106</v>
      </c>
    </row>
    <row r="2142">
      <c r="A2142" s="5" t="s">
        <v>3263</v>
      </c>
      <c r="B2142" s="6">
        <v>1.0</v>
      </c>
      <c r="C2142" s="7">
        <v>155.0</v>
      </c>
      <c r="D2142" s="6" t="s">
        <v>3180</v>
      </c>
      <c r="E2142" s="16">
        <v>3.0</v>
      </c>
      <c r="F2142" s="18" t="s">
        <v>2107</v>
      </c>
    </row>
    <row r="2143">
      <c r="A2143" s="5" t="s">
        <v>3256</v>
      </c>
      <c r="B2143" s="6">
        <v>6.0</v>
      </c>
      <c r="C2143" s="7">
        <v>177.0</v>
      </c>
      <c r="D2143" s="6" t="s">
        <v>3167</v>
      </c>
      <c r="E2143" s="16">
        <v>3.0</v>
      </c>
      <c r="F2143" s="18" t="s">
        <v>2108</v>
      </c>
    </row>
    <row r="2144">
      <c r="A2144" s="5" t="s">
        <v>3189</v>
      </c>
      <c r="B2144" s="6">
        <v>6.0</v>
      </c>
      <c r="C2144" s="7">
        <v>158.0</v>
      </c>
      <c r="D2144" s="6" t="s">
        <v>3235</v>
      </c>
      <c r="E2144" s="16">
        <v>2.0</v>
      </c>
      <c r="F2144" s="18" t="s">
        <v>2109</v>
      </c>
    </row>
    <row r="2145">
      <c r="A2145" s="5" t="s">
        <v>3259</v>
      </c>
      <c r="B2145" s="6">
        <v>6.0</v>
      </c>
      <c r="C2145" s="7">
        <v>193.0</v>
      </c>
      <c r="D2145" s="6" t="s">
        <v>3249</v>
      </c>
      <c r="E2145" s="16">
        <v>2.0</v>
      </c>
      <c r="F2145" s="18" t="s">
        <v>2110</v>
      </c>
    </row>
    <row r="2146">
      <c r="A2146" s="5" t="s">
        <v>3185</v>
      </c>
      <c r="B2146" s="6">
        <v>1.0</v>
      </c>
      <c r="C2146" s="7">
        <v>84.0</v>
      </c>
      <c r="D2146" s="6" t="s">
        <v>3203</v>
      </c>
      <c r="E2146" s="16">
        <v>2.0</v>
      </c>
      <c r="F2146" s="18" t="s">
        <v>2111</v>
      </c>
    </row>
    <row r="2147">
      <c r="A2147" s="5" t="s">
        <v>3255</v>
      </c>
      <c r="B2147" s="6">
        <v>6.0</v>
      </c>
      <c r="C2147" s="7">
        <v>132.0</v>
      </c>
      <c r="D2147" s="6" t="s">
        <v>3186</v>
      </c>
      <c r="E2147" s="16">
        <v>2.0</v>
      </c>
      <c r="F2147" s="18" t="s">
        <v>2112</v>
      </c>
    </row>
    <row r="2148">
      <c r="A2148" s="5" t="s">
        <v>3217</v>
      </c>
      <c r="B2148" s="6">
        <v>5.0</v>
      </c>
      <c r="C2148" s="7">
        <v>3.0</v>
      </c>
      <c r="D2148" s="6" t="s">
        <v>3200</v>
      </c>
      <c r="E2148" s="16">
        <v>2.0</v>
      </c>
      <c r="F2148" s="18" t="s">
        <v>2113</v>
      </c>
    </row>
    <row r="2149">
      <c r="A2149" s="5" t="s">
        <v>3229</v>
      </c>
      <c r="B2149" s="6">
        <v>4.0</v>
      </c>
      <c r="C2149" s="7">
        <v>33.0</v>
      </c>
      <c r="D2149" s="6" t="s">
        <v>3225</v>
      </c>
      <c r="E2149" s="16">
        <v>2.0</v>
      </c>
      <c r="F2149" s="18" t="s">
        <v>2114</v>
      </c>
    </row>
    <row r="2150">
      <c r="A2150" s="5" t="s">
        <v>3218</v>
      </c>
      <c r="B2150" s="6">
        <v>5.0</v>
      </c>
      <c r="C2150" s="7">
        <v>138.0</v>
      </c>
      <c r="D2150" s="6" t="s">
        <v>3219</v>
      </c>
      <c r="E2150" s="16">
        <v>2.0</v>
      </c>
      <c r="F2150" s="18" t="s">
        <v>2115</v>
      </c>
    </row>
    <row r="2151">
      <c r="A2151" s="5" t="s">
        <v>3243</v>
      </c>
      <c r="B2151" s="6">
        <v>4.0</v>
      </c>
      <c r="C2151" s="7">
        <v>189.0</v>
      </c>
      <c r="D2151" s="6" t="s">
        <v>3225</v>
      </c>
      <c r="E2151" s="16">
        <v>2.0</v>
      </c>
      <c r="F2151" s="18" t="s">
        <v>2116</v>
      </c>
    </row>
    <row r="2152">
      <c r="A2152" s="5" t="s">
        <v>3261</v>
      </c>
      <c r="B2152" s="6">
        <v>4.0</v>
      </c>
      <c r="C2152" s="7">
        <v>55.0</v>
      </c>
      <c r="D2152" s="6" t="s">
        <v>3198</v>
      </c>
      <c r="E2152" s="16">
        <v>2.0</v>
      </c>
      <c r="F2152" s="18" t="s">
        <v>2117</v>
      </c>
    </row>
    <row r="2153">
      <c r="A2153" s="5" t="s">
        <v>3170</v>
      </c>
      <c r="B2153" s="6">
        <v>1.0</v>
      </c>
      <c r="C2153" s="7">
        <v>112.0</v>
      </c>
      <c r="D2153" s="6" t="s">
        <v>3227</v>
      </c>
      <c r="E2153" s="16">
        <v>2.0</v>
      </c>
      <c r="F2153" s="18" t="s">
        <v>2118</v>
      </c>
    </row>
    <row r="2154">
      <c r="A2154" s="5" t="s">
        <v>3206</v>
      </c>
      <c r="B2154" s="6">
        <v>6.0</v>
      </c>
      <c r="C2154" s="7">
        <v>93.0</v>
      </c>
      <c r="D2154" s="6" t="s">
        <v>3221</v>
      </c>
      <c r="E2154" s="16">
        <v>2.0</v>
      </c>
      <c r="F2154" s="18" t="s">
        <v>2119</v>
      </c>
    </row>
    <row r="2155">
      <c r="A2155" s="5" t="s">
        <v>3197</v>
      </c>
      <c r="B2155" s="6">
        <v>1.0</v>
      </c>
      <c r="C2155" s="7">
        <v>103.0</v>
      </c>
      <c r="D2155" s="6" t="s">
        <v>3254</v>
      </c>
      <c r="E2155" s="16">
        <v>2.0</v>
      </c>
      <c r="F2155" s="18" t="s">
        <v>2120</v>
      </c>
    </row>
    <row r="2156">
      <c r="A2156" s="5" t="s">
        <v>3251</v>
      </c>
      <c r="B2156" s="6">
        <v>6.0</v>
      </c>
      <c r="C2156" s="7">
        <v>84.0</v>
      </c>
      <c r="D2156" s="6" t="s">
        <v>3203</v>
      </c>
      <c r="E2156" s="16">
        <v>1.0</v>
      </c>
      <c r="F2156" s="18" t="s">
        <v>2121</v>
      </c>
    </row>
    <row r="2157">
      <c r="A2157" s="5" t="s">
        <v>3233</v>
      </c>
      <c r="B2157" s="6">
        <v>6.0</v>
      </c>
      <c r="C2157" s="7">
        <v>36.0</v>
      </c>
      <c r="D2157" s="6" t="s">
        <v>3227</v>
      </c>
      <c r="E2157" s="16">
        <v>1.0</v>
      </c>
      <c r="F2157" s="18" t="s">
        <v>2122</v>
      </c>
    </row>
    <row r="2158">
      <c r="A2158" s="5" t="s">
        <v>3267</v>
      </c>
      <c r="B2158" s="6">
        <v>3.0</v>
      </c>
      <c r="C2158" s="7">
        <v>9.0</v>
      </c>
      <c r="D2158" s="6" t="s">
        <v>3232</v>
      </c>
      <c r="E2158" s="16">
        <v>1.0</v>
      </c>
      <c r="F2158" s="18" t="s">
        <v>2123</v>
      </c>
    </row>
    <row r="2159">
      <c r="A2159" s="5" t="s">
        <v>3177</v>
      </c>
      <c r="B2159" s="6">
        <v>5.0</v>
      </c>
      <c r="C2159" s="7">
        <v>130.0</v>
      </c>
      <c r="D2159" s="6" t="s">
        <v>3232</v>
      </c>
      <c r="E2159" s="16">
        <v>1.0</v>
      </c>
      <c r="F2159" s="18" t="s">
        <v>2124</v>
      </c>
    </row>
    <row r="2160">
      <c r="A2160" s="5" t="s">
        <v>3243</v>
      </c>
      <c r="B2160" s="6">
        <v>4.0</v>
      </c>
      <c r="C2160" s="7">
        <v>73.0</v>
      </c>
      <c r="D2160" s="6" t="s">
        <v>3173</v>
      </c>
      <c r="E2160" s="16">
        <v>1.0</v>
      </c>
      <c r="F2160" s="18" t="s">
        <v>2125</v>
      </c>
    </row>
    <row r="2161">
      <c r="A2161" s="5" t="s">
        <v>3253</v>
      </c>
      <c r="B2161" s="6">
        <v>1.0</v>
      </c>
      <c r="C2161" s="7">
        <v>151.0</v>
      </c>
      <c r="D2161" s="6" t="s">
        <v>3232</v>
      </c>
      <c r="E2161" s="16">
        <v>1.0</v>
      </c>
      <c r="F2161" s="18" t="s">
        <v>2126</v>
      </c>
    </row>
    <row r="2162">
      <c r="A2162" s="5" t="s">
        <v>3212</v>
      </c>
      <c r="B2162" s="6">
        <v>6.0</v>
      </c>
      <c r="C2162" s="7">
        <v>37.0</v>
      </c>
      <c r="D2162" s="6" t="s">
        <v>3194</v>
      </c>
      <c r="E2162" s="16">
        <v>1.0</v>
      </c>
      <c r="F2162" s="18" t="s">
        <v>2127</v>
      </c>
    </row>
    <row r="2163">
      <c r="A2163" s="5" t="s">
        <v>3253</v>
      </c>
      <c r="B2163" s="6">
        <v>1.0</v>
      </c>
      <c r="C2163" s="7">
        <v>21.0</v>
      </c>
      <c r="D2163" s="6" t="s">
        <v>3200</v>
      </c>
      <c r="E2163" s="16">
        <v>1.0</v>
      </c>
      <c r="F2163" s="18" t="s">
        <v>2128</v>
      </c>
    </row>
    <row r="2164">
      <c r="A2164" s="5" t="s">
        <v>3263</v>
      </c>
      <c r="B2164" s="6">
        <v>1.0</v>
      </c>
      <c r="C2164" s="7">
        <v>22.0</v>
      </c>
      <c r="D2164" s="6" t="s">
        <v>3167</v>
      </c>
      <c r="E2164" s="16">
        <v>5.0</v>
      </c>
      <c r="F2164" s="18" t="s">
        <v>2129</v>
      </c>
    </row>
    <row r="2165">
      <c r="A2165" s="5" t="s">
        <v>3244</v>
      </c>
      <c r="B2165" s="6">
        <v>1.0</v>
      </c>
      <c r="C2165" s="7">
        <v>5.0</v>
      </c>
      <c r="D2165" s="6" t="s">
        <v>3207</v>
      </c>
      <c r="E2165" s="16">
        <v>5.0</v>
      </c>
      <c r="F2165" s="18" t="s">
        <v>2130</v>
      </c>
    </row>
    <row r="2166">
      <c r="A2166" s="5" t="s">
        <v>3265</v>
      </c>
      <c r="B2166" s="6">
        <v>1.0</v>
      </c>
      <c r="C2166" s="7">
        <v>119.0</v>
      </c>
      <c r="D2166" s="6" t="s">
        <v>3178</v>
      </c>
      <c r="E2166" s="16">
        <v>5.0</v>
      </c>
      <c r="F2166" s="18" t="s">
        <v>2131</v>
      </c>
    </row>
    <row r="2167">
      <c r="A2167" s="5" t="s">
        <v>3233</v>
      </c>
      <c r="B2167" s="6">
        <v>6.0</v>
      </c>
      <c r="C2167" s="7">
        <v>82.0</v>
      </c>
      <c r="D2167" s="6" t="s">
        <v>3190</v>
      </c>
      <c r="E2167" s="16">
        <v>5.0</v>
      </c>
      <c r="F2167" s="18" t="s">
        <v>2132</v>
      </c>
    </row>
    <row r="2168">
      <c r="A2168" s="5" t="s">
        <v>3204</v>
      </c>
      <c r="B2168" s="6">
        <v>1.0</v>
      </c>
      <c r="C2168" s="7">
        <v>18.0</v>
      </c>
      <c r="D2168" s="6" t="s">
        <v>3225</v>
      </c>
      <c r="E2168" s="16">
        <v>5.0</v>
      </c>
      <c r="F2168" s="18" t="s">
        <v>2133</v>
      </c>
    </row>
    <row r="2169">
      <c r="A2169" s="5" t="s">
        <v>3243</v>
      </c>
      <c r="B2169" s="6">
        <v>4.0</v>
      </c>
      <c r="C2169" s="7">
        <v>101.0</v>
      </c>
      <c r="D2169" s="6" t="s">
        <v>3238</v>
      </c>
      <c r="E2169" s="16">
        <v>5.0</v>
      </c>
      <c r="F2169" s="18" t="s">
        <v>2134</v>
      </c>
    </row>
    <row r="2170">
      <c r="A2170" s="5" t="s">
        <v>3206</v>
      </c>
      <c r="B2170" s="6">
        <v>6.0</v>
      </c>
      <c r="C2170" s="7">
        <v>126.0</v>
      </c>
      <c r="D2170" s="6" t="s">
        <v>3211</v>
      </c>
      <c r="E2170" s="16">
        <v>5.0</v>
      </c>
      <c r="F2170" s="18" t="s">
        <v>2135</v>
      </c>
    </row>
    <row r="2171">
      <c r="A2171" s="5" t="s">
        <v>3251</v>
      </c>
      <c r="B2171" s="6">
        <v>6.0</v>
      </c>
      <c r="C2171" s="7">
        <v>12.0</v>
      </c>
      <c r="D2171" s="6" t="s">
        <v>3225</v>
      </c>
      <c r="E2171" s="16">
        <v>5.0</v>
      </c>
      <c r="F2171" s="18" t="s">
        <v>2136</v>
      </c>
    </row>
    <row r="2172">
      <c r="A2172" s="5" t="s">
        <v>3205</v>
      </c>
      <c r="B2172" s="6">
        <v>1.0</v>
      </c>
      <c r="C2172" s="7">
        <v>44.0</v>
      </c>
      <c r="D2172" s="6" t="s">
        <v>3239</v>
      </c>
      <c r="E2172" s="16">
        <v>5.0</v>
      </c>
      <c r="F2172" s="18" t="s">
        <v>2137</v>
      </c>
    </row>
    <row r="2173">
      <c r="A2173" s="5" t="s">
        <v>3218</v>
      </c>
      <c r="B2173" s="6">
        <v>5.0</v>
      </c>
      <c r="C2173" s="7">
        <v>152.0</v>
      </c>
      <c r="D2173" s="6" t="s">
        <v>3203</v>
      </c>
      <c r="E2173" s="16">
        <v>5.0</v>
      </c>
      <c r="F2173" s="18" t="s">
        <v>2138</v>
      </c>
    </row>
    <row r="2174">
      <c r="A2174" s="5" t="s">
        <v>3199</v>
      </c>
      <c r="B2174" s="6">
        <v>3.0</v>
      </c>
      <c r="C2174" s="7">
        <v>61.0</v>
      </c>
      <c r="D2174" s="6" t="s">
        <v>3249</v>
      </c>
      <c r="E2174" s="16">
        <v>5.0</v>
      </c>
      <c r="F2174" s="18" t="s">
        <v>2139</v>
      </c>
    </row>
    <row r="2175">
      <c r="A2175" s="5" t="s">
        <v>3233</v>
      </c>
      <c r="B2175" s="6">
        <v>6.0</v>
      </c>
      <c r="C2175" s="7">
        <v>107.0</v>
      </c>
      <c r="D2175" s="6" t="s">
        <v>3207</v>
      </c>
      <c r="E2175" s="16">
        <v>5.0</v>
      </c>
      <c r="F2175" s="18" t="s">
        <v>2140</v>
      </c>
    </row>
    <row r="2176">
      <c r="A2176" s="5" t="s">
        <v>3269</v>
      </c>
      <c r="B2176" s="6">
        <v>6.0</v>
      </c>
      <c r="C2176" s="7">
        <v>105.0</v>
      </c>
      <c r="D2176" s="6" t="s">
        <v>3167</v>
      </c>
      <c r="E2176" s="16">
        <v>5.0</v>
      </c>
      <c r="F2176" s="18" t="s">
        <v>2141</v>
      </c>
    </row>
    <row r="2177">
      <c r="A2177" s="5" t="s">
        <v>3183</v>
      </c>
      <c r="B2177" s="6">
        <v>6.0</v>
      </c>
      <c r="C2177" s="7">
        <v>135.0</v>
      </c>
      <c r="D2177" s="6" t="s">
        <v>3207</v>
      </c>
      <c r="E2177" s="16">
        <v>5.0</v>
      </c>
      <c r="F2177" s="18" t="s">
        <v>2142</v>
      </c>
    </row>
    <row r="2178">
      <c r="A2178" s="5" t="s">
        <v>3260</v>
      </c>
      <c r="B2178" s="6">
        <v>1.0</v>
      </c>
      <c r="C2178" s="7">
        <v>113.0</v>
      </c>
      <c r="D2178" s="6" t="s">
        <v>3207</v>
      </c>
      <c r="E2178" s="16">
        <v>5.0</v>
      </c>
      <c r="F2178" s="18" t="s">
        <v>2143</v>
      </c>
    </row>
    <row r="2179">
      <c r="A2179" s="5" t="s">
        <v>3242</v>
      </c>
      <c r="B2179" s="6">
        <v>1.0</v>
      </c>
      <c r="C2179" s="7">
        <v>176.0</v>
      </c>
      <c r="D2179" s="6" t="s">
        <v>3232</v>
      </c>
      <c r="E2179" s="16">
        <v>5.0</v>
      </c>
      <c r="F2179" s="18" t="s">
        <v>2144</v>
      </c>
    </row>
    <row r="2180">
      <c r="A2180" s="5" t="s">
        <v>3246</v>
      </c>
      <c r="B2180" s="6">
        <v>4.0</v>
      </c>
      <c r="C2180" s="7">
        <v>200.0</v>
      </c>
      <c r="D2180" s="6" t="s">
        <v>3238</v>
      </c>
      <c r="E2180" s="16">
        <v>4.0</v>
      </c>
      <c r="F2180" s="18" t="s">
        <v>2145</v>
      </c>
    </row>
    <row r="2181">
      <c r="A2181" s="5" t="s">
        <v>3231</v>
      </c>
      <c r="B2181" s="6">
        <v>4.0</v>
      </c>
      <c r="C2181" s="7">
        <v>52.0</v>
      </c>
      <c r="D2181" s="6" t="s">
        <v>3194</v>
      </c>
      <c r="E2181" s="16">
        <v>4.0</v>
      </c>
      <c r="F2181" s="18" t="s">
        <v>2146</v>
      </c>
    </row>
    <row r="2182">
      <c r="A2182" s="5" t="s">
        <v>3233</v>
      </c>
      <c r="B2182" s="6">
        <v>6.0</v>
      </c>
      <c r="C2182" s="7">
        <v>153.0</v>
      </c>
      <c r="D2182" s="6" t="s">
        <v>3180</v>
      </c>
      <c r="E2182" s="16">
        <v>4.0</v>
      </c>
      <c r="F2182" s="18" t="s">
        <v>2147</v>
      </c>
    </row>
    <row r="2183">
      <c r="A2183" s="5" t="s">
        <v>3233</v>
      </c>
      <c r="B2183" s="6">
        <v>6.0</v>
      </c>
      <c r="C2183" s="7">
        <v>8.0</v>
      </c>
      <c r="D2183" s="6" t="s">
        <v>3169</v>
      </c>
      <c r="E2183" s="16">
        <v>4.0</v>
      </c>
      <c r="F2183" s="18" t="s">
        <v>2148</v>
      </c>
    </row>
    <row r="2184">
      <c r="A2184" s="5" t="s">
        <v>3261</v>
      </c>
      <c r="B2184" s="6">
        <v>4.0</v>
      </c>
      <c r="C2184" s="7">
        <v>81.0</v>
      </c>
      <c r="D2184" s="6" t="s">
        <v>3169</v>
      </c>
      <c r="E2184" s="16">
        <v>4.0</v>
      </c>
      <c r="F2184" s="18" t="s">
        <v>2149</v>
      </c>
    </row>
    <row r="2185">
      <c r="A2185" s="5" t="s">
        <v>3208</v>
      </c>
      <c r="B2185" s="6">
        <v>4.0</v>
      </c>
      <c r="C2185" s="7">
        <v>14.0</v>
      </c>
      <c r="D2185" s="6" t="s">
        <v>3196</v>
      </c>
      <c r="E2185" s="16">
        <v>4.0</v>
      </c>
      <c r="F2185" s="18" t="s">
        <v>2150</v>
      </c>
    </row>
    <row r="2186">
      <c r="A2186" s="5" t="s">
        <v>3183</v>
      </c>
      <c r="B2186" s="6">
        <v>6.0</v>
      </c>
      <c r="C2186" s="7">
        <v>122.0</v>
      </c>
      <c r="D2186" s="6" t="s">
        <v>3232</v>
      </c>
      <c r="E2186" s="16">
        <v>4.0</v>
      </c>
      <c r="F2186" s="18" t="s">
        <v>2151</v>
      </c>
    </row>
    <row r="2187">
      <c r="A2187" s="5" t="s">
        <v>3253</v>
      </c>
      <c r="B2187" s="6">
        <v>1.0</v>
      </c>
      <c r="C2187" s="7">
        <v>193.0</v>
      </c>
      <c r="D2187" s="6" t="s">
        <v>3249</v>
      </c>
      <c r="E2187" s="16">
        <v>4.0</v>
      </c>
      <c r="F2187" s="18" t="s">
        <v>2152</v>
      </c>
    </row>
    <row r="2188">
      <c r="A2188" s="5" t="s">
        <v>3224</v>
      </c>
      <c r="B2188" s="6">
        <v>6.0</v>
      </c>
      <c r="C2188" s="7">
        <v>197.0</v>
      </c>
      <c r="D2188" s="6" t="s">
        <v>3173</v>
      </c>
      <c r="E2188" s="16">
        <v>4.0</v>
      </c>
      <c r="F2188" s="18" t="s">
        <v>2153</v>
      </c>
    </row>
    <row r="2189">
      <c r="A2189" s="5" t="s">
        <v>3177</v>
      </c>
      <c r="B2189" s="6">
        <v>5.0</v>
      </c>
      <c r="C2189" s="7">
        <v>49.0</v>
      </c>
      <c r="D2189" s="6" t="s">
        <v>3254</v>
      </c>
      <c r="E2189" s="16">
        <v>4.0</v>
      </c>
      <c r="F2189" s="18" t="s">
        <v>2154</v>
      </c>
    </row>
    <row r="2190">
      <c r="A2190" s="5" t="s">
        <v>3185</v>
      </c>
      <c r="B2190" s="6">
        <v>1.0</v>
      </c>
      <c r="C2190" s="7">
        <v>88.0</v>
      </c>
      <c r="D2190" s="6" t="s">
        <v>3167</v>
      </c>
      <c r="E2190" s="16">
        <v>4.0</v>
      </c>
      <c r="F2190" s="18" t="s">
        <v>2155</v>
      </c>
    </row>
    <row r="2191">
      <c r="A2191" s="5" t="s">
        <v>3243</v>
      </c>
      <c r="B2191" s="6">
        <v>4.0</v>
      </c>
      <c r="C2191" s="7">
        <v>12.0</v>
      </c>
      <c r="D2191" s="6" t="s">
        <v>3225</v>
      </c>
      <c r="E2191" s="16">
        <v>3.0</v>
      </c>
      <c r="F2191" s="18" t="s">
        <v>2156</v>
      </c>
    </row>
    <row r="2192">
      <c r="A2192" s="5" t="s">
        <v>3212</v>
      </c>
      <c r="B2192" s="6">
        <v>6.0</v>
      </c>
      <c r="C2192" s="7">
        <v>167.0</v>
      </c>
      <c r="D2192" s="6" t="s">
        <v>3254</v>
      </c>
      <c r="E2192" s="16">
        <v>3.0</v>
      </c>
      <c r="F2192" s="18" t="s">
        <v>2157</v>
      </c>
    </row>
    <row r="2193">
      <c r="A2193" s="5" t="s">
        <v>3166</v>
      </c>
      <c r="B2193" s="6">
        <v>6.0</v>
      </c>
      <c r="C2193" s="7">
        <v>191.0</v>
      </c>
      <c r="D2193" s="6" t="s">
        <v>3221</v>
      </c>
      <c r="E2193" s="16">
        <v>3.0</v>
      </c>
      <c r="F2193" s="18" t="s">
        <v>2158</v>
      </c>
    </row>
    <row r="2194">
      <c r="A2194" s="5" t="s">
        <v>3233</v>
      </c>
      <c r="B2194" s="6">
        <v>6.0</v>
      </c>
      <c r="C2194" s="7">
        <v>109.0</v>
      </c>
      <c r="D2194" s="6" t="s">
        <v>3249</v>
      </c>
      <c r="E2194" s="16">
        <v>3.0</v>
      </c>
      <c r="F2194" s="18" t="s">
        <v>2159</v>
      </c>
    </row>
    <row r="2195">
      <c r="A2195" s="5" t="s">
        <v>3234</v>
      </c>
      <c r="B2195" s="6">
        <v>6.0</v>
      </c>
      <c r="C2195" s="7">
        <v>77.0</v>
      </c>
      <c r="D2195" s="6" t="s">
        <v>3254</v>
      </c>
      <c r="E2195" s="16">
        <v>2.0</v>
      </c>
      <c r="F2195" s="18" t="s">
        <v>2160</v>
      </c>
    </row>
    <row r="2196">
      <c r="A2196" s="5" t="s">
        <v>3170</v>
      </c>
      <c r="B2196" s="6">
        <v>1.0</v>
      </c>
      <c r="C2196" s="7">
        <v>62.0</v>
      </c>
      <c r="D2196" s="6" t="s">
        <v>3200</v>
      </c>
      <c r="E2196" s="16">
        <v>2.0</v>
      </c>
      <c r="F2196" s="18" t="s">
        <v>2161</v>
      </c>
    </row>
    <row r="2197">
      <c r="A2197" s="5" t="s">
        <v>3183</v>
      </c>
      <c r="B2197" s="6">
        <v>6.0</v>
      </c>
      <c r="C2197" s="7">
        <v>196.0</v>
      </c>
      <c r="D2197" s="6" t="s">
        <v>3169</v>
      </c>
      <c r="E2197" s="16">
        <v>2.0</v>
      </c>
      <c r="F2197" s="18" t="s">
        <v>2162</v>
      </c>
    </row>
    <row r="2198">
      <c r="A2198" s="5" t="s">
        <v>3202</v>
      </c>
      <c r="B2198" s="6">
        <v>4.0</v>
      </c>
      <c r="C2198" s="7">
        <v>88.0</v>
      </c>
      <c r="D2198" s="6" t="s">
        <v>3167</v>
      </c>
      <c r="E2198" s="16">
        <v>2.0</v>
      </c>
      <c r="F2198" s="18" t="s">
        <v>2163</v>
      </c>
    </row>
    <row r="2199">
      <c r="A2199" s="5" t="s">
        <v>3246</v>
      </c>
      <c r="B2199" s="6">
        <v>4.0</v>
      </c>
      <c r="C2199" s="7">
        <v>139.0</v>
      </c>
      <c r="D2199" s="6" t="s">
        <v>3182</v>
      </c>
      <c r="E2199" s="16">
        <v>2.0</v>
      </c>
      <c r="F2199" s="18" t="s">
        <v>2164</v>
      </c>
    </row>
    <row r="2200">
      <c r="A2200" s="5" t="s">
        <v>3172</v>
      </c>
      <c r="B2200" s="6">
        <v>1.0</v>
      </c>
      <c r="C2200" s="7">
        <v>63.0</v>
      </c>
      <c r="D2200" s="6" t="s">
        <v>3257</v>
      </c>
      <c r="E2200" s="16">
        <v>2.0</v>
      </c>
      <c r="F2200" s="18" t="s">
        <v>2165</v>
      </c>
    </row>
    <row r="2201">
      <c r="A2201" s="5" t="s">
        <v>3264</v>
      </c>
      <c r="B2201" s="6">
        <v>4.0</v>
      </c>
      <c r="C2201" s="7">
        <v>178.0</v>
      </c>
      <c r="D2201" s="6" t="s">
        <v>3190</v>
      </c>
      <c r="E2201" s="16">
        <v>1.0</v>
      </c>
      <c r="F2201" s="18" t="s">
        <v>2166</v>
      </c>
    </row>
    <row r="2202">
      <c r="A2202" s="5" t="s">
        <v>3240</v>
      </c>
      <c r="B2202" s="6">
        <v>2.0</v>
      </c>
      <c r="C2202" s="7">
        <v>91.0</v>
      </c>
      <c r="D2202" s="6" t="s">
        <v>3178</v>
      </c>
      <c r="E2202" s="16">
        <v>1.0</v>
      </c>
      <c r="F2202" s="18" t="s">
        <v>2167</v>
      </c>
    </row>
    <row r="2203">
      <c r="A2203" s="5" t="s">
        <v>3183</v>
      </c>
      <c r="B2203" s="6">
        <v>6.0</v>
      </c>
      <c r="C2203" s="7">
        <v>53.0</v>
      </c>
      <c r="D2203" s="6" t="s">
        <v>3249</v>
      </c>
      <c r="E2203" s="16">
        <v>1.0</v>
      </c>
      <c r="F2203" s="18" t="s">
        <v>2168</v>
      </c>
    </row>
    <row r="2204">
      <c r="A2204" s="5" t="s">
        <v>3233</v>
      </c>
      <c r="B2204" s="6">
        <v>6.0</v>
      </c>
      <c r="C2204" s="7">
        <v>103.0</v>
      </c>
      <c r="D2204" s="6" t="s">
        <v>3254</v>
      </c>
      <c r="E2204" s="16">
        <v>1.0</v>
      </c>
      <c r="F2204" s="18" t="s">
        <v>2169</v>
      </c>
    </row>
    <row r="2205">
      <c r="A2205" s="5" t="s">
        <v>3234</v>
      </c>
      <c r="B2205" s="6">
        <v>6.0</v>
      </c>
      <c r="C2205" s="7">
        <v>103.0</v>
      </c>
      <c r="D2205" s="6" t="s">
        <v>3254</v>
      </c>
      <c r="E2205" s="16">
        <v>1.0</v>
      </c>
      <c r="F2205" s="18" t="s">
        <v>2170</v>
      </c>
    </row>
    <row r="2206">
      <c r="A2206" s="5" t="s">
        <v>3185</v>
      </c>
      <c r="B2206" s="6">
        <v>1.0</v>
      </c>
      <c r="C2206" s="7">
        <v>115.0</v>
      </c>
      <c r="D2206" s="6" t="s">
        <v>3173</v>
      </c>
      <c r="E2206" s="16">
        <v>1.0</v>
      </c>
      <c r="F2206" s="18" t="s">
        <v>2171</v>
      </c>
    </row>
    <row r="2207">
      <c r="A2207" s="5" t="s">
        <v>3202</v>
      </c>
      <c r="B2207" s="6">
        <v>4.0</v>
      </c>
      <c r="C2207" s="7">
        <v>43.0</v>
      </c>
      <c r="D2207" s="6" t="s">
        <v>3214</v>
      </c>
      <c r="E2207" s="16">
        <v>1.0</v>
      </c>
      <c r="F2207" s="18" t="s">
        <v>2172</v>
      </c>
    </row>
    <row r="2208">
      <c r="A2208" s="5" t="s">
        <v>3202</v>
      </c>
      <c r="B2208" s="6">
        <v>4.0</v>
      </c>
      <c r="C2208" s="7">
        <v>89.0</v>
      </c>
      <c r="D2208" s="6" t="s">
        <v>3262</v>
      </c>
      <c r="E2208" s="16">
        <v>1.0</v>
      </c>
      <c r="F2208" s="18" t="s">
        <v>2173</v>
      </c>
    </row>
    <row r="2209">
      <c r="A2209" s="5" t="s">
        <v>3229</v>
      </c>
      <c r="B2209" s="6">
        <v>4.0</v>
      </c>
      <c r="C2209" s="7">
        <v>186.0</v>
      </c>
      <c r="D2209" s="6" t="s">
        <v>3222</v>
      </c>
      <c r="E2209" s="16">
        <v>1.0</v>
      </c>
      <c r="F2209" s="18" t="s">
        <v>2174</v>
      </c>
    </row>
    <row r="2210">
      <c r="A2210" s="5" t="s">
        <v>3193</v>
      </c>
      <c r="B2210" s="6">
        <v>5.0</v>
      </c>
      <c r="C2210" s="7">
        <v>150.0</v>
      </c>
      <c r="D2210" s="6" t="s">
        <v>3167</v>
      </c>
      <c r="E2210" s="16">
        <v>1.0</v>
      </c>
      <c r="F2210" s="18" t="s">
        <v>2175</v>
      </c>
    </row>
    <row r="2211">
      <c r="A2211" s="5" t="s">
        <v>3248</v>
      </c>
      <c r="B2211" s="6">
        <v>3.0</v>
      </c>
      <c r="C2211" s="7">
        <v>183.0</v>
      </c>
      <c r="D2211" s="6" t="s">
        <v>3182</v>
      </c>
      <c r="E2211" s="16">
        <v>1.0</v>
      </c>
      <c r="F2211" s="18" t="s">
        <v>2176</v>
      </c>
    </row>
    <row r="2212">
      <c r="A2212" s="5" t="s">
        <v>3244</v>
      </c>
      <c r="B2212" s="6">
        <v>1.0</v>
      </c>
      <c r="C2212" s="7">
        <v>68.0</v>
      </c>
      <c r="D2212" s="6" t="s">
        <v>3182</v>
      </c>
      <c r="E2212" s="16">
        <v>1.0</v>
      </c>
      <c r="F2212" s="18" t="s">
        <v>2177</v>
      </c>
    </row>
    <row r="2213">
      <c r="A2213" s="5" t="s">
        <v>3246</v>
      </c>
      <c r="B2213" s="6">
        <v>4.0</v>
      </c>
      <c r="C2213" s="7">
        <v>137.0</v>
      </c>
      <c r="D2213" s="6" t="s">
        <v>3215</v>
      </c>
      <c r="E2213" s="16">
        <v>5.0</v>
      </c>
      <c r="F2213" s="18" t="s">
        <v>2178</v>
      </c>
    </row>
    <row r="2214">
      <c r="A2214" s="5" t="s">
        <v>3205</v>
      </c>
      <c r="B2214" s="6">
        <v>1.0</v>
      </c>
      <c r="C2214" s="7">
        <v>168.0</v>
      </c>
      <c r="D2214" s="6" t="s">
        <v>3194</v>
      </c>
      <c r="E2214" s="16">
        <v>5.0</v>
      </c>
      <c r="F2214" s="18" t="s">
        <v>2179</v>
      </c>
    </row>
    <row r="2215">
      <c r="A2215" s="5" t="s">
        <v>3199</v>
      </c>
      <c r="B2215" s="6">
        <v>3.0</v>
      </c>
      <c r="C2215" s="7">
        <v>191.0</v>
      </c>
      <c r="D2215" s="6" t="s">
        <v>3221</v>
      </c>
      <c r="E2215" s="16">
        <v>5.0</v>
      </c>
      <c r="F2215" s="18" t="s">
        <v>2180</v>
      </c>
    </row>
    <row r="2216">
      <c r="A2216" s="5" t="s">
        <v>3185</v>
      </c>
      <c r="B2216" s="6">
        <v>1.0</v>
      </c>
      <c r="C2216" s="7">
        <v>198.0</v>
      </c>
      <c r="D2216" s="6" t="s">
        <v>3180</v>
      </c>
      <c r="E2216" s="16">
        <v>5.0</v>
      </c>
      <c r="F2216" s="18" t="s">
        <v>2181</v>
      </c>
    </row>
    <row r="2217">
      <c r="A2217" s="5" t="s">
        <v>3236</v>
      </c>
      <c r="B2217" s="6">
        <v>6.0</v>
      </c>
      <c r="C2217" s="7">
        <v>103.0</v>
      </c>
      <c r="D2217" s="6" t="s">
        <v>3254</v>
      </c>
      <c r="E2217" s="16">
        <v>5.0</v>
      </c>
      <c r="F2217" s="18" t="s">
        <v>2182</v>
      </c>
    </row>
    <row r="2218">
      <c r="A2218" s="5" t="s">
        <v>3267</v>
      </c>
      <c r="B2218" s="6">
        <v>3.0</v>
      </c>
      <c r="C2218" s="7">
        <v>43.0</v>
      </c>
      <c r="D2218" s="6" t="s">
        <v>3214</v>
      </c>
      <c r="E2218" s="16">
        <v>5.0</v>
      </c>
      <c r="F2218" s="18" t="s">
        <v>2183</v>
      </c>
    </row>
    <row r="2219">
      <c r="A2219" s="5" t="s">
        <v>3261</v>
      </c>
      <c r="B2219" s="6">
        <v>4.0</v>
      </c>
      <c r="C2219" s="7">
        <v>15.0</v>
      </c>
      <c r="D2219" s="6" t="s">
        <v>3254</v>
      </c>
      <c r="E2219" s="16">
        <v>5.0</v>
      </c>
      <c r="F2219" s="18" t="s">
        <v>2184</v>
      </c>
    </row>
    <row r="2220">
      <c r="A2220" s="5" t="s">
        <v>3228</v>
      </c>
      <c r="B2220" s="6">
        <v>6.0</v>
      </c>
      <c r="C2220" s="7">
        <v>56.0</v>
      </c>
      <c r="D2220" s="6" t="s">
        <v>3186</v>
      </c>
      <c r="E2220" s="16">
        <v>5.0</v>
      </c>
      <c r="F2220" s="18" t="s">
        <v>2185</v>
      </c>
    </row>
    <row r="2221">
      <c r="A2221" s="5" t="s">
        <v>3216</v>
      </c>
      <c r="B2221" s="6">
        <v>6.0</v>
      </c>
      <c r="C2221" s="7">
        <v>59.0</v>
      </c>
      <c r="D2221" s="6" t="s">
        <v>3227</v>
      </c>
      <c r="E2221" s="16">
        <v>5.0</v>
      </c>
      <c r="F2221" s="18" t="s">
        <v>2186</v>
      </c>
    </row>
    <row r="2222">
      <c r="A2222" s="5" t="s">
        <v>3170</v>
      </c>
      <c r="B2222" s="6">
        <v>1.0</v>
      </c>
      <c r="C2222" s="7">
        <v>135.0</v>
      </c>
      <c r="D2222" s="6" t="s">
        <v>3207</v>
      </c>
      <c r="E2222" s="16">
        <v>5.0</v>
      </c>
      <c r="F2222" s="18" t="s">
        <v>889</v>
      </c>
    </row>
    <row r="2223">
      <c r="A2223" s="5" t="s">
        <v>3224</v>
      </c>
      <c r="B2223" s="6">
        <v>6.0</v>
      </c>
      <c r="C2223" s="7">
        <v>69.0</v>
      </c>
      <c r="D2223" s="6" t="s">
        <v>3203</v>
      </c>
      <c r="E2223" s="16">
        <v>5.0</v>
      </c>
      <c r="F2223" s="18" t="s">
        <v>2187</v>
      </c>
    </row>
    <row r="2224">
      <c r="A2224" s="5" t="s">
        <v>3250</v>
      </c>
      <c r="B2224" s="6">
        <v>4.0</v>
      </c>
      <c r="C2224" s="7">
        <v>40.0</v>
      </c>
      <c r="D2224" s="6" t="s">
        <v>3221</v>
      </c>
      <c r="E2224" s="16">
        <v>5.0</v>
      </c>
      <c r="F2224" s="18" t="s">
        <v>2188</v>
      </c>
    </row>
    <row r="2225">
      <c r="A2225" s="5" t="s">
        <v>3204</v>
      </c>
      <c r="B2225" s="6">
        <v>1.0</v>
      </c>
      <c r="C2225" s="7">
        <v>130.0</v>
      </c>
      <c r="D2225" s="6" t="s">
        <v>3232</v>
      </c>
      <c r="E2225" s="16">
        <v>5.0</v>
      </c>
      <c r="F2225" s="18" t="s">
        <v>2189</v>
      </c>
    </row>
    <row r="2226">
      <c r="A2226" s="5" t="s">
        <v>3208</v>
      </c>
      <c r="B2226" s="6">
        <v>4.0</v>
      </c>
      <c r="C2226" s="7">
        <v>122.0</v>
      </c>
      <c r="D2226" s="6" t="s">
        <v>3232</v>
      </c>
      <c r="E2226" s="16">
        <v>5.0</v>
      </c>
      <c r="F2226" s="18" t="s">
        <v>2190</v>
      </c>
    </row>
    <row r="2227">
      <c r="A2227" s="5" t="s">
        <v>3236</v>
      </c>
      <c r="B2227" s="6">
        <v>6.0</v>
      </c>
      <c r="C2227" s="7">
        <v>188.0</v>
      </c>
      <c r="D2227" s="6" t="s">
        <v>3198</v>
      </c>
      <c r="E2227" s="16">
        <v>5.0</v>
      </c>
      <c r="F2227" s="18" t="s">
        <v>2191</v>
      </c>
    </row>
    <row r="2228">
      <c r="A2228" s="5" t="s">
        <v>3252</v>
      </c>
      <c r="B2228" s="6">
        <v>6.0</v>
      </c>
      <c r="C2228" s="7">
        <v>195.0</v>
      </c>
      <c r="D2228" s="6" t="s">
        <v>3239</v>
      </c>
      <c r="E2228" s="16">
        <v>4.0</v>
      </c>
      <c r="F2228" s="18" t="s">
        <v>2192</v>
      </c>
      <c r="G2228" s="20"/>
    </row>
    <row r="2229">
      <c r="A2229" s="5" t="s">
        <v>3228</v>
      </c>
      <c r="B2229" s="6">
        <v>6.0</v>
      </c>
      <c r="C2229" s="7">
        <v>40.0</v>
      </c>
      <c r="D2229" s="6" t="s">
        <v>3221</v>
      </c>
      <c r="E2229" s="16">
        <v>4.0</v>
      </c>
      <c r="F2229" s="18" t="s">
        <v>2193</v>
      </c>
    </row>
    <row r="2230">
      <c r="A2230" s="5" t="s">
        <v>3218</v>
      </c>
      <c r="B2230" s="6">
        <v>5.0</v>
      </c>
      <c r="C2230" s="7">
        <v>118.0</v>
      </c>
      <c r="D2230" s="6" t="s">
        <v>3200</v>
      </c>
      <c r="E2230" s="16">
        <v>4.0</v>
      </c>
      <c r="F2230" s="18" t="s">
        <v>2194</v>
      </c>
    </row>
    <row r="2231">
      <c r="A2231" s="5" t="s">
        <v>3187</v>
      </c>
      <c r="B2231" s="6">
        <v>4.0</v>
      </c>
      <c r="C2231" s="7">
        <v>167.0</v>
      </c>
      <c r="D2231" s="6" t="s">
        <v>3254</v>
      </c>
      <c r="E2231" s="16">
        <v>4.0</v>
      </c>
      <c r="F2231" s="18" t="s">
        <v>2195</v>
      </c>
    </row>
    <row r="2232">
      <c r="A2232" s="5" t="s">
        <v>3234</v>
      </c>
      <c r="B2232" s="6">
        <v>6.0</v>
      </c>
      <c r="C2232" s="7">
        <v>121.0</v>
      </c>
      <c r="D2232" s="6" t="s">
        <v>3173</v>
      </c>
      <c r="E2232" s="16">
        <v>4.0</v>
      </c>
      <c r="F2232" s="18" t="s">
        <v>2196</v>
      </c>
    </row>
    <row r="2233">
      <c r="A2233" s="5" t="s">
        <v>3189</v>
      </c>
      <c r="B2233" s="6">
        <v>6.0</v>
      </c>
      <c r="C2233" s="7">
        <v>22.0</v>
      </c>
      <c r="D2233" s="6" t="s">
        <v>3167</v>
      </c>
      <c r="E2233" s="16">
        <v>4.0</v>
      </c>
      <c r="F2233" s="18" t="s">
        <v>2197</v>
      </c>
    </row>
    <row r="2234">
      <c r="A2234" s="5" t="s">
        <v>3218</v>
      </c>
      <c r="B2234" s="6">
        <v>5.0</v>
      </c>
      <c r="C2234" s="7">
        <v>101.0</v>
      </c>
      <c r="D2234" s="6" t="s">
        <v>3238</v>
      </c>
      <c r="E2234" s="16">
        <v>4.0</v>
      </c>
      <c r="F2234" s="18" t="s">
        <v>2198</v>
      </c>
    </row>
    <row r="2235">
      <c r="A2235" s="5" t="s">
        <v>3195</v>
      </c>
      <c r="B2235" s="6">
        <v>4.0</v>
      </c>
      <c r="C2235" s="7">
        <v>150.0</v>
      </c>
      <c r="D2235" s="6" t="s">
        <v>3167</v>
      </c>
      <c r="E2235" s="16">
        <v>3.0</v>
      </c>
      <c r="F2235" s="18" t="s">
        <v>2199</v>
      </c>
    </row>
    <row r="2236">
      <c r="A2236" s="5" t="s">
        <v>3218</v>
      </c>
      <c r="B2236" s="6">
        <v>5.0</v>
      </c>
      <c r="C2236" s="7">
        <v>142.0</v>
      </c>
      <c r="D2236" s="6" t="s">
        <v>3173</v>
      </c>
      <c r="E2236" s="16">
        <v>3.0</v>
      </c>
      <c r="F2236" s="18" t="s">
        <v>2200</v>
      </c>
    </row>
    <row r="2237">
      <c r="A2237" s="5" t="s">
        <v>3197</v>
      </c>
      <c r="B2237" s="6">
        <v>1.0</v>
      </c>
      <c r="C2237" s="7">
        <v>42.0</v>
      </c>
      <c r="D2237" s="6" t="s">
        <v>3182</v>
      </c>
      <c r="E2237" s="16">
        <v>3.0</v>
      </c>
      <c r="F2237" s="18" t="s">
        <v>2201</v>
      </c>
    </row>
    <row r="2238">
      <c r="A2238" s="5" t="s">
        <v>3246</v>
      </c>
      <c r="B2238" s="6">
        <v>4.0</v>
      </c>
      <c r="C2238" s="7">
        <v>195.0</v>
      </c>
      <c r="D2238" s="6" t="s">
        <v>3239</v>
      </c>
      <c r="E2238" s="16">
        <v>2.0</v>
      </c>
      <c r="F2238" s="18" t="s">
        <v>2202</v>
      </c>
    </row>
    <row r="2239">
      <c r="A2239" s="5" t="s">
        <v>3183</v>
      </c>
      <c r="B2239" s="6">
        <v>6.0</v>
      </c>
      <c r="C2239" s="7">
        <v>155.0</v>
      </c>
      <c r="D2239" s="6" t="s">
        <v>3180</v>
      </c>
      <c r="E2239" s="16">
        <v>2.0</v>
      </c>
      <c r="F2239" s="18" t="s">
        <v>2203</v>
      </c>
    </row>
    <row r="2240">
      <c r="A2240" s="5" t="s">
        <v>3199</v>
      </c>
      <c r="B2240" s="6">
        <v>3.0</v>
      </c>
      <c r="C2240" s="7">
        <v>114.0</v>
      </c>
      <c r="D2240" s="6" t="s">
        <v>3245</v>
      </c>
      <c r="E2240" s="16">
        <v>2.0</v>
      </c>
      <c r="F2240" s="18" t="s">
        <v>2204</v>
      </c>
    </row>
    <row r="2241">
      <c r="A2241" s="5" t="s">
        <v>3226</v>
      </c>
      <c r="B2241" s="6">
        <v>1.0</v>
      </c>
      <c r="C2241" s="7">
        <v>165.0</v>
      </c>
      <c r="D2241" s="6" t="s">
        <v>3196</v>
      </c>
      <c r="E2241" s="16">
        <v>2.0</v>
      </c>
      <c r="F2241" s="18" t="s">
        <v>2205</v>
      </c>
    </row>
    <row r="2242">
      <c r="A2242" s="5" t="s">
        <v>3166</v>
      </c>
      <c r="B2242" s="6">
        <v>6.0</v>
      </c>
      <c r="C2242" s="7">
        <v>79.0</v>
      </c>
      <c r="D2242" s="6" t="s">
        <v>3232</v>
      </c>
      <c r="E2242" s="16">
        <v>2.0</v>
      </c>
      <c r="F2242" s="18" t="s">
        <v>2206</v>
      </c>
    </row>
    <row r="2243">
      <c r="A2243" s="5" t="s">
        <v>3174</v>
      </c>
      <c r="B2243" s="6">
        <v>1.0</v>
      </c>
      <c r="C2243" s="7">
        <v>45.0</v>
      </c>
      <c r="D2243" s="6" t="s">
        <v>3241</v>
      </c>
      <c r="E2243" s="16">
        <v>2.0</v>
      </c>
      <c r="F2243" s="18" t="s">
        <v>2207</v>
      </c>
    </row>
    <row r="2244">
      <c r="A2244" s="5" t="s">
        <v>3217</v>
      </c>
      <c r="B2244" s="6">
        <v>5.0</v>
      </c>
      <c r="C2244" s="7">
        <v>105.0</v>
      </c>
      <c r="D2244" s="6" t="s">
        <v>3167</v>
      </c>
      <c r="E2244" s="16">
        <v>2.0</v>
      </c>
      <c r="F2244" s="18" t="s">
        <v>2208</v>
      </c>
    </row>
    <row r="2245">
      <c r="A2245" s="5" t="s">
        <v>3181</v>
      </c>
      <c r="B2245" s="6">
        <v>1.0</v>
      </c>
      <c r="C2245" s="7">
        <v>199.0</v>
      </c>
      <c r="D2245" s="6" t="s">
        <v>3169</v>
      </c>
      <c r="E2245" s="16">
        <v>2.0</v>
      </c>
      <c r="F2245" s="18" t="s">
        <v>2209</v>
      </c>
    </row>
    <row r="2246">
      <c r="A2246" s="5" t="s">
        <v>3259</v>
      </c>
      <c r="B2246" s="6">
        <v>6.0</v>
      </c>
      <c r="C2246" s="7">
        <v>50.0</v>
      </c>
      <c r="D2246" s="6" t="s">
        <v>3238</v>
      </c>
      <c r="E2246" s="16">
        <v>2.0</v>
      </c>
      <c r="F2246" s="18" t="s">
        <v>2210</v>
      </c>
    </row>
    <row r="2247">
      <c r="A2247" s="5" t="s">
        <v>3204</v>
      </c>
      <c r="B2247" s="6">
        <v>1.0</v>
      </c>
      <c r="C2247" s="7">
        <v>82.0</v>
      </c>
      <c r="D2247" s="6" t="s">
        <v>3190</v>
      </c>
      <c r="E2247" s="16">
        <v>1.0</v>
      </c>
      <c r="F2247" s="18" t="s">
        <v>2211</v>
      </c>
    </row>
    <row r="2248">
      <c r="A2248" s="5" t="s">
        <v>3236</v>
      </c>
      <c r="B2248" s="6">
        <v>6.0</v>
      </c>
      <c r="C2248" s="7">
        <v>87.0</v>
      </c>
      <c r="D2248" s="6" t="s">
        <v>3227</v>
      </c>
      <c r="E2248" s="16">
        <v>1.0</v>
      </c>
      <c r="F2248" s="18" t="s">
        <v>2212</v>
      </c>
    </row>
    <row r="2249">
      <c r="A2249" s="5" t="s">
        <v>3244</v>
      </c>
      <c r="B2249" s="6">
        <v>1.0</v>
      </c>
      <c r="C2249" s="7">
        <v>142.0</v>
      </c>
      <c r="D2249" s="6" t="s">
        <v>3173</v>
      </c>
      <c r="E2249" s="16">
        <v>1.0</v>
      </c>
      <c r="F2249" s="18" t="s">
        <v>2213</v>
      </c>
    </row>
    <row r="2250">
      <c r="A2250" s="5" t="s">
        <v>3210</v>
      </c>
      <c r="B2250" s="6">
        <v>1.0</v>
      </c>
      <c r="C2250" s="7">
        <v>41.0</v>
      </c>
      <c r="D2250" s="6" t="s">
        <v>3238</v>
      </c>
      <c r="E2250" s="16">
        <v>1.0</v>
      </c>
      <c r="F2250" s="18" t="s">
        <v>2214</v>
      </c>
    </row>
    <row r="2251">
      <c r="A2251" s="5" t="s">
        <v>3265</v>
      </c>
      <c r="B2251" s="6">
        <v>1.0</v>
      </c>
      <c r="C2251" s="7">
        <v>15.0</v>
      </c>
      <c r="D2251" s="6" t="s">
        <v>3254</v>
      </c>
      <c r="E2251" s="16">
        <v>1.0</v>
      </c>
      <c r="F2251" s="18" t="s">
        <v>2215</v>
      </c>
    </row>
    <row r="2252">
      <c r="A2252" s="5" t="s">
        <v>3248</v>
      </c>
      <c r="B2252" s="6">
        <v>3.0</v>
      </c>
      <c r="C2252" s="7">
        <v>155.0</v>
      </c>
      <c r="D2252" s="6" t="s">
        <v>3180</v>
      </c>
      <c r="E2252" s="16">
        <v>1.0</v>
      </c>
      <c r="F2252" s="18" t="s">
        <v>2216</v>
      </c>
    </row>
    <row r="2253">
      <c r="A2253" s="5" t="s">
        <v>3265</v>
      </c>
      <c r="B2253" s="6">
        <v>1.0</v>
      </c>
      <c r="C2253" s="7">
        <v>98.0</v>
      </c>
      <c r="D2253" s="6" t="s">
        <v>3211</v>
      </c>
      <c r="E2253" s="16">
        <v>1.0</v>
      </c>
      <c r="F2253" s="18" t="s">
        <v>2217</v>
      </c>
    </row>
    <row r="2254">
      <c r="A2254" s="5" t="s">
        <v>3269</v>
      </c>
      <c r="B2254" s="6">
        <v>6.0</v>
      </c>
      <c r="C2254" s="7">
        <v>134.0</v>
      </c>
      <c r="D2254" s="6" t="s">
        <v>3239</v>
      </c>
      <c r="E2254" s="16">
        <v>1.0</v>
      </c>
      <c r="F2254" s="18" t="s">
        <v>2218</v>
      </c>
    </row>
    <row r="2255">
      <c r="A2255" s="5" t="s">
        <v>3231</v>
      </c>
      <c r="B2255" s="6">
        <v>4.0</v>
      </c>
      <c r="C2255" s="7">
        <v>123.0</v>
      </c>
      <c r="D2255" s="6" t="s">
        <v>3192</v>
      </c>
      <c r="E2255" s="16">
        <v>1.0</v>
      </c>
      <c r="F2255" s="18" t="s">
        <v>2219</v>
      </c>
    </row>
    <row r="2256">
      <c r="A2256" s="5" t="s">
        <v>3266</v>
      </c>
      <c r="B2256" s="6">
        <v>3.0</v>
      </c>
      <c r="C2256" s="7">
        <v>198.0</v>
      </c>
      <c r="D2256" s="6" t="s">
        <v>3180</v>
      </c>
      <c r="E2256" s="16">
        <v>1.0</v>
      </c>
      <c r="F2256" s="18" t="s">
        <v>2220</v>
      </c>
    </row>
    <row r="2257">
      <c r="A2257" s="5" t="s">
        <v>3229</v>
      </c>
      <c r="B2257" s="6">
        <v>4.0</v>
      </c>
      <c r="C2257" s="7">
        <v>103.0</v>
      </c>
      <c r="D2257" s="6" t="s">
        <v>3254</v>
      </c>
      <c r="E2257" s="16">
        <v>1.0</v>
      </c>
      <c r="F2257" s="18" t="s">
        <v>2221</v>
      </c>
    </row>
    <row r="2258">
      <c r="A2258" s="5" t="s">
        <v>3189</v>
      </c>
      <c r="B2258" s="6">
        <v>6.0</v>
      </c>
      <c r="C2258" s="7">
        <v>152.0</v>
      </c>
      <c r="D2258" s="6" t="s">
        <v>3203</v>
      </c>
      <c r="E2258" s="16">
        <v>1.0</v>
      </c>
      <c r="F2258" s="18" t="s">
        <v>2222</v>
      </c>
    </row>
    <row r="2259">
      <c r="A2259" s="5" t="s">
        <v>3168</v>
      </c>
      <c r="B2259" s="6">
        <v>1.0</v>
      </c>
      <c r="C2259" s="7">
        <v>58.0</v>
      </c>
      <c r="D2259" s="6" t="s">
        <v>3257</v>
      </c>
      <c r="E2259" s="16">
        <v>5.0</v>
      </c>
      <c r="F2259" s="18" t="s">
        <v>2223</v>
      </c>
    </row>
    <row r="2260">
      <c r="A2260" s="5" t="s">
        <v>3197</v>
      </c>
      <c r="B2260" s="6">
        <v>1.0</v>
      </c>
      <c r="C2260" s="7">
        <v>26.0</v>
      </c>
      <c r="D2260" s="6" t="s">
        <v>3188</v>
      </c>
      <c r="E2260" s="16">
        <v>5.0</v>
      </c>
      <c r="F2260" s="18" t="s">
        <v>2224</v>
      </c>
    </row>
    <row r="2261">
      <c r="A2261" s="5" t="s">
        <v>3193</v>
      </c>
      <c r="B2261" s="6">
        <v>5.0</v>
      </c>
      <c r="C2261" s="7">
        <v>79.0</v>
      </c>
      <c r="D2261" s="6" t="s">
        <v>3232</v>
      </c>
      <c r="E2261" s="16">
        <v>5.0</v>
      </c>
      <c r="F2261" s="18" t="s">
        <v>2225</v>
      </c>
    </row>
    <row r="2262">
      <c r="A2262" s="5" t="s">
        <v>3270</v>
      </c>
      <c r="B2262" s="6">
        <v>3.0</v>
      </c>
      <c r="C2262" s="7">
        <v>73.0</v>
      </c>
      <c r="D2262" s="6" t="s">
        <v>3173</v>
      </c>
      <c r="E2262" s="16">
        <v>5.0</v>
      </c>
      <c r="F2262" s="18" t="s">
        <v>2226</v>
      </c>
    </row>
    <row r="2263">
      <c r="A2263" s="5" t="s">
        <v>3261</v>
      </c>
      <c r="B2263" s="6">
        <v>4.0</v>
      </c>
      <c r="C2263" s="7">
        <v>192.0</v>
      </c>
      <c r="D2263" s="6" t="s">
        <v>3186</v>
      </c>
      <c r="E2263" s="16">
        <v>5.0</v>
      </c>
      <c r="F2263" s="18" t="s">
        <v>2227</v>
      </c>
    </row>
    <row r="2264">
      <c r="A2264" s="5" t="s">
        <v>3187</v>
      </c>
      <c r="B2264" s="6">
        <v>4.0</v>
      </c>
      <c r="C2264" s="7">
        <v>113.0</v>
      </c>
      <c r="D2264" s="6" t="s">
        <v>3207</v>
      </c>
      <c r="E2264" s="16">
        <v>5.0</v>
      </c>
      <c r="F2264" s="18" t="s">
        <v>2228</v>
      </c>
    </row>
    <row r="2265">
      <c r="A2265" s="5" t="s">
        <v>3267</v>
      </c>
      <c r="B2265" s="6">
        <v>3.0</v>
      </c>
      <c r="C2265" s="7">
        <v>102.0</v>
      </c>
      <c r="D2265" s="6" t="s">
        <v>3178</v>
      </c>
      <c r="E2265" s="16">
        <v>5.0</v>
      </c>
      <c r="F2265" s="18" t="s">
        <v>2229</v>
      </c>
    </row>
    <row r="2266">
      <c r="A2266" s="5" t="s">
        <v>3223</v>
      </c>
      <c r="B2266" s="6">
        <v>3.0</v>
      </c>
      <c r="C2266" s="7">
        <v>179.0</v>
      </c>
      <c r="D2266" s="6" t="s">
        <v>3214</v>
      </c>
      <c r="E2266" s="16">
        <v>5.0</v>
      </c>
      <c r="F2266" s="18" t="s">
        <v>2230</v>
      </c>
    </row>
    <row r="2267">
      <c r="A2267" s="5" t="s">
        <v>3228</v>
      </c>
      <c r="B2267" s="6">
        <v>6.0</v>
      </c>
      <c r="C2267" s="7">
        <v>22.0</v>
      </c>
      <c r="D2267" s="6" t="s">
        <v>3167</v>
      </c>
      <c r="E2267" s="16">
        <v>5.0</v>
      </c>
      <c r="F2267" s="18" t="s">
        <v>2231</v>
      </c>
    </row>
    <row r="2268">
      <c r="A2268" s="5" t="s">
        <v>3258</v>
      </c>
      <c r="B2268" s="6">
        <v>6.0</v>
      </c>
      <c r="C2268" s="7">
        <v>64.0</v>
      </c>
      <c r="D2268" s="6" t="s">
        <v>3180</v>
      </c>
      <c r="E2268" s="16">
        <v>5.0</v>
      </c>
      <c r="F2268" s="18" t="s">
        <v>2232</v>
      </c>
    </row>
    <row r="2269">
      <c r="A2269" s="5" t="s">
        <v>3183</v>
      </c>
      <c r="B2269" s="6">
        <v>6.0</v>
      </c>
      <c r="C2269" s="7">
        <v>167.0</v>
      </c>
      <c r="D2269" s="6" t="s">
        <v>3254</v>
      </c>
      <c r="E2269" s="16">
        <v>5.0</v>
      </c>
      <c r="F2269" s="18" t="s">
        <v>2233</v>
      </c>
    </row>
    <row r="2270">
      <c r="A2270" s="5" t="s">
        <v>3202</v>
      </c>
      <c r="B2270" s="6">
        <v>4.0</v>
      </c>
      <c r="C2270" s="7">
        <v>101.0</v>
      </c>
      <c r="D2270" s="6" t="s">
        <v>3238</v>
      </c>
      <c r="E2270" s="16">
        <v>5.0</v>
      </c>
      <c r="F2270" s="18" t="s">
        <v>2234</v>
      </c>
    </row>
    <row r="2271">
      <c r="A2271" s="5" t="s">
        <v>3185</v>
      </c>
      <c r="B2271" s="6">
        <v>1.0</v>
      </c>
      <c r="C2271" s="7">
        <v>64.0</v>
      </c>
      <c r="D2271" s="6" t="s">
        <v>3180</v>
      </c>
      <c r="E2271" s="16">
        <v>5.0</v>
      </c>
      <c r="F2271" s="18" t="s">
        <v>2235</v>
      </c>
    </row>
    <row r="2272">
      <c r="A2272" s="5" t="s">
        <v>3183</v>
      </c>
      <c r="B2272" s="6">
        <v>6.0</v>
      </c>
      <c r="C2272" s="7">
        <v>16.0</v>
      </c>
      <c r="D2272" s="6" t="s">
        <v>3178</v>
      </c>
      <c r="E2272" s="16">
        <v>5.0</v>
      </c>
      <c r="F2272" s="18" t="s">
        <v>2236</v>
      </c>
    </row>
    <row r="2273">
      <c r="A2273" s="5" t="s">
        <v>3213</v>
      </c>
      <c r="B2273" s="6">
        <v>2.0</v>
      </c>
      <c r="C2273" s="7">
        <v>22.0</v>
      </c>
      <c r="D2273" s="6" t="s">
        <v>3167</v>
      </c>
      <c r="E2273" s="16">
        <v>5.0</v>
      </c>
      <c r="F2273" s="18" t="s">
        <v>2237</v>
      </c>
    </row>
    <row r="2274">
      <c r="A2274" s="5" t="s">
        <v>3253</v>
      </c>
      <c r="B2274" s="6">
        <v>1.0</v>
      </c>
      <c r="C2274" s="7">
        <v>34.0</v>
      </c>
      <c r="D2274" s="6" t="s">
        <v>3227</v>
      </c>
      <c r="E2274" s="16">
        <v>5.0</v>
      </c>
      <c r="F2274" s="18" t="s">
        <v>2238</v>
      </c>
    </row>
    <row r="2275">
      <c r="A2275" s="5" t="s">
        <v>3260</v>
      </c>
      <c r="B2275" s="6">
        <v>1.0</v>
      </c>
      <c r="C2275" s="7">
        <v>142.0</v>
      </c>
      <c r="D2275" s="6" t="s">
        <v>3173</v>
      </c>
      <c r="E2275" s="16">
        <v>5.0</v>
      </c>
      <c r="F2275" s="18" t="s">
        <v>2239</v>
      </c>
    </row>
    <row r="2276">
      <c r="A2276" s="5" t="s">
        <v>3246</v>
      </c>
      <c r="B2276" s="6">
        <v>4.0</v>
      </c>
      <c r="C2276" s="7">
        <v>32.0</v>
      </c>
      <c r="D2276" s="6" t="s">
        <v>3173</v>
      </c>
      <c r="E2276" s="16">
        <v>5.0</v>
      </c>
      <c r="F2276" s="18" t="s">
        <v>2240</v>
      </c>
    </row>
    <row r="2277">
      <c r="A2277" s="5" t="s">
        <v>3242</v>
      </c>
      <c r="B2277" s="6">
        <v>1.0</v>
      </c>
      <c r="C2277" s="7">
        <v>46.0</v>
      </c>
      <c r="D2277" s="6" t="s">
        <v>3194</v>
      </c>
      <c r="E2277" s="16">
        <v>4.0</v>
      </c>
      <c r="F2277" s="18" t="s">
        <v>2241</v>
      </c>
    </row>
    <row r="2278">
      <c r="A2278" s="5" t="s">
        <v>3206</v>
      </c>
      <c r="B2278" s="6">
        <v>6.0</v>
      </c>
      <c r="C2278" s="7">
        <v>127.0</v>
      </c>
      <c r="D2278" s="6" t="s">
        <v>3262</v>
      </c>
      <c r="E2278" s="16">
        <v>4.0</v>
      </c>
      <c r="F2278" s="18" t="s">
        <v>2242</v>
      </c>
    </row>
    <row r="2279">
      <c r="A2279" s="5" t="s">
        <v>3208</v>
      </c>
      <c r="B2279" s="6">
        <v>4.0</v>
      </c>
      <c r="C2279" s="7">
        <v>13.0</v>
      </c>
      <c r="D2279" s="6" t="s">
        <v>3245</v>
      </c>
      <c r="E2279" s="16">
        <v>4.0</v>
      </c>
      <c r="F2279" s="18" t="s">
        <v>2014</v>
      </c>
    </row>
    <row r="2280">
      <c r="A2280" s="5" t="s">
        <v>3223</v>
      </c>
      <c r="B2280" s="6">
        <v>3.0</v>
      </c>
      <c r="C2280" s="7">
        <v>147.0</v>
      </c>
      <c r="D2280" s="6" t="s">
        <v>3196</v>
      </c>
      <c r="E2280" s="16">
        <v>3.0</v>
      </c>
      <c r="F2280" s="18" t="s">
        <v>2243</v>
      </c>
    </row>
    <row r="2281">
      <c r="A2281" s="5" t="s">
        <v>3189</v>
      </c>
      <c r="B2281" s="6">
        <v>6.0</v>
      </c>
      <c r="C2281" s="7">
        <v>135.0</v>
      </c>
      <c r="D2281" s="6" t="s">
        <v>3207</v>
      </c>
      <c r="E2281" s="16">
        <v>3.0</v>
      </c>
      <c r="F2281" s="18" t="s">
        <v>2244</v>
      </c>
    </row>
    <row r="2282">
      <c r="A2282" s="5" t="s">
        <v>3252</v>
      </c>
      <c r="B2282" s="6">
        <v>6.0</v>
      </c>
      <c r="C2282" s="7">
        <v>92.0</v>
      </c>
      <c r="D2282" s="6" t="s">
        <v>3215</v>
      </c>
      <c r="E2282" s="16">
        <v>2.0</v>
      </c>
      <c r="F2282" s="18" t="s">
        <v>2245</v>
      </c>
    </row>
    <row r="2283">
      <c r="A2283" s="5" t="s">
        <v>3205</v>
      </c>
      <c r="B2283" s="6">
        <v>1.0</v>
      </c>
      <c r="C2283" s="7">
        <v>21.0</v>
      </c>
      <c r="D2283" s="6" t="s">
        <v>3200</v>
      </c>
      <c r="E2283" s="16">
        <v>2.0</v>
      </c>
      <c r="F2283" s="18" t="s">
        <v>2246</v>
      </c>
    </row>
    <row r="2284">
      <c r="A2284" s="5" t="s">
        <v>3263</v>
      </c>
      <c r="B2284" s="6">
        <v>1.0</v>
      </c>
      <c r="C2284" s="7">
        <v>125.0</v>
      </c>
      <c r="D2284" s="6" t="s">
        <v>3180</v>
      </c>
      <c r="E2284" s="16">
        <v>2.0</v>
      </c>
      <c r="F2284" s="18" t="s">
        <v>2247</v>
      </c>
    </row>
    <row r="2285">
      <c r="A2285" s="5" t="s">
        <v>3256</v>
      </c>
      <c r="B2285" s="6">
        <v>6.0</v>
      </c>
      <c r="C2285" s="7">
        <v>192.0</v>
      </c>
      <c r="D2285" s="6" t="s">
        <v>3186</v>
      </c>
      <c r="E2285" s="16">
        <v>2.0</v>
      </c>
      <c r="F2285" s="18" t="s">
        <v>2248</v>
      </c>
    </row>
    <row r="2286">
      <c r="A2286" s="5" t="s">
        <v>3259</v>
      </c>
      <c r="B2286" s="6">
        <v>6.0</v>
      </c>
      <c r="C2286" s="7">
        <v>122.0</v>
      </c>
      <c r="D2286" s="6" t="s">
        <v>3232</v>
      </c>
      <c r="E2286" s="16">
        <v>2.0</v>
      </c>
      <c r="F2286" s="18" t="s">
        <v>2249</v>
      </c>
    </row>
    <row r="2287">
      <c r="A2287" s="5" t="s">
        <v>3270</v>
      </c>
      <c r="B2287" s="6">
        <v>3.0</v>
      </c>
      <c r="C2287" s="7">
        <v>97.0</v>
      </c>
      <c r="D2287" s="6" t="s">
        <v>3194</v>
      </c>
      <c r="E2287" s="16">
        <v>2.0</v>
      </c>
      <c r="F2287" s="18" t="s">
        <v>2250</v>
      </c>
    </row>
    <row r="2288">
      <c r="A2288" s="5" t="s">
        <v>3261</v>
      </c>
      <c r="B2288" s="6">
        <v>4.0</v>
      </c>
      <c r="C2288" s="7">
        <v>49.0</v>
      </c>
      <c r="D2288" s="6" t="s">
        <v>3254</v>
      </c>
      <c r="E2288" s="16">
        <v>2.0</v>
      </c>
      <c r="F2288" s="18" t="s">
        <v>2251</v>
      </c>
    </row>
    <row r="2289">
      <c r="A2289" s="5" t="s">
        <v>3205</v>
      </c>
      <c r="B2289" s="6">
        <v>1.0</v>
      </c>
      <c r="C2289" s="7">
        <v>26.0</v>
      </c>
      <c r="D2289" s="6" t="s">
        <v>3188</v>
      </c>
      <c r="E2289" s="16">
        <v>2.0</v>
      </c>
      <c r="F2289" s="18" t="s">
        <v>2252</v>
      </c>
    </row>
    <row r="2290">
      <c r="A2290" s="5" t="s">
        <v>3265</v>
      </c>
      <c r="B2290" s="6">
        <v>1.0</v>
      </c>
      <c r="C2290" s="7">
        <v>163.0</v>
      </c>
      <c r="D2290" s="6" t="s">
        <v>3173</v>
      </c>
      <c r="E2290" s="16">
        <v>2.0</v>
      </c>
      <c r="F2290" s="18" t="s">
        <v>2253</v>
      </c>
    </row>
    <row r="2291">
      <c r="A2291" s="5" t="s">
        <v>3187</v>
      </c>
      <c r="B2291" s="6">
        <v>4.0</v>
      </c>
      <c r="C2291" s="7">
        <v>156.0</v>
      </c>
      <c r="D2291" s="6" t="s">
        <v>3245</v>
      </c>
      <c r="E2291" s="16">
        <v>2.0</v>
      </c>
      <c r="F2291" s="18" t="s">
        <v>2254</v>
      </c>
    </row>
    <row r="2292">
      <c r="A2292" s="5" t="s">
        <v>3202</v>
      </c>
      <c r="B2292" s="6">
        <v>4.0</v>
      </c>
      <c r="C2292" s="7">
        <v>13.0</v>
      </c>
      <c r="D2292" s="6" t="s">
        <v>3245</v>
      </c>
      <c r="E2292" s="16">
        <v>2.0</v>
      </c>
      <c r="F2292" s="18" t="s">
        <v>2255</v>
      </c>
    </row>
    <row r="2293">
      <c r="A2293" s="5" t="s">
        <v>3253</v>
      </c>
      <c r="B2293" s="6">
        <v>1.0</v>
      </c>
      <c r="C2293" s="7">
        <v>77.0</v>
      </c>
      <c r="D2293" s="6" t="s">
        <v>3254</v>
      </c>
      <c r="E2293" s="16">
        <v>2.0</v>
      </c>
      <c r="F2293" s="18" t="s">
        <v>2256</v>
      </c>
    </row>
    <row r="2294">
      <c r="A2294" s="5" t="s">
        <v>3264</v>
      </c>
      <c r="B2294" s="6">
        <v>4.0</v>
      </c>
      <c r="C2294" s="7">
        <v>121.0</v>
      </c>
      <c r="D2294" s="6" t="s">
        <v>3173</v>
      </c>
      <c r="E2294" s="16">
        <v>2.0</v>
      </c>
      <c r="F2294" s="18" t="s">
        <v>2257</v>
      </c>
    </row>
    <row r="2295">
      <c r="A2295" s="5" t="s">
        <v>3193</v>
      </c>
      <c r="B2295" s="6">
        <v>5.0</v>
      </c>
      <c r="C2295" s="7">
        <v>34.0</v>
      </c>
      <c r="D2295" s="6" t="s">
        <v>3227</v>
      </c>
      <c r="E2295" s="16">
        <v>1.0</v>
      </c>
      <c r="F2295" s="18" t="s">
        <v>2258</v>
      </c>
    </row>
    <row r="2296">
      <c r="A2296" s="5" t="s">
        <v>3202</v>
      </c>
      <c r="B2296" s="6">
        <v>4.0</v>
      </c>
      <c r="C2296" s="7">
        <v>161.0</v>
      </c>
      <c r="D2296" s="6" t="s">
        <v>3192</v>
      </c>
      <c r="E2296" s="16">
        <v>1.0</v>
      </c>
      <c r="F2296" s="18" t="s">
        <v>2259</v>
      </c>
    </row>
    <row r="2297">
      <c r="A2297" s="5" t="s">
        <v>3230</v>
      </c>
      <c r="B2297" s="6">
        <v>1.0</v>
      </c>
      <c r="C2297" s="7">
        <v>39.0</v>
      </c>
      <c r="D2297" s="6" t="s">
        <v>3254</v>
      </c>
      <c r="E2297" s="16">
        <v>1.0</v>
      </c>
      <c r="F2297" s="18" t="s">
        <v>2260</v>
      </c>
    </row>
    <row r="2298">
      <c r="A2298" s="5" t="s">
        <v>3266</v>
      </c>
      <c r="B2298" s="6">
        <v>3.0</v>
      </c>
      <c r="C2298" s="7">
        <v>80.0</v>
      </c>
      <c r="D2298" s="6" t="s">
        <v>3180</v>
      </c>
      <c r="E2298" s="16">
        <v>1.0</v>
      </c>
      <c r="F2298" s="18" t="s">
        <v>2261</v>
      </c>
    </row>
    <row r="2299">
      <c r="A2299" s="5" t="s">
        <v>3223</v>
      </c>
      <c r="B2299" s="6">
        <v>3.0</v>
      </c>
      <c r="C2299" s="7">
        <v>5.0</v>
      </c>
      <c r="D2299" s="6" t="s">
        <v>3207</v>
      </c>
      <c r="E2299" s="16">
        <v>1.0</v>
      </c>
      <c r="F2299" s="18" t="s">
        <v>2262</v>
      </c>
    </row>
    <row r="2300">
      <c r="A2300" s="5" t="s">
        <v>3208</v>
      </c>
      <c r="B2300" s="6">
        <v>4.0</v>
      </c>
      <c r="C2300" s="7">
        <v>148.0</v>
      </c>
      <c r="D2300" s="6" t="s">
        <v>3262</v>
      </c>
      <c r="E2300" s="16">
        <v>1.0</v>
      </c>
      <c r="F2300" s="18" t="s">
        <v>2263</v>
      </c>
    </row>
    <row r="2301">
      <c r="A2301" s="5" t="s">
        <v>3209</v>
      </c>
      <c r="B2301" s="6">
        <v>4.0</v>
      </c>
      <c r="C2301" s="7">
        <v>55.0</v>
      </c>
      <c r="D2301" s="6" t="s">
        <v>3198</v>
      </c>
      <c r="E2301" s="16">
        <v>1.0</v>
      </c>
      <c r="F2301" s="18" t="s">
        <v>2264</v>
      </c>
    </row>
    <row r="2302">
      <c r="A2302" s="5" t="s">
        <v>3244</v>
      </c>
      <c r="B2302" s="6">
        <v>1.0</v>
      </c>
      <c r="C2302" s="7">
        <v>38.0</v>
      </c>
      <c r="D2302" s="6" t="s">
        <v>3169</v>
      </c>
      <c r="E2302" s="16">
        <v>1.0</v>
      </c>
      <c r="F2302" s="18" t="s">
        <v>2265</v>
      </c>
    </row>
    <row r="2303">
      <c r="A2303" s="5" t="s">
        <v>3166</v>
      </c>
      <c r="B2303" s="6">
        <v>6.0</v>
      </c>
      <c r="C2303" s="7">
        <v>59.0</v>
      </c>
      <c r="D2303" s="6" t="s">
        <v>3227</v>
      </c>
      <c r="E2303" s="16">
        <v>1.0</v>
      </c>
      <c r="F2303" s="18" t="s">
        <v>2266</v>
      </c>
    </row>
    <row r="2304">
      <c r="A2304" s="5" t="s">
        <v>3210</v>
      </c>
      <c r="B2304" s="6">
        <v>1.0</v>
      </c>
      <c r="C2304" s="7">
        <v>26.0</v>
      </c>
      <c r="D2304" s="6" t="s">
        <v>3188</v>
      </c>
      <c r="E2304" s="16">
        <v>1.0</v>
      </c>
      <c r="F2304" s="18" t="s">
        <v>2267</v>
      </c>
    </row>
    <row r="2305">
      <c r="A2305" s="5" t="s">
        <v>3216</v>
      </c>
      <c r="B2305" s="6">
        <v>6.0</v>
      </c>
      <c r="C2305" s="7">
        <v>51.0</v>
      </c>
      <c r="D2305" s="6" t="s">
        <v>3169</v>
      </c>
      <c r="E2305" s="16">
        <v>1.0</v>
      </c>
      <c r="F2305" s="18" t="s">
        <v>2268</v>
      </c>
    </row>
    <row r="2306">
      <c r="A2306" s="5" t="s">
        <v>3252</v>
      </c>
      <c r="B2306" s="6">
        <v>6.0</v>
      </c>
      <c r="C2306" s="7">
        <v>86.0</v>
      </c>
      <c r="D2306" s="6" t="s">
        <v>3245</v>
      </c>
      <c r="E2306" s="16">
        <v>1.0</v>
      </c>
      <c r="F2306" s="18" t="s">
        <v>2269</v>
      </c>
    </row>
    <row r="2307">
      <c r="A2307" s="5" t="s">
        <v>3243</v>
      </c>
      <c r="B2307" s="6">
        <v>4.0</v>
      </c>
      <c r="C2307" s="7">
        <v>5.0</v>
      </c>
      <c r="D2307" s="6" t="s">
        <v>3207</v>
      </c>
      <c r="E2307" s="16">
        <v>5.0</v>
      </c>
      <c r="F2307" s="18" t="s">
        <v>2270</v>
      </c>
    </row>
    <row r="2308">
      <c r="A2308" s="5" t="s">
        <v>3218</v>
      </c>
      <c r="B2308" s="6">
        <v>5.0</v>
      </c>
      <c r="C2308" s="7">
        <v>64.0</v>
      </c>
      <c r="D2308" s="6" t="s">
        <v>3180</v>
      </c>
      <c r="E2308" s="16">
        <v>5.0</v>
      </c>
      <c r="F2308" s="18" t="s">
        <v>2271</v>
      </c>
    </row>
    <row r="2309">
      <c r="A2309" s="5" t="s">
        <v>3223</v>
      </c>
      <c r="B2309" s="6">
        <v>3.0</v>
      </c>
      <c r="C2309" s="7">
        <v>151.0</v>
      </c>
      <c r="D2309" s="6" t="s">
        <v>3232</v>
      </c>
      <c r="E2309" s="16">
        <v>5.0</v>
      </c>
      <c r="F2309" s="18" t="s">
        <v>2272</v>
      </c>
    </row>
    <row r="2310">
      <c r="A2310" s="5" t="s">
        <v>3181</v>
      </c>
      <c r="B2310" s="6">
        <v>1.0</v>
      </c>
      <c r="C2310" s="7">
        <v>89.0</v>
      </c>
      <c r="D2310" s="6" t="s">
        <v>3262</v>
      </c>
      <c r="E2310" s="16">
        <v>5.0</v>
      </c>
      <c r="F2310" s="18" t="s">
        <v>2273</v>
      </c>
    </row>
    <row r="2311">
      <c r="A2311" s="5" t="s">
        <v>3251</v>
      </c>
      <c r="B2311" s="6">
        <v>6.0</v>
      </c>
      <c r="C2311" s="7">
        <v>28.0</v>
      </c>
      <c r="D2311" s="6" t="s">
        <v>3188</v>
      </c>
      <c r="E2311" s="16">
        <v>5.0</v>
      </c>
      <c r="F2311" s="18" t="s">
        <v>2274</v>
      </c>
    </row>
    <row r="2312">
      <c r="A2312" s="5" t="s">
        <v>3268</v>
      </c>
      <c r="B2312" s="6">
        <v>1.0</v>
      </c>
      <c r="C2312" s="7">
        <v>70.0</v>
      </c>
      <c r="D2312" s="6" t="s">
        <v>3222</v>
      </c>
      <c r="E2312" s="16">
        <v>5.0</v>
      </c>
      <c r="F2312" s="18" t="s">
        <v>2275</v>
      </c>
    </row>
    <row r="2313">
      <c r="A2313" s="5" t="s">
        <v>3263</v>
      </c>
      <c r="B2313" s="6">
        <v>1.0</v>
      </c>
      <c r="C2313" s="7">
        <v>56.0</v>
      </c>
      <c r="D2313" s="6" t="s">
        <v>3186</v>
      </c>
      <c r="E2313" s="16">
        <v>5.0</v>
      </c>
      <c r="F2313" s="18" t="s">
        <v>2276</v>
      </c>
    </row>
    <row r="2314">
      <c r="A2314" s="5" t="s">
        <v>3259</v>
      </c>
      <c r="B2314" s="6">
        <v>6.0</v>
      </c>
      <c r="C2314" s="7">
        <v>65.0</v>
      </c>
      <c r="D2314" s="6" t="s">
        <v>3221</v>
      </c>
      <c r="E2314" s="16">
        <v>5.0</v>
      </c>
      <c r="F2314" s="18" t="s">
        <v>2277</v>
      </c>
    </row>
    <row r="2315">
      <c r="A2315" s="5" t="s">
        <v>3183</v>
      </c>
      <c r="B2315" s="6">
        <v>6.0</v>
      </c>
      <c r="C2315" s="7">
        <v>31.0</v>
      </c>
      <c r="D2315" s="6" t="s">
        <v>3227</v>
      </c>
      <c r="E2315" s="16">
        <v>5.0</v>
      </c>
      <c r="F2315" s="18" t="s">
        <v>2278</v>
      </c>
    </row>
    <row r="2316">
      <c r="A2316" s="5" t="s">
        <v>3233</v>
      </c>
      <c r="B2316" s="6">
        <v>6.0</v>
      </c>
      <c r="C2316" s="7">
        <v>14.0</v>
      </c>
      <c r="D2316" s="6" t="s">
        <v>3196</v>
      </c>
      <c r="E2316" s="16">
        <v>5.0</v>
      </c>
      <c r="F2316" s="18" t="s">
        <v>2279</v>
      </c>
    </row>
    <row r="2317">
      <c r="A2317" s="5" t="s">
        <v>3237</v>
      </c>
      <c r="B2317" s="6">
        <v>2.0</v>
      </c>
      <c r="C2317" s="7">
        <v>50.0</v>
      </c>
      <c r="D2317" s="6" t="s">
        <v>3238</v>
      </c>
      <c r="E2317" s="16">
        <v>5.0</v>
      </c>
      <c r="F2317" s="18" t="s">
        <v>2280</v>
      </c>
    </row>
    <row r="2318">
      <c r="A2318" s="5" t="s">
        <v>3258</v>
      </c>
      <c r="B2318" s="6">
        <v>6.0</v>
      </c>
      <c r="C2318" s="7">
        <v>105.0</v>
      </c>
      <c r="D2318" s="6" t="s">
        <v>3167</v>
      </c>
      <c r="E2318" s="16">
        <v>5.0</v>
      </c>
      <c r="F2318" s="18" t="s">
        <v>2281</v>
      </c>
    </row>
    <row r="2319">
      <c r="A2319" s="5" t="s">
        <v>3263</v>
      </c>
      <c r="B2319" s="6">
        <v>1.0</v>
      </c>
      <c r="C2319" s="7">
        <v>58.0</v>
      </c>
      <c r="D2319" s="6" t="s">
        <v>3257</v>
      </c>
      <c r="E2319" s="16">
        <v>5.0</v>
      </c>
      <c r="F2319" s="18" t="s">
        <v>2282</v>
      </c>
    </row>
    <row r="2320">
      <c r="A2320" s="5" t="s">
        <v>3172</v>
      </c>
      <c r="B2320" s="6">
        <v>1.0</v>
      </c>
      <c r="C2320" s="7">
        <v>97.0</v>
      </c>
      <c r="D2320" s="6" t="s">
        <v>3194</v>
      </c>
      <c r="E2320" s="16">
        <v>5.0</v>
      </c>
      <c r="F2320" s="18" t="s">
        <v>2283</v>
      </c>
    </row>
    <row r="2321">
      <c r="A2321" s="5" t="s">
        <v>3197</v>
      </c>
      <c r="B2321" s="6">
        <v>1.0</v>
      </c>
      <c r="C2321" s="7">
        <v>40.0</v>
      </c>
      <c r="D2321" s="6" t="s">
        <v>3221</v>
      </c>
      <c r="E2321" s="16">
        <v>5.0</v>
      </c>
      <c r="F2321" s="18" t="s">
        <v>941</v>
      </c>
    </row>
    <row r="2322">
      <c r="A2322" s="5" t="s">
        <v>3223</v>
      </c>
      <c r="B2322" s="6">
        <v>3.0</v>
      </c>
      <c r="C2322" s="7">
        <v>118.0</v>
      </c>
      <c r="D2322" s="6" t="s">
        <v>3200</v>
      </c>
      <c r="E2322" s="16">
        <v>5.0</v>
      </c>
      <c r="F2322" s="18" t="s">
        <v>1952</v>
      </c>
    </row>
    <row r="2323">
      <c r="A2323" s="5" t="s">
        <v>3172</v>
      </c>
      <c r="B2323" s="6">
        <v>1.0</v>
      </c>
      <c r="C2323" s="7">
        <v>10.0</v>
      </c>
      <c r="D2323" s="6" t="s">
        <v>3249</v>
      </c>
      <c r="E2323" s="16">
        <v>5.0</v>
      </c>
      <c r="F2323" s="18" t="s">
        <v>2284</v>
      </c>
    </row>
    <row r="2324">
      <c r="A2324" s="5" t="s">
        <v>3168</v>
      </c>
      <c r="B2324" s="6">
        <v>1.0</v>
      </c>
      <c r="C2324" s="7">
        <v>157.0</v>
      </c>
      <c r="D2324" s="6" t="s">
        <v>3219</v>
      </c>
      <c r="E2324" s="16">
        <v>5.0</v>
      </c>
      <c r="F2324" s="18" t="s">
        <v>2285</v>
      </c>
    </row>
    <row r="2325">
      <c r="A2325" s="5" t="s">
        <v>3252</v>
      </c>
      <c r="B2325" s="6">
        <v>6.0</v>
      </c>
      <c r="C2325" s="7">
        <v>24.0</v>
      </c>
      <c r="D2325" s="6" t="s">
        <v>3194</v>
      </c>
      <c r="E2325" s="16">
        <v>5.0</v>
      </c>
      <c r="F2325" s="18" t="s">
        <v>2286</v>
      </c>
    </row>
    <row r="2326">
      <c r="A2326" s="5" t="s">
        <v>3268</v>
      </c>
      <c r="B2326" s="6">
        <v>1.0</v>
      </c>
      <c r="C2326" s="7">
        <v>57.0</v>
      </c>
      <c r="D2326" s="6" t="s">
        <v>3239</v>
      </c>
      <c r="E2326" s="16">
        <v>5.0</v>
      </c>
      <c r="F2326" s="18" t="s">
        <v>2287</v>
      </c>
    </row>
    <row r="2327">
      <c r="A2327" s="5" t="s">
        <v>3264</v>
      </c>
      <c r="B2327" s="6">
        <v>4.0</v>
      </c>
      <c r="C2327" s="7">
        <v>57.0</v>
      </c>
      <c r="D2327" s="6" t="s">
        <v>3239</v>
      </c>
      <c r="E2327" s="16">
        <v>5.0</v>
      </c>
      <c r="F2327" s="18" t="s">
        <v>2288</v>
      </c>
    </row>
    <row r="2328">
      <c r="A2328" s="5" t="s">
        <v>3220</v>
      </c>
      <c r="B2328" s="6">
        <v>6.0</v>
      </c>
      <c r="C2328" s="7">
        <v>180.0</v>
      </c>
      <c r="D2328" s="6" t="s">
        <v>3192</v>
      </c>
      <c r="E2328" s="16">
        <v>4.0</v>
      </c>
      <c r="F2328" s="18" t="s">
        <v>2289</v>
      </c>
    </row>
    <row r="2329">
      <c r="A2329" s="5" t="s">
        <v>3168</v>
      </c>
      <c r="B2329" s="6">
        <v>1.0</v>
      </c>
      <c r="C2329" s="7">
        <v>157.0</v>
      </c>
      <c r="D2329" s="6" t="s">
        <v>3219</v>
      </c>
      <c r="E2329" s="16">
        <v>4.0</v>
      </c>
      <c r="F2329" s="18" t="s">
        <v>2290</v>
      </c>
    </row>
    <row r="2330">
      <c r="A2330" s="5" t="s">
        <v>3185</v>
      </c>
      <c r="B2330" s="6">
        <v>1.0</v>
      </c>
      <c r="C2330" s="7">
        <v>25.0</v>
      </c>
      <c r="D2330" s="6" t="s">
        <v>3173</v>
      </c>
      <c r="E2330" s="16">
        <v>4.0</v>
      </c>
      <c r="F2330" s="18" t="s">
        <v>2291</v>
      </c>
    </row>
    <row r="2331">
      <c r="A2331" s="5" t="s">
        <v>3217</v>
      </c>
      <c r="B2331" s="6">
        <v>5.0</v>
      </c>
      <c r="C2331" s="7">
        <v>67.0</v>
      </c>
      <c r="D2331" s="6" t="s">
        <v>3186</v>
      </c>
      <c r="E2331" s="16">
        <v>4.0</v>
      </c>
      <c r="F2331" s="18" t="s">
        <v>2292</v>
      </c>
    </row>
    <row r="2332">
      <c r="A2332" s="5" t="s">
        <v>3247</v>
      </c>
      <c r="B2332" s="6">
        <v>6.0</v>
      </c>
      <c r="C2332" s="7">
        <v>144.0</v>
      </c>
      <c r="D2332" s="6" t="s">
        <v>3173</v>
      </c>
      <c r="E2332" s="16">
        <v>4.0</v>
      </c>
      <c r="F2332" s="18" t="s">
        <v>2293</v>
      </c>
    </row>
    <row r="2333">
      <c r="A2333" s="5" t="s">
        <v>3212</v>
      </c>
      <c r="B2333" s="6">
        <v>6.0</v>
      </c>
      <c r="C2333" s="7">
        <v>182.0</v>
      </c>
      <c r="D2333" s="6" t="s">
        <v>3238</v>
      </c>
      <c r="E2333" s="16">
        <v>4.0</v>
      </c>
      <c r="F2333" s="18" t="s">
        <v>2294</v>
      </c>
    </row>
    <row r="2334">
      <c r="A2334" s="5" t="s">
        <v>3250</v>
      </c>
      <c r="B2334" s="6">
        <v>4.0</v>
      </c>
      <c r="C2334" s="7">
        <v>151.0</v>
      </c>
      <c r="D2334" s="6" t="s">
        <v>3232</v>
      </c>
      <c r="E2334" s="16">
        <v>4.0</v>
      </c>
      <c r="F2334" s="18" t="s">
        <v>2295</v>
      </c>
    </row>
    <row r="2335">
      <c r="A2335" s="5" t="s">
        <v>3210</v>
      </c>
      <c r="B2335" s="6">
        <v>1.0</v>
      </c>
      <c r="C2335" s="7">
        <v>156.0</v>
      </c>
      <c r="D2335" s="6" t="s">
        <v>3245</v>
      </c>
      <c r="E2335" s="16">
        <v>4.0</v>
      </c>
      <c r="F2335" s="18" t="s">
        <v>2296</v>
      </c>
    </row>
    <row r="2336">
      <c r="A2336" s="5" t="s">
        <v>3226</v>
      </c>
      <c r="B2336" s="6">
        <v>1.0</v>
      </c>
      <c r="C2336" s="7">
        <v>178.0</v>
      </c>
      <c r="D2336" s="6" t="s">
        <v>3190</v>
      </c>
      <c r="E2336" s="16">
        <v>4.0</v>
      </c>
      <c r="F2336" s="18" t="s">
        <v>2297</v>
      </c>
    </row>
    <row r="2337">
      <c r="A2337" s="5" t="s">
        <v>3216</v>
      </c>
      <c r="B2337" s="6">
        <v>6.0</v>
      </c>
      <c r="C2337" s="7">
        <v>164.0</v>
      </c>
      <c r="D2337" s="6" t="s">
        <v>3232</v>
      </c>
      <c r="E2337" s="16">
        <v>4.0</v>
      </c>
      <c r="F2337" s="18" t="s">
        <v>2298</v>
      </c>
    </row>
    <row r="2338">
      <c r="A2338" s="5" t="s">
        <v>3260</v>
      </c>
      <c r="B2338" s="6">
        <v>1.0</v>
      </c>
      <c r="C2338" s="7">
        <v>183.0</v>
      </c>
      <c r="D2338" s="6" t="s">
        <v>3182</v>
      </c>
      <c r="E2338" s="16">
        <v>3.0</v>
      </c>
      <c r="F2338" s="18" t="s">
        <v>2299</v>
      </c>
    </row>
    <row r="2339">
      <c r="A2339" s="5" t="s">
        <v>3252</v>
      </c>
      <c r="B2339" s="6">
        <v>6.0</v>
      </c>
      <c r="C2339" s="7">
        <v>45.0</v>
      </c>
      <c r="D2339" s="6" t="s">
        <v>3241</v>
      </c>
      <c r="E2339" s="16">
        <v>3.0</v>
      </c>
      <c r="F2339" s="18" t="s">
        <v>2300</v>
      </c>
    </row>
    <row r="2340">
      <c r="A2340" s="5" t="s">
        <v>3255</v>
      </c>
      <c r="B2340" s="6">
        <v>6.0</v>
      </c>
      <c r="C2340" s="7">
        <v>25.0</v>
      </c>
      <c r="D2340" s="6" t="s">
        <v>3173</v>
      </c>
      <c r="E2340" s="16">
        <v>3.0</v>
      </c>
      <c r="F2340" s="18" t="s">
        <v>2301</v>
      </c>
    </row>
    <row r="2341">
      <c r="A2341" s="5" t="s">
        <v>3250</v>
      </c>
      <c r="B2341" s="6">
        <v>4.0</v>
      </c>
      <c r="C2341" s="7">
        <v>83.0</v>
      </c>
      <c r="D2341" s="6" t="s">
        <v>3203</v>
      </c>
      <c r="E2341" s="16">
        <v>3.0</v>
      </c>
      <c r="F2341" s="18" t="s">
        <v>2302</v>
      </c>
    </row>
    <row r="2342">
      <c r="A2342" s="5" t="s">
        <v>3226</v>
      </c>
      <c r="B2342" s="6">
        <v>1.0</v>
      </c>
      <c r="C2342" s="7">
        <v>126.0</v>
      </c>
      <c r="D2342" s="6" t="s">
        <v>3211</v>
      </c>
      <c r="E2342" s="16">
        <v>3.0</v>
      </c>
      <c r="F2342" s="18" t="s">
        <v>2303</v>
      </c>
    </row>
    <row r="2343">
      <c r="A2343" s="5" t="s">
        <v>3189</v>
      </c>
      <c r="B2343" s="6">
        <v>6.0</v>
      </c>
      <c r="C2343" s="7">
        <v>67.0</v>
      </c>
      <c r="D2343" s="6" t="s">
        <v>3186</v>
      </c>
      <c r="E2343" s="16">
        <v>2.0</v>
      </c>
      <c r="F2343" s="18" t="s">
        <v>2304</v>
      </c>
    </row>
    <row r="2344">
      <c r="A2344" s="5" t="s">
        <v>3199</v>
      </c>
      <c r="B2344" s="6">
        <v>3.0</v>
      </c>
      <c r="C2344" s="7">
        <v>59.0</v>
      </c>
      <c r="D2344" s="6" t="s">
        <v>3227</v>
      </c>
      <c r="E2344" s="16">
        <v>2.0</v>
      </c>
      <c r="F2344" s="18" t="s">
        <v>2305</v>
      </c>
    </row>
    <row r="2345">
      <c r="A2345" s="5" t="s">
        <v>3210</v>
      </c>
      <c r="B2345" s="6">
        <v>1.0</v>
      </c>
      <c r="C2345" s="7">
        <v>33.0</v>
      </c>
      <c r="D2345" s="6" t="s">
        <v>3225</v>
      </c>
      <c r="E2345" s="16">
        <v>2.0</v>
      </c>
      <c r="F2345" s="18" t="s">
        <v>2306</v>
      </c>
    </row>
    <row r="2346">
      <c r="A2346" s="5" t="s">
        <v>3260</v>
      </c>
      <c r="B2346" s="6">
        <v>1.0</v>
      </c>
      <c r="C2346" s="7">
        <v>73.0</v>
      </c>
      <c r="D2346" s="6" t="s">
        <v>3173</v>
      </c>
      <c r="E2346" s="16">
        <v>2.0</v>
      </c>
      <c r="F2346" s="18" t="s">
        <v>2307</v>
      </c>
    </row>
    <row r="2347">
      <c r="A2347" s="5" t="s">
        <v>3179</v>
      </c>
      <c r="B2347" s="6">
        <v>1.0</v>
      </c>
      <c r="C2347" s="7">
        <v>48.0</v>
      </c>
      <c r="D2347" s="6" t="s">
        <v>3232</v>
      </c>
      <c r="E2347" s="16">
        <v>2.0</v>
      </c>
      <c r="F2347" s="18" t="s">
        <v>2308</v>
      </c>
    </row>
    <row r="2348">
      <c r="A2348" s="5" t="s">
        <v>3193</v>
      </c>
      <c r="B2348" s="6">
        <v>5.0</v>
      </c>
      <c r="C2348" s="7">
        <v>16.0</v>
      </c>
      <c r="D2348" s="6" t="s">
        <v>3178</v>
      </c>
      <c r="E2348" s="16">
        <v>1.0</v>
      </c>
      <c r="F2348" s="18" t="s">
        <v>2309</v>
      </c>
    </row>
    <row r="2349">
      <c r="A2349" s="5" t="s">
        <v>3206</v>
      </c>
      <c r="B2349" s="6">
        <v>6.0</v>
      </c>
      <c r="C2349" s="7">
        <v>3.0</v>
      </c>
      <c r="D2349" s="6" t="s">
        <v>3200</v>
      </c>
      <c r="E2349" s="16">
        <v>1.0</v>
      </c>
      <c r="F2349" s="18" t="s">
        <v>2310</v>
      </c>
    </row>
    <row r="2350">
      <c r="A2350" s="5" t="s">
        <v>3251</v>
      </c>
      <c r="B2350" s="6">
        <v>6.0</v>
      </c>
      <c r="C2350" s="7">
        <v>10.0</v>
      </c>
      <c r="D2350" s="6" t="s">
        <v>3249</v>
      </c>
      <c r="E2350" s="16">
        <v>1.0</v>
      </c>
      <c r="F2350" s="18" t="s">
        <v>2311</v>
      </c>
    </row>
    <row r="2351">
      <c r="A2351" s="5" t="s">
        <v>3168</v>
      </c>
      <c r="B2351" s="6">
        <v>1.0</v>
      </c>
      <c r="C2351" s="7">
        <v>104.0</v>
      </c>
      <c r="D2351" s="6" t="s">
        <v>3257</v>
      </c>
      <c r="E2351" s="16">
        <v>1.0</v>
      </c>
      <c r="F2351" s="18" t="s">
        <v>2312</v>
      </c>
    </row>
    <row r="2352">
      <c r="A2352" s="5" t="s">
        <v>3252</v>
      </c>
      <c r="B2352" s="6">
        <v>6.0</v>
      </c>
      <c r="C2352" s="7">
        <v>173.0</v>
      </c>
      <c r="D2352" s="6" t="s">
        <v>3167</v>
      </c>
      <c r="E2352" s="16">
        <v>1.0</v>
      </c>
      <c r="F2352" s="18" t="s">
        <v>2313</v>
      </c>
    </row>
    <row r="2353">
      <c r="A2353" s="5" t="s">
        <v>3236</v>
      </c>
      <c r="B2353" s="6">
        <v>6.0</v>
      </c>
      <c r="C2353" s="7">
        <v>7.0</v>
      </c>
      <c r="D2353" s="6" t="s">
        <v>3180</v>
      </c>
      <c r="E2353" s="16">
        <v>1.0</v>
      </c>
      <c r="F2353" s="18" t="s">
        <v>2314</v>
      </c>
    </row>
    <row r="2354">
      <c r="A2354" s="5" t="s">
        <v>3260</v>
      </c>
      <c r="B2354" s="6">
        <v>1.0</v>
      </c>
      <c r="C2354" s="7">
        <v>146.0</v>
      </c>
      <c r="D2354" s="6" t="s">
        <v>3200</v>
      </c>
      <c r="E2354" s="16">
        <v>1.0</v>
      </c>
      <c r="F2354" s="18" t="s">
        <v>2315</v>
      </c>
    </row>
    <row r="2355">
      <c r="A2355" s="5" t="s">
        <v>3204</v>
      </c>
      <c r="B2355" s="6">
        <v>1.0</v>
      </c>
      <c r="C2355" s="7">
        <v>154.0</v>
      </c>
      <c r="D2355" s="6" t="s">
        <v>3171</v>
      </c>
      <c r="E2355" s="16">
        <v>1.0</v>
      </c>
      <c r="F2355" s="18" t="s">
        <v>2316</v>
      </c>
    </row>
    <row r="2356">
      <c r="A2356" s="5" t="s">
        <v>3189</v>
      </c>
      <c r="B2356" s="6">
        <v>6.0</v>
      </c>
      <c r="C2356" s="7">
        <v>145.0</v>
      </c>
      <c r="D2356" s="6" t="s">
        <v>3222</v>
      </c>
      <c r="E2356" s="16">
        <v>1.0</v>
      </c>
      <c r="F2356" s="18" t="s">
        <v>2317</v>
      </c>
    </row>
    <row r="2357">
      <c r="A2357" s="5" t="s">
        <v>3216</v>
      </c>
      <c r="B2357" s="6">
        <v>6.0</v>
      </c>
      <c r="C2357" s="7">
        <v>186.0</v>
      </c>
      <c r="D2357" s="6" t="s">
        <v>3222</v>
      </c>
      <c r="E2357" s="16">
        <v>1.0</v>
      </c>
      <c r="F2357" s="18" t="s">
        <v>2318</v>
      </c>
    </row>
    <row r="2358">
      <c r="A2358" s="5" t="s">
        <v>3168</v>
      </c>
      <c r="B2358" s="6">
        <v>1.0</v>
      </c>
      <c r="C2358" s="7">
        <v>69.0</v>
      </c>
      <c r="D2358" s="6" t="s">
        <v>3203</v>
      </c>
      <c r="E2358" s="16">
        <v>1.0</v>
      </c>
      <c r="F2358" s="18" t="s">
        <v>2319</v>
      </c>
    </row>
    <row r="2359">
      <c r="A2359" s="5" t="s">
        <v>3263</v>
      </c>
      <c r="B2359" s="6">
        <v>1.0</v>
      </c>
      <c r="C2359" s="7">
        <v>181.0</v>
      </c>
      <c r="D2359" s="6" t="s">
        <v>3190</v>
      </c>
      <c r="E2359" s="16">
        <v>1.0</v>
      </c>
      <c r="F2359" s="18" t="s">
        <v>2320</v>
      </c>
    </row>
    <row r="2360">
      <c r="A2360" s="5" t="s">
        <v>3197</v>
      </c>
      <c r="B2360" s="6">
        <v>1.0</v>
      </c>
      <c r="C2360" s="7">
        <v>134.0</v>
      </c>
      <c r="D2360" s="6" t="s">
        <v>3239</v>
      </c>
      <c r="E2360" s="16">
        <v>1.0</v>
      </c>
      <c r="F2360" s="18" t="s">
        <v>2321</v>
      </c>
    </row>
    <row r="2361">
      <c r="A2361" s="5" t="s">
        <v>3263</v>
      </c>
      <c r="B2361" s="6">
        <v>1.0</v>
      </c>
      <c r="C2361" s="7">
        <v>96.0</v>
      </c>
      <c r="D2361" s="6" t="s">
        <v>3190</v>
      </c>
      <c r="E2361" s="16">
        <v>1.0</v>
      </c>
      <c r="F2361" s="18" t="s">
        <v>2322</v>
      </c>
    </row>
    <row r="2362">
      <c r="A2362" s="5" t="s">
        <v>3191</v>
      </c>
      <c r="B2362" s="6">
        <v>5.0</v>
      </c>
      <c r="C2362" s="7">
        <v>70.0</v>
      </c>
      <c r="D2362" s="6" t="s">
        <v>3222</v>
      </c>
      <c r="E2362" s="16">
        <v>1.0</v>
      </c>
      <c r="F2362" s="18" t="s">
        <v>2323</v>
      </c>
    </row>
    <row r="2363">
      <c r="A2363" s="5" t="s">
        <v>3267</v>
      </c>
      <c r="B2363" s="6">
        <v>3.0</v>
      </c>
      <c r="C2363" s="7">
        <v>64.0</v>
      </c>
      <c r="D2363" s="6" t="s">
        <v>3180</v>
      </c>
      <c r="E2363" s="16">
        <v>5.0</v>
      </c>
      <c r="F2363" s="18" t="s">
        <v>2324</v>
      </c>
    </row>
    <row r="2364">
      <c r="A2364" s="5" t="s">
        <v>3265</v>
      </c>
      <c r="B2364" s="6">
        <v>1.0</v>
      </c>
      <c r="C2364" s="7">
        <v>34.0</v>
      </c>
      <c r="D2364" s="6" t="s">
        <v>3227</v>
      </c>
      <c r="E2364" s="16">
        <v>5.0</v>
      </c>
      <c r="F2364" s="18" t="s">
        <v>2325</v>
      </c>
    </row>
    <row r="2365">
      <c r="A2365" s="5" t="s">
        <v>3243</v>
      </c>
      <c r="B2365" s="6">
        <v>4.0</v>
      </c>
      <c r="C2365" s="7">
        <v>79.0</v>
      </c>
      <c r="D2365" s="6" t="s">
        <v>3232</v>
      </c>
      <c r="E2365" s="16">
        <v>5.0</v>
      </c>
      <c r="F2365" s="18" t="s">
        <v>2326</v>
      </c>
    </row>
    <row r="2366">
      <c r="A2366" s="5" t="s">
        <v>3237</v>
      </c>
      <c r="B2366" s="6">
        <v>2.0</v>
      </c>
      <c r="C2366" s="7">
        <v>104.0</v>
      </c>
      <c r="D2366" s="6" t="s">
        <v>3257</v>
      </c>
      <c r="E2366" s="16">
        <v>5.0</v>
      </c>
      <c r="F2366" s="18" t="s">
        <v>2327</v>
      </c>
    </row>
    <row r="2367">
      <c r="A2367" s="5" t="s">
        <v>3240</v>
      </c>
      <c r="B2367" s="6">
        <v>2.0</v>
      </c>
      <c r="C2367" s="7">
        <v>19.0</v>
      </c>
      <c r="D2367" s="6" t="s">
        <v>3169</v>
      </c>
      <c r="E2367" s="16">
        <v>5.0</v>
      </c>
      <c r="F2367" s="18" t="s">
        <v>2328</v>
      </c>
    </row>
    <row r="2368">
      <c r="A2368" s="5" t="s">
        <v>3248</v>
      </c>
      <c r="B2368" s="6">
        <v>3.0</v>
      </c>
      <c r="C2368" s="7">
        <v>172.0</v>
      </c>
      <c r="D2368" s="6" t="s">
        <v>3178</v>
      </c>
      <c r="E2368" s="16">
        <v>5.0</v>
      </c>
      <c r="F2368" s="18" t="s">
        <v>2329</v>
      </c>
    </row>
    <row r="2369">
      <c r="A2369" s="5" t="s">
        <v>3248</v>
      </c>
      <c r="B2369" s="6">
        <v>3.0</v>
      </c>
      <c r="C2369" s="7">
        <v>6.0</v>
      </c>
      <c r="D2369" s="6" t="s">
        <v>3180</v>
      </c>
      <c r="E2369" s="16">
        <v>5.0</v>
      </c>
      <c r="F2369" s="18" t="s">
        <v>2330</v>
      </c>
    </row>
    <row r="2370">
      <c r="A2370" s="5" t="s">
        <v>3269</v>
      </c>
      <c r="B2370" s="6">
        <v>6.0</v>
      </c>
      <c r="C2370" s="7">
        <v>138.0</v>
      </c>
      <c r="D2370" s="6" t="s">
        <v>3219</v>
      </c>
      <c r="E2370" s="16">
        <v>5.0</v>
      </c>
      <c r="F2370" s="18" t="s">
        <v>2331</v>
      </c>
    </row>
    <row r="2371">
      <c r="A2371" s="5" t="s">
        <v>3251</v>
      </c>
      <c r="B2371" s="6">
        <v>6.0</v>
      </c>
      <c r="C2371" s="7">
        <v>121.0</v>
      </c>
      <c r="D2371" s="6" t="s">
        <v>3173</v>
      </c>
      <c r="E2371" s="16">
        <v>5.0</v>
      </c>
      <c r="F2371" s="18" t="s">
        <v>2332</v>
      </c>
    </row>
    <row r="2372">
      <c r="A2372" s="5" t="s">
        <v>3263</v>
      </c>
      <c r="B2372" s="6">
        <v>1.0</v>
      </c>
      <c r="C2372" s="7">
        <v>116.0</v>
      </c>
      <c r="D2372" s="6" t="s">
        <v>3169</v>
      </c>
      <c r="E2372" s="16">
        <v>5.0</v>
      </c>
      <c r="F2372" s="18" t="s">
        <v>2333</v>
      </c>
    </row>
    <row r="2373">
      <c r="A2373" s="5" t="s">
        <v>3269</v>
      </c>
      <c r="B2373" s="6">
        <v>6.0</v>
      </c>
      <c r="C2373" s="7">
        <v>179.0</v>
      </c>
      <c r="D2373" s="6" t="s">
        <v>3214</v>
      </c>
      <c r="E2373" s="16">
        <v>5.0</v>
      </c>
      <c r="F2373" s="18" t="s">
        <v>2334</v>
      </c>
    </row>
    <row r="2374">
      <c r="A2374" s="5" t="s">
        <v>3210</v>
      </c>
      <c r="B2374" s="6">
        <v>1.0</v>
      </c>
      <c r="C2374" s="7">
        <v>132.0</v>
      </c>
      <c r="D2374" s="6" t="s">
        <v>3186</v>
      </c>
      <c r="E2374" s="16">
        <v>5.0</v>
      </c>
      <c r="F2374" s="18" t="s">
        <v>2335</v>
      </c>
    </row>
    <row r="2375">
      <c r="A2375" s="5" t="s">
        <v>3268</v>
      </c>
      <c r="B2375" s="6">
        <v>1.0</v>
      </c>
      <c r="C2375" s="7">
        <v>189.0</v>
      </c>
      <c r="D2375" s="6" t="s">
        <v>3225</v>
      </c>
      <c r="E2375" s="16">
        <v>5.0</v>
      </c>
      <c r="F2375" s="18" t="s">
        <v>2336</v>
      </c>
    </row>
    <row r="2376">
      <c r="A2376" s="5" t="s">
        <v>3259</v>
      </c>
      <c r="B2376" s="6">
        <v>6.0</v>
      </c>
      <c r="C2376" s="7">
        <v>110.0</v>
      </c>
      <c r="D2376" s="6" t="s">
        <v>3211</v>
      </c>
      <c r="E2376" s="16">
        <v>4.0</v>
      </c>
      <c r="F2376" s="18" t="s">
        <v>2337</v>
      </c>
    </row>
    <row r="2377">
      <c r="A2377" s="5" t="s">
        <v>3240</v>
      </c>
      <c r="B2377" s="6">
        <v>2.0</v>
      </c>
      <c r="C2377" s="7">
        <v>181.0</v>
      </c>
      <c r="D2377" s="6" t="s">
        <v>3190</v>
      </c>
      <c r="E2377" s="16">
        <v>4.0</v>
      </c>
      <c r="F2377" s="18" t="s">
        <v>2338</v>
      </c>
    </row>
    <row r="2378">
      <c r="A2378" s="5" t="s">
        <v>3268</v>
      </c>
      <c r="B2378" s="6">
        <v>1.0</v>
      </c>
      <c r="C2378" s="7">
        <v>77.0</v>
      </c>
      <c r="D2378" s="6" t="s">
        <v>3254</v>
      </c>
      <c r="E2378" s="16">
        <v>4.0</v>
      </c>
      <c r="F2378" s="18" t="s">
        <v>2339</v>
      </c>
    </row>
    <row r="2379">
      <c r="A2379" s="5" t="s">
        <v>3230</v>
      </c>
      <c r="B2379" s="6">
        <v>1.0</v>
      </c>
      <c r="C2379" s="7">
        <v>159.0</v>
      </c>
      <c r="D2379" s="6" t="s">
        <v>3188</v>
      </c>
      <c r="E2379" s="16">
        <v>4.0</v>
      </c>
      <c r="F2379" s="18" t="s">
        <v>2340</v>
      </c>
    </row>
    <row r="2380">
      <c r="A2380" s="5" t="s">
        <v>3193</v>
      </c>
      <c r="B2380" s="6">
        <v>5.0</v>
      </c>
      <c r="C2380" s="7">
        <v>50.0</v>
      </c>
      <c r="D2380" s="6" t="s">
        <v>3238</v>
      </c>
      <c r="E2380" s="16">
        <v>3.0</v>
      </c>
      <c r="F2380" s="18" t="s">
        <v>2341</v>
      </c>
    </row>
    <row r="2381">
      <c r="A2381" s="5" t="s">
        <v>3265</v>
      </c>
      <c r="B2381" s="6">
        <v>1.0</v>
      </c>
      <c r="C2381" s="7">
        <v>187.0</v>
      </c>
      <c r="D2381" s="6" t="s">
        <v>3254</v>
      </c>
      <c r="E2381" s="16">
        <v>3.0</v>
      </c>
      <c r="F2381" s="18" t="s">
        <v>2342</v>
      </c>
    </row>
    <row r="2382">
      <c r="A2382" s="5" t="s">
        <v>3209</v>
      </c>
      <c r="B2382" s="6">
        <v>4.0</v>
      </c>
      <c r="C2382" s="7">
        <v>98.0</v>
      </c>
      <c r="D2382" s="6" t="s">
        <v>3211</v>
      </c>
      <c r="E2382" s="16">
        <v>3.0</v>
      </c>
      <c r="F2382" s="18" t="s">
        <v>136</v>
      </c>
    </row>
    <row r="2383">
      <c r="A2383" s="5" t="s">
        <v>3212</v>
      </c>
      <c r="B2383" s="6">
        <v>6.0</v>
      </c>
      <c r="C2383" s="7">
        <v>107.0</v>
      </c>
      <c r="D2383" s="6" t="s">
        <v>3207</v>
      </c>
      <c r="E2383" s="16">
        <v>3.0</v>
      </c>
      <c r="F2383" s="18" t="s">
        <v>2343</v>
      </c>
    </row>
    <row r="2384">
      <c r="A2384" s="5" t="s">
        <v>3233</v>
      </c>
      <c r="B2384" s="6">
        <v>6.0</v>
      </c>
      <c r="C2384" s="7">
        <v>123.0</v>
      </c>
      <c r="D2384" s="6" t="s">
        <v>3192</v>
      </c>
      <c r="E2384" s="16">
        <v>3.0</v>
      </c>
      <c r="F2384" s="18" t="s">
        <v>2344</v>
      </c>
    </row>
    <row r="2385">
      <c r="A2385" s="5" t="s">
        <v>3252</v>
      </c>
      <c r="B2385" s="6">
        <v>6.0</v>
      </c>
      <c r="C2385" s="7">
        <v>49.0</v>
      </c>
      <c r="D2385" s="6" t="s">
        <v>3254</v>
      </c>
      <c r="E2385" s="16">
        <v>2.0</v>
      </c>
      <c r="F2385" s="18" t="s">
        <v>2345</v>
      </c>
    </row>
    <row r="2386">
      <c r="A2386" s="5" t="s">
        <v>3202</v>
      </c>
      <c r="B2386" s="6">
        <v>4.0</v>
      </c>
      <c r="C2386" s="7">
        <v>158.0</v>
      </c>
      <c r="D2386" s="6" t="s">
        <v>3235</v>
      </c>
      <c r="E2386" s="16">
        <v>2.0</v>
      </c>
      <c r="F2386" s="18" t="s">
        <v>2346</v>
      </c>
    </row>
    <row r="2387">
      <c r="A2387" s="5" t="s">
        <v>3179</v>
      </c>
      <c r="B2387" s="6">
        <v>1.0</v>
      </c>
      <c r="C2387" s="7">
        <v>128.0</v>
      </c>
      <c r="D2387" s="6" t="s">
        <v>3211</v>
      </c>
      <c r="E2387" s="16">
        <v>2.0</v>
      </c>
      <c r="F2387" s="18" t="s">
        <v>2347</v>
      </c>
    </row>
    <row r="2388">
      <c r="A2388" s="5" t="s">
        <v>3223</v>
      </c>
      <c r="B2388" s="6">
        <v>3.0</v>
      </c>
      <c r="C2388" s="7">
        <v>145.0</v>
      </c>
      <c r="D2388" s="6" t="s">
        <v>3222</v>
      </c>
      <c r="E2388" s="16">
        <v>2.0</v>
      </c>
      <c r="F2388" s="18" t="s">
        <v>549</v>
      </c>
    </row>
    <row r="2389">
      <c r="A2389" s="5" t="s">
        <v>3217</v>
      </c>
      <c r="B2389" s="6">
        <v>5.0</v>
      </c>
      <c r="C2389" s="7">
        <v>2.0</v>
      </c>
      <c r="D2389" s="6" t="s">
        <v>3214</v>
      </c>
      <c r="E2389" s="16">
        <v>2.0</v>
      </c>
      <c r="F2389" s="18" t="s">
        <v>2348</v>
      </c>
    </row>
    <row r="2390">
      <c r="A2390" s="5" t="s">
        <v>3216</v>
      </c>
      <c r="B2390" s="6">
        <v>6.0</v>
      </c>
      <c r="C2390" s="7">
        <v>163.0</v>
      </c>
      <c r="D2390" s="6" t="s">
        <v>3173</v>
      </c>
      <c r="E2390" s="16">
        <v>2.0</v>
      </c>
      <c r="F2390" s="18" t="s">
        <v>2349</v>
      </c>
    </row>
    <row r="2391">
      <c r="A2391" s="5" t="s">
        <v>3248</v>
      </c>
      <c r="B2391" s="6">
        <v>3.0</v>
      </c>
      <c r="C2391" s="7">
        <v>127.0</v>
      </c>
      <c r="D2391" s="6" t="s">
        <v>3262</v>
      </c>
      <c r="E2391" s="16">
        <v>2.0</v>
      </c>
      <c r="F2391" s="18" t="s">
        <v>2350</v>
      </c>
    </row>
    <row r="2392">
      <c r="A2392" s="5" t="s">
        <v>3209</v>
      </c>
      <c r="B2392" s="6">
        <v>4.0</v>
      </c>
      <c r="C2392" s="7">
        <v>128.0</v>
      </c>
      <c r="D2392" s="6" t="s">
        <v>3211</v>
      </c>
      <c r="E2392" s="16">
        <v>2.0</v>
      </c>
      <c r="F2392" s="18" t="s">
        <v>2351</v>
      </c>
    </row>
    <row r="2393">
      <c r="A2393" s="5" t="s">
        <v>3255</v>
      </c>
      <c r="B2393" s="6">
        <v>6.0</v>
      </c>
      <c r="C2393" s="7">
        <v>64.0</v>
      </c>
      <c r="D2393" s="6" t="s">
        <v>3180</v>
      </c>
      <c r="E2393" s="16">
        <v>2.0</v>
      </c>
      <c r="F2393" s="18" t="s">
        <v>2352</v>
      </c>
    </row>
    <row r="2394">
      <c r="A2394" s="5" t="s">
        <v>3231</v>
      </c>
      <c r="B2394" s="6">
        <v>4.0</v>
      </c>
      <c r="C2394" s="7">
        <v>142.0</v>
      </c>
      <c r="D2394" s="6" t="s">
        <v>3173</v>
      </c>
      <c r="E2394" s="16">
        <v>2.0</v>
      </c>
      <c r="F2394" s="18" t="s">
        <v>2353</v>
      </c>
    </row>
    <row r="2395">
      <c r="A2395" s="5" t="s">
        <v>3263</v>
      </c>
      <c r="B2395" s="6">
        <v>1.0</v>
      </c>
      <c r="C2395" s="7">
        <v>52.0</v>
      </c>
      <c r="D2395" s="6" t="s">
        <v>3194</v>
      </c>
      <c r="E2395" s="16">
        <v>1.0</v>
      </c>
      <c r="F2395" s="18" t="s">
        <v>2354</v>
      </c>
    </row>
    <row r="2396">
      <c r="A2396" s="5" t="s">
        <v>3266</v>
      </c>
      <c r="B2396" s="6">
        <v>3.0</v>
      </c>
      <c r="C2396" s="7">
        <v>34.0</v>
      </c>
      <c r="D2396" s="6" t="s">
        <v>3227</v>
      </c>
      <c r="E2396" s="16">
        <v>1.0</v>
      </c>
      <c r="F2396" s="18" t="s">
        <v>2355</v>
      </c>
    </row>
    <row r="2397">
      <c r="A2397" s="5" t="s">
        <v>3260</v>
      </c>
      <c r="B2397" s="6">
        <v>1.0</v>
      </c>
      <c r="C2397" s="7">
        <v>147.0</v>
      </c>
      <c r="D2397" s="6" t="s">
        <v>3196</v>
      </c>
      <c r="E2397" s="16">
        <v>1.0</v>
      </c>
      <c r="F2397" s="18" t="s">
        <v>2356</v>
      </c>
    </row>
    <row r="2398">
      <c r="A2398" s="5" t="s">
        <v>3230</v>
      </c>
      <c r="B2398" s="6">
        <v>1.0</v>
      </c>
      <c r="C2398" s="7">
        <v>116.0</v>
      </c>
      <c r="D2398" s="6" t="s">
        <v>3169</v>
      </c>
      <c r="E2398" s="16">
        <v>1.0</v>
      </c>
      <c r="F2398" s="18" t="s">
        <v>2357</v>
      </c>
    </row>
    <row r="2399">
      <c r="A2399" s="5" t="s">
        <v>3234</v>
      </c>
      <c r="B2399" s="6">
        <v>6.0</v>
      </c>
      <c r="C2399" s="7">
        <v>128.0</v>
      </c>
      <c r="D2399" s="6" t="s">
        <v>3211</v>
      </c>
      <c r="E2399" s="16">
        <v>1.0</v>
      </c>
      <c r="F2399" s="18" t="s">
        <v>2358</v>
      </c>
    </row>
    <row r="2400">
      <c r="A2400" s="5" t="s">
        <v>3244</v>
      </c>
      <c r="B2400" s="6">
        <v>1.0</v>
      </c>
      <c r="C2400" s="7">
        <v>84.0</v>
      </c>
      <c r="D2400" s="6" t="s">
        <v>3203</v>
      </c>
      <c r="E2400" s="16">
        <v>1.0</v>
      </c>
      <c r="F2400" s="18" t="s">
        <v>2359</v>
      </c>
    </row>
    <row r="2401">
      <c r="A2401" s="5" t="s">
        <v>3201</v>
      </c>
      <c r="B2401" s="6">
        <v>5.0</v>
      </c>
      <c r="C2401" s="7">
        <v>127.0</v>
      </c>
      <c r="D2401" s="6" t="s">
        <v>3262</v>
      </c>
      <c r="E2401" s="16">
        <v>1.0</v>
      </c>
      <c r="F2401" s="18" t="s">
        <v>2360</v>
      </c>
    </row>
    <row r="2402">
      <c r="A2402" s="5" t="s">
        <v>3212</v>
      </c>
      <c r="B2402" s="6">
        <v>6.0</v>
      </c>
      <c r="C2402" s="7">
        <v>73.0</v>
      </c>
      <c r="D2402" s="6" t="s">
        <v>3173</v>
      </c>
      <c r="E2402" s="16">
        <v>1.0</v>
      </c>
      <c r="F2402" s="18" t="s">
        <v>2361</v>
      </c>
    </row>
    <row r="2403">
      <c r="A2403" s="5" t="s">
        <v>3269</v>
      </c>
      <c r="B2403" s="6">
        <v>6.0</v>
      </c>
      <c r="C2403" s="7">
        <v>164.0</v>
      </c>
      <c r="D2403" s="6" t="s">
        <v>3232</v>
      </c>
      <c r="E2403" s="16">
        <v>1.0</v>
      </c>
      <c r="F2403" s="18" t="s">
        <v>2362</v>
      </c>
    </row>
    <row r="2404">
      <c r="A2404" s="5" t="s">
        <v>3183</v>
      </c>
      <c r="B2404" s="6">
        <v>6.0</v>
      </c>
      <c r="C2404" s="7">
        <v>130.0</v>
      </c>
      <c r="D2404" s="6" t="s">
        <v>3232</v>
      </c>
      <c r="E2404" s="16">
        <v>1.0</v>
      </c>
      <c r="F2404" s="18" t="s">
        <v>2363</v>
      </c>
    </row>
    <row r="2405">
      <c r="A2405" s="5" t="s">
        <v>3197</v>
      </c>
      <c r="B2405" s="6">
        <v>1.0</v>
      </c>
      <c r="C2405" s="7">
        <v>69.0</v>
      </c>
      <c r="D2405" s="6" t="s">
        <v>3203</v>
      </c>
      <c r="E2405" s="16">
        <v>1.0</v>
      </c>
      <c r="F2405" s="18" t="s">
        <v>2364</v>
      </c>
    </row>
    <row r="2406">
      <c r="A2406" s="5" t="s">
        <v>3267</v>
      </c>
      <c r="B2406" s="6">
        <v>3.0</v>
      </c>
      <c r="C2406" s="7">
        <v>143.0</v>
      </c>
      <c r="D2406" s="6" t="s">
        <v>3176</v>
      </c>
      <c r="E2406" s="16">
        <v>1.0</v>
      </c>
      <c r="F2406" s="18" t="s">
        <v>2365</v>
      </c>
    </row>
    <row r="2407">
      <c r="A2407" s="5" t="s">
        <v>3233</v>
      </c>
      <c r="B2407" s="6">
        <v>6.0</v>
      </c>
      <c r="C2407" s="7">
        <v>54.0</v>
      </c>
      <c r="D2407" s="6" t="s">
        <v>3215</v>
      </c>
      <c r="E2407" s="16">
        <v>5.0</v>
      </c>
      <c r="F2407" s="18" t="s">
        <v>2366</v>
      </c>
    </row>
    <row r="2408">
      <c r="A2408" s="5" t="s">
        <v>3264</v>
      </c>
      <c r="B2408" s="6">
        <v>4.0</v>
      </c>
      <c r="C2408" s="7">
        <v>129.0</v>
      </c>
      <c r="D2408" s="6" t="s">
        <v>3182</v>
      </c>
      <c r="E2408" s="16">
        <v>5.0</v>
      </c>
      <c r="F2408" s="18" t="s">
        <v>2367</v>
      </c>
    </row>
    <row r="2409">
      <c r="A2409" s="5" t="s">
        <v>3185</v>
      </c>
      <c r="B2409" s="6">
        <v>1.0</v>
      </c>
      <c r="C2409" s="7">
        <v>78.0</v>
      </c>
      <c r="D2409" s="6" t="s">
        <v>3176</v>
      </c>
      <c r="E2409" s="16">
        <v>5.0</v>
      </c>
      <c r="F2409" s="18" t="s">
        <v>2368</v>
      </c>
    </row>
    <row r="2410">
      <c r="A2410" s="5" t="s">
        <v>3252</v>
      </c>
      <c r="B2410" s="6">
        <v>6.0</v>
      </c>
      <c r="C2410" s="7">
        <v>135.0</v>
      </c>
      <c r="D2410" s="6" t="s">
        <v>3207</v>
      </c>
      <c r="E2410" s="16">
        <v>5.0</v>
      </c>
      <c r="F2410" s="18" t="s">
        <v>2369</v>
      </c>
    </row>
    <row r="2411">
      <c r="A2411" s="5" t="s">
        <v>3247</v>
      </c>
      <c r="B2411" s="6">
        <v>6.0</v>
      </c>
      <c r="C2411" s="7">
        <v>77.0</v>
      </c>
      <c r="D2411" s="6" t="s">
        <v>3254</v>
      </c>
      <c r="E2411" s="16">
        <v>5.0</v>
      </c>
      <c r="F2411" s="18" t="s">
        <v>2370</v>
      </c>
    </row>
    <row r="2412">
      <c r="A2412" s="5" t="s">
        <v>3265</v>
      </c>
      <c r="B2412" s="6">
        <v>1.0</v>
      </c>
      <c r="C2412" s="7">
        <v>194.0</v>
      </c>
      <c r="D2412" s="6" t="s">
        <v>3215</v>
      </c>
      <c r="E2412" s="16">
        <v>5.0</v>
      </c>
      <c r="F2412" s="18" t="s">
        <v>2371</v>
      </c>
    </row>
    <row r="2413">
      <c r="A2413" s="5" t="s">
        <v>3230</v>
      </c>
      <c r="B2413" s="6">
        <v>1.0</v>
      </c>
      <c r="C2413" s="7">
        <v>185.0</v>
      </c>
      <c r="D2413" s="6" t="s">
        <v>3173</v>
      </c>
      <c r="E2413" s="16">
        <v>5.0</v>
      </c>
      <c r="F2413" s="18" t="s">
        <v>2372</v>
      </c>
    </row>
    <row r="2414">
      <c r="A2414" s="5" t="s">
        <v>3265</v>
      </c>
      <c r="B2414" s="6">
        <v>1.0</v>
      </c>
      <c r="C2414" s="7">
        <v>18.0</v>
      </c>
      <c r="D2414" s="6" t="s">
        <v>3225</v>
      </c>
      <c r="E2414" s="16">
        <v>5.0</v>
      </c>
      <c r="F2414" s="18" t="s">
        <v>2373</v>
      </c>
    </row>
    <row r="2415">
      <c r="A2415" s="5" t="s">
        <v>3269</v>
      </c>
      <c r="B2415" s="6">
        <v>6.0</v>
      </c>
      <c r="C2415" s="7">
        <v>106.0</v>
      </c>
      <c r="D2415" s="6" t="s">
        <v>3167</v>
      </c>
      <c r="E2415" s="16">
        <v>5.0</v>
      </c>
      <c r="F2415" s="18" t="s">
        <v>2374</v>
      </c>
    </row>
    <row r="2416">
      <c r="A2416" s="5" t="s">
        <v>3206</v>
      </c>
      <c r="B2416" s="6">
        <v>6.0</v>
      </c>
      <c r="C2416" s="7">
        <v>144.0</v>
      </c>
      <c r="D2416" s="6" t="s">
        <v>3173</v>
      </c>
      <c r="E2416" s="16">
        <v>5.0</v>
      </c>
      <c r="F2416" s="18" t="s">
        <v>2375</v>
      </c>
    </row>
    <row r="2417">
      <c r="A2417" s="5" t="s">
        <v>3266</v>
      </c>
      <c r="B2417" s="6">
        <v>3.0</v>
      </c>
      <c r="C2417" s="7">
        <v>147.0</v>
      </c>
      <c r="D2417" s="6" t="s">
        <v>3196</v>
      </c>
      <c r="E2417" s="16">
        <v>5.0</v>
      </c>
      <c r="F2417" s="18" t="s">
        <v>2376</v>
      </c>
    </row>
    <row r="2418">
      <c r="A2418" s="5" t="s">
        <v>3226</v>
      </c>
      <c r="B2418" s="6">
        <v>1.0</v>
      </c>
      <c r="C2418" s="7">
        <v>104.0</v>
      </c>
      <c r="D2418" s="6" t="s">
        <v>3257</v>
      </c>
      <c r="E2418" s="16">
        <v>5.0</v>
      </c>
      <c r="F2418" s="18" t="s">
        <v>2377</v>
      </c>
    </row>
    <row r="2419">
      <c r="A2419" s="5" t="s">
        <v>3195</v>
      </c>
      <c r="B2419" s="6">
        <v>4.0</v>
      </c>
      <c r="C2419" s="7">
        <v>122.0</v>
      </c>
      <c r="D2419" s="6" t="s">
        <v>3232</v>
      </c>
      <c r="E2419" s="16">
        <v>5.0</v>
      </c>
      <c r="F2419" s="18" t="s">
        <v>2378</v>
      </c>
    </row>
    <row r="2420">
      <c r="A2420" s="5" t="s">
        <v>3209</v>
      </c>
      <c r="B2420" s="6">
        <v>4.0</v>
      </c>
      <c r="C2420" s="7">
        <v>44.0</v>
      </c>
      <c r="D2420" s="6" t="s">
        <v>3239</v>
      </c>
      <c r="E2420" s="16">
        <v>5.0</v>
      </c>
      <c r="F2420" s="18" t="s">
        <v>2379</v>
      </c>
    </row>
    <row r="2421">
      <c r="A2421" s="5" t="s">
        <v>3170</v>
      </c>
      <c r="B2421" s="6">
        <v>1.0</v>
      </c>
      <c r="C2421" s="7">
        <v>37.0</v>
      </c>
      <c r="D2421" s="6" t="s">
        <v>3194</v>
      </c>
      <c r="E2421" s="16">
        <v>5.0</v>
      </c>
      <c r="F2421" s="18" t="s">
        <v>2380</v>
      </c>
    </row>
    <row r="2422">
      <c r="A2422" s="5" t="s">
        <v>3226</v>
      </c>
      <c r="B2422" s="6">
        <v>1.0</v>
      </c>
      <c r="C2422" s="7">
        <v>33.0</v>
      </c>
      <c r="D2422" s="6" t="s">
        <v>3225</v>
      </c>
      <c r="E2422" s="16">
        <v>4.0</v>
      </c>
      <c r="F2422" s="18" t="s">
        <v>2381</v>
      </c>
    </row>
    <row r="2423">
      <c r="A2423" s="5" t="s">
        <v>3236</v>
      </c>
      <c r="B2423" s="6">
        <v>6.0</v>
      </c>
      <c r="C2423" s="7">
        <v>124.0</v>
      </c>
      <c r="D2423" s="6" t="s">
        <v>3238</v>
      </c>
      <c r="E2423" s="16">
        <v>4.0</v>
      </c>
      <c r="F2423" s="18" t="s">
        <v>2382</v>
      </c>
    </row>
    <row r="2424">
      <c r="A2424" s="5" t="s">
        <v>3267</v>
      </c>
      <c r="B2424" s="6">
        <v>3.0</v>
      </c>
      <c r="C2424" s="7">
        <v>163.0</v>
      </c>
      <c r="D2424" s="6" t="s">
        <v>3173</v>
      </c>
      <c r="E2424" s="16">
        <v>4.0</v>
      </c>
      <c r="F2424" s="18" t="s">
        <v>2383</v>
      </c>
    </row>
    <row r="2425">
      <c r="A2425" s="5" t="s">
        <v>3189</v>
      </c>
      <c r="B2425" s="6">
        <v>6.0</v>
      </c>
      <c r="C2425" s="7">
        <v>145.0</v>
      </c>
      <c r="D2425" s="6" t="s">
        <v>3222</v>
      </c>
      <c r="E2425" s="16">
        <v>4.0</v>
      </c>
      <c r="F2425" s="18" t="s">
        <v>2384</v>
      </c>
    </row>
    <row r="2426">
      <c r="A2426" s="5" t="s">
        <v>3228</v>
      </c>
      <c r="B2426" s="6">
        <v>6.0</v>
      </c>
      <c r="C2426" s="7">
        <v>108.0</v>
      </c>
      <c r="D2426" s="6" t="s">
        <v>3198</v>
      </c>
      <c r="E2426" s="16">
        <v>4.0</v>
      </c>
      <c r="F2426" s="18" t="s">
        <v>2385</v>
      </c>
    </row>
    <row r="2427">
      <c r="A2427" s="5" t="s">
        <v>3231</v>
      </c>
      <c r="B2427" s="6">
        <v>4.0</v>
      </c>
      <c r="C2427" s="7">
        <v>43.0</v>
      </c>
      <c r="D2427" s="6" t="s">
        <v>3214</v>
      </c>
      <c r="E2427" s="16">
        <v>4.0</v>
      </c>
      <c r="F2427" s="18" t="s">
        <v>2386</v>
      </c>
    </row>
    <row r="2428">
      <c r="A2428" s="5" t="s">
        <v>3233</v>
      </c>
      <c r="B2428" s="6">
        <v>6.0</v>
      </c>
      <c r="C2428" s="7">
        <v>50.0</v>
      </c>
      <c r="D2428" s="6" t="s">
        <v>3238</v>
      </c>
      <c r="E2428" s="16">
        <v>3.0</v>
      </c>
      <c r="F2428" s="18" t="s">
        <v>2387</v>
      </c>
    </row>
    <row r="2429">
      <c r="A2429" s="5" t="s">
        <v>3243</v>
      </c>
      <c r="B2429" s="6">
        <v>4.0</v>
      </c>
      <c r="C2429" s="7">
        <v>124.0</v>
      </c>
      <c r="D2429" s="6" t="s">
        <v>3238</v>
      </c>
      <c r="E2429" s="16">
        <v>3.0</v>
      </c>
      <c r="F2429" s="18" t="s">
        <v>2388</v>
      </c>
    </row>
    <row r="2430">
      <c r="A2430" s="5" t="s">
        <v>3243</v>
      </c>
      <c r="B2430" s="6">
        <v>4.0</v>
      </c>
      <c r="C2430" s="7">
        <v>42.0</v>
      </c>
      <c r="D2430" s="6" t="s">
        <v>3182</v>
      </c>
      <c r="E2430" s="16">
        <v>3.0</v>
      </c>
      <c r="F2430" s="18" t="s">
        <v>2389</v>
      </c>
    </row>
    <row r="2431">
      <c r="A2431" s="5" t="s">
        <v>3213</v>
      </c>
      <c r="B2431" s="6">
        <v>2.0</v>
      </c>
      <c r="C2431" s="7">
        <v>187.0</v>
      </c>
      <c r="D2431" s="6" t="s">
        <v>3254</v>
      </c>
      <c r="E2431" s="16">
        <v>3.0</v>
      </c>
      <c r="F2431" s="18" t="s">
        <v>2390</v>
      </c>
    </row>
    <row r="2432">
      <c r="A2432" s="5" t="s">
        <v>3229</v>
      </c>
      <c r="B2432" s="6">
        <v>4.0</v>
      </c>
      <c r="C2432" s="7">
        <v>128.0</v>
      </c>
      <c r="D2432" s="6" t="s">
        <v>3211</v>
      </c>
      <c r="E2432" s="16">
        <v>3.0</v>
      </c>
      <c r="F2432" s="18" t="s">
        <v>2391</v>
      </c>
    </row>
    <row r="2433">
      <c r="A2433" s="5" t="s">
        <v>3270</v>
      </c>
      <c r="B2433" s="6">
        <v>3.0</v>
      </c>
      <c r="C2433" s="7">
        <v>200.0</v>
      </c>
      <c r="D2433" s="6" t="s">
        <v>3238</v>
      </c>
      <c r="E2433" s="16">
        <v>2.0</v>
      </c>
      <c r="F2433" s="18" t="s">
        <v>2392</v>
      </c>
    </row>
    <row r="2434">
      <c r="A2434" s="5" t="s">
        <v>3197</v>
      </c>
      <c r="B2434" s="6">
        <v>1.0</v>
      </c>
      <c r="C2434" s="7">
        <v>101.0</v>
      </c>
      <c r="D2434" s="6" t="s">
        <v>3238</v>
      </c>
      <c r="E2434" s="16">
        <v>2.0</v>
      </c>
      <c r="F2434" s="18" t="s">
        <v>2393</v>
      </c>
    </row>
    <row r="2435">
      <c r="A2435" s="5" t="s">
        <v>3261</v>
      </c>
      <c r="B2435" s="6">
        <v>4.0</v>
      </c>
      <c r="C2435" s="7">
        <v>49.0</v>
      </c>
      <c r="D2435" s="6" t="s">
        <v>3254</v>
      </c>
      <c r="E2435" s="16">
        <v>2.0</v>
      </c>
      <c r="F2435" s="18" t="s">
        <v>2394</v>
      </c>
    </row>
    <row r="2436">
      <c r="A2436" s="5" t="s">
        <v>3229</v>
      </c>
      <c r="B2436" s="6">
        <v>4.0</v>
      </c>
      <c r="C2436" s="7">
        <v>123.0</v>
      </c>
      <c r="D2436" s="6" t="s">
        <v>3192</v>
      </c>
      <c r="E2436" s="16">
        <v>2.0</v>
      </c>
      <c r="F2436" s="18" t="s">
        <v>2395</v>
      </c>
    </row>
    <row r="2437">
      <c r="A2437" s="5" t="s">
        <v>3218</v>
      </c>
      <c r="B2437" s="6">
        <v>5.0</v>
      </c>
      <c r="C2437" s="7">
        <v>54.0</v>
      </c>
      <c r="D2437" s="6" t="s">
        <v>3215</v>
      </c>
      <c r="E2437" s="16">
        <v>2.0</v>
      </c>
      <c r="F2437" s="18" t="s">
        <v>2396</v>
      </c>
    </row>
    <row r="2438">
      <c r="A2438" s="5" t="s">
        <v>3270</v>
      </c>
      <c r="B2438" s="6">
        <v>3.0</v>
      </c>
      <c r="C2438" s="7">
        <v>37.0</v>
      </c>
      <c r="D2438" s="6" t="s">
        <v>3194</v>
      </c>
      <c r="E2438" s="16">
        <v>2.0</v>
      </c>
      <c r="F2438" s="18" t="s">
        <v>2397</v>
      </c>
    </row>
    <row r="2439">
      <c r="A2439" s="5" t="s">
        <v>3261</v>
      </c>
      <c r="B2439" s="6">
        <v>4.0</v>
      </c>
      <c r="C2439" s="7">
        <v>50.0</v>
      </c>
      <c r="D2439" s="6" t="s">
        <v>3238</v>
      </c>
      <c r="E2439" s="16">
        <v>2.0</v>
      </c>
      <c r="F2439" s="18" t="s">
        <v>2398</v>
      </c>
    </row>
    <row r="2440">
      <c r="A2440" s="5" t="s">
        <v>3175</v>
      </c>
      <c r="B2440" s="6">
        <v>5.0</v>
      </c>
      <c r="C2440" s="7">
        <v>108.0</v>
      </c>
      <c r="D2440" s="6" t="s">
        <v>3198</v>
      </c>
      <c r="E2440" s="16">
        <v>2.0</v>
      </c>
      <c r="F2440" s="18" t="s">
        <v>2399</v>
      </c>
    </row>
    <row r="2441">
      <c r="A2441" s="5" t="s">
        <v>3174</v>
      </c>
      <c r="B2441" s="6">
        <v>1.0</v>
      </c>
      <c r="C2441" s="7">
        <v>104.0</v>
      </c>
      <c r="D2441" s="6" t="s">
        <v>3257</v>
      </c>
      <c r="E2441" s="16">
        <v>2.0</v>
      </c>
      <c r="F2441" s="18" t="s">
        <v>2400</v>
      </c>
    </row>
    <row r="2442">
      <c r="A2442" s="5" t="s">
        <v>3248</v>
      </c>
      <c r="B2442" s="6">
        <v>3.0</v>
      </c>
      <c r="C2442" s="7">
        <v>105.0</v>
      </c>
      <c r="D2442" s="6" t="s">
        <v>3167</v>
      </c>
      <c r="E2442" s="16">
        <v>2.0</v>
      </c>
      <c r="F2442" s="18" t="s">
        <v>2401</v>
      </c>
    </row>
    <row r="2443">
      <c r="A2443" s="5" t="s">
        <v>3269</v>
      </c>
      <c r="B2443" s="6">
        <v>6.0</v>
      </c>
      <c r="C2443" s="7">
        <v>118.0</v>
      </c>
      <c r="D2443" s="6" t="s">
        <v>3200</v>
      </c>
      <c r="E2443" s="16">
        <v>2.0</v>
      </c>
      <c r="F2443" s="18" t="s">
        <v>2402</v>
      </c>
    </row>
    <row r="2444">
      <c r="A2444" s="5" t="s">
        <v>3233</v>
      </c>
      <c r="B2444" s="6">
        <v>6.0</v>
      </c>
      <c r="C2444" s="7">
        <v>159.0</v>
      </c>
      <c r="D2444" s="6" t="s">
        <v>3188</v>
      </c>
      <c r="E2444" s="16">
        <v>1.0</v>
      </c>
      <c r="F2444" s="18" t="s">
        <v>2403</v>
      </c>
    </row>
    <row r="2445">
      <c r="A2445" s="5" t="s">
        <v>3218</v>
      </c>
      <c r="B2445" s="6">
        <v>5.0</v>
      </c>
      <c r="C2445" s="7">
        <v>114.0</v>
      </c>
      <c r="D2445" s="6" t="s">
        <v>3245</v>
      </c>
      <c r="E2445" s="16">
        <v>1.0</v>
      </c>
      <c r="F2445" s="18" t="s">
        <v>2404</v>
      </c>
    </row>
    <row r="2446">
      <c r="A2446" s="5" t="s">
        <v>3208</v>
      </c>
      <c r="B2446" s="6">
        <v>4.0</v>
      </c>
      <c r="C2446" s="7">
        <v>114.0</v>
      </c>
      <c r="D2446" s="6" t="s">
        <v>3245</v>
      </c>
      <c r="E2446" s="16">
        <v>1.0</v>
      </c>
      <c r="F2446" s="18" t="s">
        <v>2405</v>
      </c>
    </row>
    <row r="2447">
      <c r="A2447" s="5" t="s">
        <v>3172</v>
      </c>
      <c r="B2447" s="6">
        <v>1.0</v>
      </c>
      <c r="C2447" s="7">
        <v>140.0</v>
      </c>
      <c r="D2447" s="6" t="s">
        <v>3190</v>
      </c>
      <c r="E2447" s="16">
        <v>1.0</v>
      </c>
      <c r="F2447" s="18" t="s">
        <v>2406</v>
      </c>
    </row>
    <row r="2448">
      <c r="A2448" s="5" t="s">
        <v>3228</v>
      </c>
      <c r="B2448" s="6">
        <v>6.0</v>
      </c>
      <c r="C2448" s="7">
        <v>170.0</v>
      </c>
      <c r="D2448" s="6" t="s">
        <v>3182</v>
      </c>
      <c r="E2448" s="16">
        <v>1.0</v>
      </c>
      <c r="F2448" s="18" t="s">
        <v>2407</v>
      </c>
    </row>
    <row r="2449">
      <c r="A2449" s="5" t="s">
        <v>3208</v>
      </c>
      <c r="B2449" s="6">
        <v>4.0</v>
      </c>
      <c r="C2449" s="7">
        <v>183.0</v>
      </c>
      <c r="D2449" s="6" t="s">
        <v>3182</v>
      </c>
      <c r="E2449" s="16">
        <v>1.0</v>
      </c>
      <c r="F2449" s="18" t="s">
        <v>2408</v>
      </c>
    </row>
    <row r="2450">
      <c r="A2450" s="5" t="s">
        <v>3230</v>
      </c>
      <c r="B2450" s="6">
        <v>1.0</v>
      </c>
      <c r="C2450" s="7">
        <v>98.0</v>
      </c>
      <c r="D2450" s="6" t="s">
        <v>3211</v>
      </c>
      <c r="E2450" s="16">
        <v>1.0</v>
      </c>
      <c r="F2450" s="18" t="s">
        <v>2409</v>
      </c>
    </row>
    <row r="2451">
      <c r="A2451" s="5" t="s">
        <v>3213</v>
      </c>
      <c r="B2451" s="6">
        <v>2.0</v>
      </c>
      <c r="C2451" s="7">
        <v>76.0</v>
      </c>
      <c r="D2451" s="6" t="s">
        <v>3190</v>
      </c>
      <c r="E2451" s="16">
        <v>5.0</v>
      </c>
      <c r="F2451" s="18" t="s">
        <v>2410</v>
      </c>
    </row>
    <row r="2452">
      <c r="A2452" s="5" t="s">
        <v>3204</v>
      </c>
      <c r="B2452" s="6">
        <v>1.0</v>
      </c>
      <c r="C2452" s="7">
        <v>146.0</v>
      </c>
      <c r="D2452" s="6" t="s">
        <v>3200</v>
      </c>
      <c r="E2452" s="16">
        <v>5.0</v>
      </c>
      <c r="F2452" s="18" t="s">
        <v>2411</v>
      </c>
    </row>
    <row r="2453">
      <c r="A2453" s="5" t="s">
        <v>3204</v>
      </c>
      <c r="B2453" s="6">
        <v>1.0</v>
      </c>
      <c r="C2453" s="7">
        <v>184.0</v>
      </c>
      <c r="D2453" s="6" t="s">
        <v>3169</v>
      </c>
      <c r="E2453" s="16">
        <v>5.0</v>
      </c>
      <c r="F2453" s="18" t="s">
        <v>2412</v>
      </c>
    </row>
    <row r="2454">
      <c r="A2454" s="5" t="s">
        <v>3218</v>
      </c>
      <c r="B2454" s="6">
        <v>5.0</v>
      </c>
      <c r="C2454" s="7">
        <v>176.0</v>
      </c>
      <c r="D2454" s="6" t="s">
        <v>3232</v>
      </c>
      <c r="E2454" s="16">
        <v>5.0</v>
      </c>
      <c r="F2454" s="18" t="s">
        <v>2413</v>
      </c>
    </row>
    <row r="2455">
      <c r="A2455" s="5" t="s">
        <v>3236</v>
      </c>
      <c r="B2455" s="6">
        <v>6.0</v>
      </c>
      <c r="C2455" s="7">
        <v>63.0</v>
      </c>
      <c r="D2455" s="6" t="s">
        <v>3257</v>
      </c>
      <c r="E2455" s="16">
        <v>5.0</v>
      </c>
      <c r="F2455" s="18" t="s">
        <v>2414</v>
      </c>
    </row>
    <row r="2456">
      <c r="A2456" s="5" t="s">
        <v>3216</v>
      </c>
      <c r="B2456" s="6">
        <v>6.0</v>
      </c>
      <c r="C2456" s="7">
        <v>128.0</v>
      </c>
      <c r="D2456" s="6" t="s">
        <v>3211</v>
      </c>
      <c r="E2456" s="16">
        <v>5.0</v>
      </c>
      <c r="F2456" s="18" t="s">
        <v>2048</v>
      </c>
    </row>
    <row r="2457">
      <c r="A2457" s="5" t="s">
        <v>3175</v>
      </c>
      <c r="B2457" s="6">
        <v>5.0</v>
      </c>
      <c r="C2457" s="7">
        <v>56.0</v>
      </c>
      <c r="D2457" s="6" t="s">
        <v>3186</v>
      </c>
      <c r="E2457" s="16">
        <v>5.0</v>
      </c>
      <c r="F2457" s="18" t="s">
        <v>2415</v>
      </c>
    </row>
    <row r="2458">
      <c r="A2458" s="5" t="s">
        <v>3255</v>
      </c>
      <c r="B2458" s="6">
        <v>6.0</v>
      </c>
      <c r="C2458" s="7">
        <v>104.0</v>
      </c>
      <c r="D2458" s="6" t="s">
        <v>3257</v>
      </c>
      <c r="E2458" s="16">
        <v>5.0</v>
      </c>
      <c r="F2458" s="18" t="s">
        <v>2416</v>
      </c>
    </row>
    <row r="2459">
      <c r="A2459" s="5" t="s">
        <v>3244</v>
      </c>
      <c r="B2459" s="6">
        <v>1.0</v>
      </c>
      <c r="C2459" s="7">
        <v>20.0</v>
      </c>
      <c r="D2459" s="6" t="s">
        <v>3173</v>
      </c>
      <c r="E2459" s="16">
        <v>5.0</v>
      </c>
      <c r="F2459" s="18" t="s">
        <v>77</v>
      </c>
    </row>
    <row r="2460">
      <c r="A2460" s="5" t="s">
        <v>3258</v>
      </c>
      <c r="B2460" s="6">
        <v>6.0</v>
      </c>
      <c r="C2460" s="7">
        <v>184.0</v>
      </c>
      <c r="D2460" s="6" t="s">
        <v>3169</v>
      </c>
      <c r="E2460" s="16">
        <v>5.0</v>
      </c>
      <c r="F2460" s="18" t="s">
        <v>2417</v>
      </c>
    </row>
    <row r="2461">
      <c r="A2461" s="5" t="s">
        <v>3264</v>
      </c>
      <c r="B2461" s="6">
        <v>4.0</v>
      </c>
      <c r="C2461" s="7">
        <v>189.0</v>
      </c>
      <c r="D2461" s="6" t="s">
        <v>3225</v>
      </c>
      <c r="E2461" s="16">
        <v>5.0</v>
      </c>
      <c r="F2461" s="18" t="s">
        <v>2418</v>
      </c>
    </row>
    <row r="2462">
      <c r="A2462" s="5" t="s">
        <v>3246</v>
      </c>
      <c r="B2462" s="6">
        <v>4.0</v>
      </c>
      <c r="C2462" s="7">
        <v>110.0</v>
      </c>
      <c r="D2462" s="6" t="s">
        <v>3211</v>
      </c>
      <c r="E2462" s="16">
        <v>5.0</v>
      </c>
      <c r="F2462" s="18" t="s">
        <v>2419</v>
      </c>
    </row>
    <row r="2463">
      <c r="A2463" s="5" t="s">
        <v>3206</v>
      </c>
      <c r="B2463" s="6">
        <v>6.0</v>
      </c>
      <c r="C2463" s="7">
        <v>198.0</v>
      </c>
      <c r="D2463" s="6" t="s">
        <v>3180</v>
      </c>
      <c r="E2463" s="16">
        <v>5.0</v>
      </c>
      <c r="F2463" s="18" t="s">
        <v>2420</v>
      </c>
    </row>
    <row r="2464">
      <c r="A2464" s="5" t="s">
        <v>3264</v>
      </c>
      <c r="B2464" s="6">
        <v>4.0</v>
      </c>
      <c r="C2464" s="7">
        <v>67.0</v>
      </c>
      <c r="D2464" s="6" t="s">
        <v>3186</v>
      </c>
      <c r="E2464" s="16">
        <v>5.0</v>
      </c>
      <c r="F2464" s="18" t="s">
        <v>2421</v>
      </c>
    </row>
    <row r="2465">
      <c r="A2465" s="5" t="s">
        <v>3243</v>
      </c>
      <c r="B2465" s="6">
        <v>4.0</v>
      </c>
      <c r="C2465" s="7">
        <v>87.0</v>
      </c>
      <c r="D2465" s="6" t="s">
        <v>3227</v>
      </c>
      <c r="E2465" s="16">
        <v>5.0</v>
      </c>
      <c r="F2465" s="18" t="s">
        <v>1731</v>
      </c>
    </row>
    <row r="2466">
      <c r="A2466" s="5" t="s">
        <v>3195</v>
      </c>
      <c r="B2466" s="6">
        <v>4.0</v>
      </c>
      <c r="C2466" s="7">
        <v>71.0</v>
      </c>
      <c r="D2466" s="6" t="s">
        <v>3176</v>
      </c>
      <c r="E2466" s="16">
        <v>4.0</v>
      </c>
      <c r="F2466" s="18" t="s">
        <v>2422</v>
      </c>
    </row>
    <row r="2467">
      <c r="A2467" s="5" t="s">
        <v>3191</v>
      </c>
      <c r="B2467" s="6">
        <v>5.0</v>
      </c>
      <c r="C2467" s="7">
        <v>115.0</v>
      </c>
      <c r="D2467" s="6" t="s">
        <v>3173</v>
      </c>
      <c r="E2467" s="16">
        <v>4.0</v>
      </c>
      <c r="F2467" s="18" t="s">
        <v>2423</v>
      </c>
    </row>
    <row r="2468">
      <c r="A2468" s="5" t="s">
        <v>3168</v>
      </c>
      <c r="B2468" s="6">
        <v>1.0</v>
      </c>
      <c r="C2468" s="7">
        <v>130.0</v>
      </c>
      <c r="D2468" s="6" t="s">
        <v>3232</v>
      </c>
      <c r="E2468" s="16">
        <v>4.0</v>
      </c>
      <c r="F2468" s="18" t="s">
        <v>2424</v>
      </c>
    </row>
    <row r="2469">
      <c r="A2469" s="5" t="s">
        <v>3216</v>
      </c>
      <c r="B2469" s="6">
        <v>6.0</v>
      </c>
      <c r="C2469" s="7">
        <v>127.0</v>
      </c>
      <c r="D2469" s="6" t="s">
        <v>3262</v>
      </c>
      <c r="E2469" s="16">
        <v>3.0</v>
      </c>
      <c r="F2469" s="18" t="s">
        <v>2425</v>
      </c>
    </row>
    <row r="2470">
      <c r="A2470" s="5" t="s">
        <v>3185</v>
      </c>
      <c r="B2470" s="6">
        <v>1.0</v>
      </c>
      <c r="C2470" s="7">
        <v>78.0</v>
      </c>
      <c r="D2470" s="6" t="s">
        <v>3176</v>
      </c>
      <c r="E2470" s="16">
        <v>3.0</v>
      </c>
      <c r="F2470" s="18" t="s">
        <v>914</v>
      </c>
    </row>
    <row r="2471">
      <c r="A2471" s="5" t="s">
        <v>3208</v>
      </c>
      <c r="B2471" s="6">
        <v>4.0</v>
      </c>
      <c r="C2471" s="7">
        <v>69.0</v>
      </c>
      <c r="D2471" s="6" t="s">
        <v>3203</v>
      </c>
      <c r="E2471" s="16">
        <v>3.0</v>
      </c>
      <c r="F2471" s="18" t="s">
        <v>2426</v>
      </c>
    </row>
    <row r="2472">
      <c r="A2472" s="5" t="s">
        <v>3255</v>
      </c>
      <c r="B2472" s="6">
        <v>6.0</v>
      </c>
      <c r="C2472" s="7">
        <v>148.0</v>
      </c>
      <c r="D2472" s="6" t="s">
        <v>3262</v>
      </c>
      <c r="E2472" s="16">
        <v>3.0</v>
      </c>
      <c r="F2472" s="18" t="s">
        <v>2427</v>
      </c>
    </row>
    <row r="2473">
      <c r="A2473" s="5" t="s">
        <v>3181</v>
      </c>
      <c r="B2473" s="6">
        <v>1.0</v>
      </c>
      <c r="C2473" s="7">
        <v>13.0</v>
      </c>
      <c r="D2473" s="6" t="s">
        <v>3245</v>
      </c>
      <c r="E2473" s="16">
        <v>3.0</v>
      </c>
      <c r="F2473" s="18" t="s">
        <v>2428</v>
      </c>
    </row>
    <row r="2474">
      <c r="A2474" s="5" t="s">
        <v>3177</v>
      </c>
      <c r="B2474" s="6">
        <v>5.0</v>
      </c>
      <c r="C2474" s="7">
        <v>197.0</v>
      </c>
      <c r="D2474" s="6" t="s">
        <v>3173</v>
      </c>
      <c r="E2474" s="16">
        <v>3.0</v>
      </c>
      <c r="F2474" s="18" t="s">
        <v>2429</v>
      </c>
    </row>
    <row r="2475">
      <c r="A2475" s="5" t="s">
        <v>3267</v>
      </c>
      <c r="B2475" s="6">
        <v>3.0</v>
      </c>
      <c r="C2475" s="7">
        <v>42.0</v>
      </c>
      <c r="D2475" s="6" t="s">
        <v>3182</v>
      </c>
      <c r="E2475" s="16">
        <v>3.0</v>
      </c>
      <c r="F2475" s="18" t="s">
        <v>2430</v>
      </c>
    </row>
    <row r="2476">
      <c r="A2476" s="5" t="s">
        <v>3267</v>
      </c>
      <c r="B2476" s="6">
        <v>3.0</v>
      </c>
      <c r="C2476" s="7">
        <v>24.0</v>
      </c>
      <c r="D2476" s="6" t="s">
        <v>3194</v>
      </c>
      <c r="E2476" s="16">
        <v>2.0</v>
      </c>
      <c r="F2476" s="18" t="s">
        <v>2431</v>
      </c>
    </row>
    <row r="2477">
      <c r="A2477" s="5" t="s">
        <v>3268</v>
      </c>
      <c r="B2477" s="6">
        <v>1.0</v>
      </c>
      <c r="C2477" s="7">
        <v>160.0</v>
      </c>
      <c r="D2477" s="6" t="s">
        <v>3239</v>
      </c>
      <c r="E2477" s="16">
        <v>2.0</v>
      </c>
      <c r="F2477" s="18" t="s">
        <v>2432</v>
      </c>
    </row>
    <row r="2478">
      <c r="A2478" s="5" t="s">
        <v>3244</v>
      </c>
      <c r="B2478" s="6">
        <v>1.0</v>
      </c>
      <c r="C2478" s="7">
        <v>190.0</v>
      </c>
      <c r="D2478" s="6" t="s">
        <v>3186</v>
      </c>
      <c r="E2478" s="16">
        <v>2.0</v>
      </c>
      <c r="F2478" s="18" t="s">
        <v>2433</v>
      </c>
    </row>
    <row r="2479">
      <c r="A2479" s="5" t="s">
        <v>3265</v>
      </c>
      <c r="B2479" s="6">
        <v>1.0</v>
      </c>
      <c r="C2479" s="7">
        <v>150.0</v>
      </c>
      <c r="D2479" s="6" t="s">
        <v>3167</v>
      </c>
      <c r="E2479" s="16">
        <v>2.0</v>
      </c>
      <c r="F2479" s="18" t="s">
        <v>2434</v>
      </c>
    </row>
    <row r="2480">
      <c r="A2480" s="5" t="s">
        <v>3212</v>
      </c>
      <c r="B2480" s="6">
        <v>6.0</v>
      </c>
      <c r="C2480" s="7">
        <v>108.0</v>
      </c>
      <c r="D2480" s="6" t="s">
        <v>3198</v>
      </c>
      <c r="E2480" s="16">
        <v>2.0</v>
      </c>
      <c r="F2480" s="18" t="s">
        <v>2435</v>
      </c>
    </row>
    <row r="2481">
      <c r="A2481" s="5" t="s">
        <v>3267</v>
      </c>
      <c r="B2481" s="6">
        <v>3.0</v>
      </c>
      <c r="C2481" s="7">
        <v>33.0</v>
      </c>
      <c r="D2481" s="6" t="s">
        <v>3225</v>
      </c>
      <c r="E2481" s="16">
        <v>2.0</v>
      </c>
      <c r="F2481" s="18" t="s">
        <v>2436</v>
      </c>
    </row>
    <row r="2482">
      <c r="A2482" s="5" t="s">
        <v>3246</v>
      </c>
      <c r="B2482" s="6">
        <v>4.0</v>
      </c>
      <c r="C2482" s="7">
        <v>172.0</v>
      </c>
      <c r="D2482" s="6" t="s">
        <v>3178</v>
      </c>
      <c r="E2482" s="16">
        <v>2.0</v>
      </c>
      <c r="F2482" s="18" t="s">
        <v>2437</v>
      </c>
    </row>
    <row r="2483">
      <c r="A2483" s="5" t="s">
        <v>3189</v>
      </c>
      <c r="B2483" s="6">
        <v>6.0</v>
      </c>
      <c r="C2483" s="7">
        <v>23.0</v>
      </c>
      <c r="D2483" s="6" t="s">
        <v>3219</v>
      </c>
      <c r="E2483" s="16">
        <v>2.0</v>
      </c>
      <c r="F2483" s="18" t="s">
        <v>40</v>
      </c>
    </row>
    <row r="2484">
      <c r="A2484" s="5" t="s">
        <v>3220</v>
      </c>
      <c r="B2484" s="6">
        <v>6.0</v>
      </c>
      <c r="C2484" s="7">
        <v>109.0</v>
      </c>
      <c r="D2484" s="6" t="s">
        <v>3249</v>
      </c>
      <c r="E2484" s="16">
        <v>2.0</v>
      </c>
      <c r="F2484" s="18" t="s">
        <v>2438</v>
      </c>
    </row>
    <row r="2485">
      <c r="A2485" s="5" t="s">
        <v>3228</v>
      </c>
      <c r="B2485" s="6">
        <v>6.0</v>
      </c>
      <c r="C2485" s="7">
        <v>108.0</v>
      </c>
      <c r="D2485" s="6" t="s">
        <v>3198</v>
      </c>
      <c r="E2485" s="16">
        <v>2.0</v>
      </c>
      <c r="F2485" s="18" t="s">
        <v>2439</v>
      </c>
    </row>
    <row r="2486">
      <c r="A2486" s="5" t="s">
        <v>3236</v>
      </c>
      <c r="B2486" s="6">
        <v>6.0</v>
      </c>
      <c r="C2486" s="7">
        <v>72.0</v>
      </c>
      <c r="D2486" s="6" t="s">
        <v>3171</v>
      </c>
      <c r="E2486" s="16">
        <v>2.0</v>
      </c>
      <c r="F2486" s="18" t="s">
        <v>2440</v>
      </c>
    </row>
    <row r="2487">
      <c r="A2487" s="5" t="s">
        <v>3209</v>
      </c>
      <c r="B2487" s="6">
        <v>4.0</v>
      </c>
      <c r="C2487" s="7">
        <v>96.0</v>
      </c>
      <c r="D2487" s="6" t="s">
        <v>3190</v>
      </c>
      <c r="E2487" s="16">
        <v>1.0</v>
      </c>
      <c r="F2487" s="18" t="s">
        <v>2441</v>
      </c>
    </row>
    <row r="2488">
      <c r="A2488" s="5" t="s">
        <v>3251</v>
      </c>
      <c r="B2488" s="6">
        <v>6.0</v>
      </c>
      <c r="C2488" s="7">
        <v>56.0</v>
      </c>
      <c r="D2488" s="6" t="s">
        <v>3186</v>
      </c>
      <c r="E2488" s="16">
        <v>1.0</v>
      </c>
      <c r="F2488" s="18" t="s">
        <v>2442</v>
      </c>
    </row>
    <row r="2489">
      <c r="A2489" s="5" t="s">
        <v>3168</v>
      </c>
      <c r="B2489" s="6">
        <v>1.0</v>
      </c>
      <c r="C2489" s="7">
        <v>151.0</v>
      </c>
      <c r="D2489" s="6" t="s">
        <v>3232</v>
      </c>
      <c r="E2489" s="16">
        <v>1.0</v>
      </c>
      <c r="F2489" s="18" t="s">
        <v>2443</v>
      </c>
    </row>
    <row r="2490">
      <c r="A2490" s="5" t="s">
        <v>3251</v>
      </c>
      <c r="B2490" s="6">
        <v>6.0</v>
      </c>
      <c r="C2490" s="7">
        <v>113.0</v>
      </c>
      <c r="D2490" s="6" t="s">
        <v>3207</v>
      </c>
      <c r="E2490" s="16">
        <v>1.0</v>
      </c>
      <c r="F2490" s="18" t="s">
        <v>2444</v>
      </c>
    </row>
    <row r="2491">
      <c r="A2491" s="5" t="s">
        <v>3255</v>
      </c>
      <c r="B2491" s="6">
        <v>6.0</v>
      </c>
      <c r="C2491" s="7">
        <v>190.0</v>
      </c>
      <c r="D2491" s="6" t="s">
        <v>3186</v>
      </c>
      <c r="E2491" s="16">
        <v>1.0</v>
      </c>
      <c r="F2491" s="18" t="s">
        <v>2445</v>
      </c>
    </row>
    <row r="2492">
      <c r="A2492" s="5" t="s">
        <v>3193</v>
      </c>
      <c r="B2492" s="6">
        <v>5.0</v>
      </c>
      <c r="C2492" s="7">
        <v>86.0</v>
      </c>
      <c r="D2492" s="6" t="s">
        <v>3245</v>
      </c>
      <c r="E2492" s="16">
        <v>1.0</v>
      </c>
      <c r="F2492" s="18" t="s">
        <v>2446</v>
      </c>
    </row>
    <row r="2493">
      <c r="A2493" s="5" t="s">
        <v>3216</v>
      </c>
      <c r="B2493" s="6">
        <v>6.0</v>
      </c>
      <c r="C2493" s="7">
        <v>134.0</v>
      </c>
      <c r="D2493" s="6" t="s">
        <v>3239</v>
      </c>
      <c r="E2493" s="16">
        <v>1.0</v>
      </c>
      <c r="F2493" s="18" t="s">
        <v>2447</v>
      </c>
    </row>
    <row r="2494">
      <c r="A2494" s="5" t="s">
        <v>3266</v>
      </c>
      <c r="B2494" s="6">
        <v>3.0</v>
      </c>
      <c r="C2494" s="7">
        <v>97.0</v>
      </c>
      <c r="D2494" s="6" t="s">
        <v>3194</v>
      </c>
      <c r="E2494" s="16">
        <v>1.0</v>
      </c>
      <c r="F2494" s="18" t="s">
        <v>2448</v>
      </c>
    </row>
    <row r="2495">
      <c r="A2495" s="5" t="s">
        <v>3199</v>
      </c>
      <c r="B2495" s="6">
        <v>3.0</v>
      </c>
      <c r="C2495" s="7">
        <v>172.0</v>
      </c>
      <c r="D2495" s="6" t="s">
        <v>3178</v>
      </c>
      <c r="E2495" s="16">
        <v>1.0</v>
      </c>
      <c r="F2495" s="18" t="s">
        <v>2449</v>
      </c>
    </row>
    <row r="2496">
      <c r="A2496" s="5" t="s">
        <v>3191</v>
      </c>
      <c r="B2496" s="6">
        <v>5.0</v>
      </c>
      <c r="C2496" s="7">
        <v>74.0</v>
      </c>
      <c r="D2496" s="6" t="s">
        <v>3190</v>
      </c>
      <c r="E2496" s="16">
        <v>1.0</v>
      </c>
      <c r="F2496" s="18" t="s">
        <v>2450</v>
      </c>
    </row>
    <row r="2497">
      <c r="A2497" s="5" t="s">
        <v>3268</v>
      </c>
      <c r="B2497" s="6">
        <v>1.0</v>
      </c>
      <c r="C2497" s="7">
        <v>165.0</v>
      </c>
      <c r="D2497" s="6" t="s">
        <v>3196</v>
      </c>
      <c r="E2497" s="16">
        <v>1.0</v>
      </c>
      <c r="F2497" s="18" t="s">
        <v>2451</v>
      </c>
    </row>
    <row r="2498">
      <c r="A2498" s="5" t="s">
        <v>3206</v>
      </c>
      <c r="B2498" s="6">
        <v>6.0</v>
      </c>
      <c r="C2498" s="7">
        <v>157.0</v>
      </c>
      <c r="D2498" s="6" t="s">
        <v>3219</v>
      </c>
      <c r="E2498" s="16">
        <v>1.0</v>
      </c>
      <c r="F2498" s="18" t="s">
        <v>2452</v>
      </c>
    </row>
    <row r="2499">
      <c r="A2499" s="5" t="s">
        <v>3252</v>
      </c>
      <c r="B2499" s="6">
        <v>6.0</v>
      </c>
      <c r="C2499" s="7">
        <v>139.0</v>
      </c>
      <c r="D2499" s="6" t="s">
        <v>3182</v>
      </c>
      <c r="E2499" s="16">
        <v>1.0</v>
      </c>
      <c r="F2499" s="18" t="s">
        <v>2453</v>
      </c>
    </row>
    <row r="2500">
      <c r="A2500" s="5" t="s">
        <v>3244</v>
      </c>
      <c r="B2500" s="6">
        <v>1.0</v>
      </c>
      <c r="C2500" s="7">
        <v>131.0</v>
      </c>
      <c r="D2500" s="6" t="s">
        <v>3227</v>
      </c>
      <c r="E2500" s="16">
        <v>1.0</v>
      </c>
      <c r="F2500" s="18" t="s">
        <v>2454</v>
      </c>
    </row>
    <row r="2501">
      <c r="A2501" s="5" t="s">
        <v>3230</v>
      </c>
      <c r="B2501" s="6">
        <v>1.0</v>
      </c>
      <c r="C2501" s="7">
        <v>54.0</v>
      </c>
      <c r="D2501" s="6" t="s">
        <v>3215</v>
      </c>
      <c r="E2501" s="16">
        <v>1.0</v>
      </c>
      <c r="F2501" s="18" t="s">
        <v>2455</v>
      </c>
    </row>
    <row r="2502">
      <c r="A2502" s="5" t="s">
        <v>3255</v>
      </c>
      <c r="B2502" s="6">
        <v>6.0</v>
      </c>
      <c r="C2502" s="7">
        <v>112.0</v>
      </c>
      <c r="D2502" s="6" t="s">
        <v>3227</v>
      </c>
      <c r="E2502" s="16">
        <v>5.0</v>
      </c>
      <c r="F2502" s="18" t="s">
        <v>2456</v>
      </c>
    </row>
    <row r="2503">
      <c r="A2503" s="5" t="s">
        <v>3264</v>
      </c>
      <c r="B2503" s="6">
        <v>4.0</v>
      </c>
      <c r="C2503" s="7">
        <v>140.0</v>
      </c>
      <c r="D2503" s="6" t="s">
        <v>3190</v>
      </c>
      <c r="E2503" s="16">
        <v>5.0</v>
      </c>
      <c r="F2503" s="18" t="s">
        <v>2457</v>
      </c>
    </row>
    <row r="2504">
      <c r="A2504" s="5" t="s">
        <v>3170</v>
      </c>
      <c r="B2504" s="6">
        <v>1.0</v>
      </c>
      <c r="C2504" s="7">
        <v>134.0</v>
      </c>
      <c r="D2504" s="6" t="s">
        <v>3239</v>
      </c>
      <c r="E2504" s="16">
        <v>5.0</v>
      </c>
      <c r="F2504" s="18" t="s">
        <v>2458</v>
      </c>
    </row>
    <row r="2505">
      <c r="A2505" s="5" t="s">
        <v>3269</v>
      </c>
      <c r="B2505" s="6">
        <v>6.0</v>
      </c>
      <c r="C2505" s="7">
        <v>173.0</v>
      </c>
      <c r="D2505" s="6" t="s">
        <v>3167</v>
      </c>
      <c r="E2505" s="16">
        <v>5.0</v>
      </c>
      <c r="F2505" s="18" t="s">
        <v>2459</v>
      </c>
    </row>
    <row r="2506">
      <c r="A2506" s="5" t="s">
        <v>3247</v>
      </c>
      <c r="B2506" s="6">
        <v>6.0</v>
      </c>
      <c r="C2506" s="7">
        <v>174.0</v>
      </c>
      <c r="D2506" s="6" t="s">
        <v>3188</v>
      </c>
      <c r="E2506" s="16">
        <v>5.0</v>
      </c>
      <c r="F2506" s="18" t="s">
        <v>2460</v>
      </c>
    </row>
    <row r="2507">
      <c r="A2507" s="5" t="s">
        <v>3204</v>
      </c>
      <c r="B2507" s="6">
        <v>1.0</v>
      </c>
      <c r="C2507" s="7">
        <v>136.0</v>
      </c>
      <c r="D2507" s="6" t="s">
        <v>3221</v>
      </c>
      <c r="E2507" s="16">
        <v>5.0</v>
      </c>
      <c r="F2507" s="18" t="s">
        <v>2461</v>
      </c>
    </row>
    <row r="2508">
      <c r="A2508" s="5" t="s">
        <v>3226</v>
      </c>
      <c r="B2508" s="6">
        <v>1.0</v>
      </c>
      <c r="C2508" s="7">
        <v>14.0</v>
      </c>
      <c r="D2508" s="6" t="s">
        <v>3196</v>
      </c>
      <c r="E2508" s="16">
        <v>5.0</v>
      </c>
      <c r="F2508" s="18" t="s">
        <v>2462</v>
      </c>
    </row>
    <row r="2509">
      <c r="A2509" s="5" t="s">
        <v>3270</v>
      </c>
      <c r="B2509" s="6">
        <v>3.0</v>
      </c>
      <c r="C2509" s="7">
        <v>170.0</v>
      </c>
      <c r="D2509" s="6" t="s">
        <v>3182</v>
      </c>
      <c r="E2509" s="16">
        <v>5.0</v>
      </c>
      <c r="F2509" s="18" t="s">
        <v>2463</v>
      </c>
    </row>
    <row r="2510">
      <c r="A2510" s="5" t="s">
        <v>3259</v>
      </c>
      <c r="B2510" s="6">
        <v>6.0</v>
      </c>
      <c r="C2510" s="7">
        <v>111.0</v>
      </c>
      <c r="D2510" s="6" t="s">
        <v>3235</v>
      </c>
      <c r="E2510" s="16">
        <v>5.0</v>
      </c>
      <c r="F2510" s="18" t="s">
        <v>2464</v>
      </c>
    </row>
    <row r="2511">
      <c r="A2511" s="5" t="s">
        <v>3255</v>
      </c>
      <c r="B2511" s="6">
        <v>6.0</v>
      </c>
      <c r="C2511" s="7">
        <v>110.0</v>
      </c>
      <c r="D2511" s="6" t="s">
        <v>3211</v>
      </c>
      <c r="E2511" s="16">
        <v>4.0</v>
      </c>
      <c r="F2511" s="18" t="s">
        <v>2465</v>
      </c>
    </row>
    <row r="2512">
      <c r="A2512" s="5" t="s">
        <v>3206</v>
      </c>
      <c r="B2512" s="6">
        <v>6.0</v>
      </c>
      <c r="C2512" s="7">
        <v>124.0</v>
      </c>
      <c r="D2512" s="6" t="s">
        <v>3238</v>
      </c>
      <c r="E2512" s="16">
        <v>4.0</v>
      </c>
      <c r="F2512" s="18" t="s">
        <v>2466</v>
      </c>
    </row>
    <row r="2513">
      <c r="A2513" s="5" t="s">
        <v>3197</v>
      </c>
      <c r="B2513" s="6">
        <v>1.0</v>
      </c>
      <c r="C2513" s="7">
        <v>111.0</v>
      </c>
      <c r="D2513" s="6" t="s">
        <v>3235</v>
      </c>
      <c r="E2513" s="16">
        <v>4.0</v>
      </c>
      <c r="F2513" s="18" t="s">
        <v>2467</v>
      </c>
    </row>
    <row r="2514">
      <c r="A2514" s="5" t="s">
        <v>3174</v>
      </c>
      <c r="B2514" s="6">
        <v>1.0</v>
      </c>
      <c r="C2514" s="7">
        <v>97.0</v>
      </c>
      <c r="D2514" s="6" t="s">
        <v>3194</v>
      </c>
      <c r="E2514" s="16">
        <v>4.0</v>
      </c>
      <c r="F2514" s="18" t="s">
        <v>2468</v>
      </c>
    </row>
    <row r="2515">
      <c r="A2515" s="5" t="s">
        <v>3185</v>
      </c>
      <c r="B2515" s="6">
        <v>1.0</v>
      </c>
      <c r="C2515" s="7">
        <v>90.0</v>
      </c>
      <c r="D2515" s="6" t="s">
        <v>3178</v>
      </c>
      <c r="E2515" s="16">
        <v>4.0</v>
      </c>
      <c r="F2515" s="18" t="s">
        <v>2469</v>
      </c>
    </row>
    <row r="2516">
      <c r="A2516" s="5" t="s">
        <v>3268</v>
      </c>
      <c r="B2516" s="6">
        <v>1.0</v>
      </c>
      <c r="C2516" s="7">
        <v>140.0</v>
      </c>
      <c r="D2516" s="6" t="s">
        <v>3190</v>
      </c>
      <c r="E2516" s="16">
        <v>3.0</v>
      </c>
      <c r="F2516" s="18" t="s">
        <v>2470</v>
      </c>
    </row>
    <row r="2517">
      <c r="A2517" s="5" t="s">
        <v>3252</v>
      </c>
      <c r="B2517" s="6">
        <v>6.0</v>
      </c>
      <c r="C2517" s="7">
        <v>153.0</v>
      </c>
      <c r="D2517" s="6" t="s">
        <v>3180</v>
      </c>
      <c r="E2517" s="16">
        <v>3.0</v>
      </c>
      <c r="F2517" s="18" t="s">
        <v>2471</v>
      </c>
    </row>
    <row r="2518">
      <c r="A2518" s="5" t="s">
        <v>3236</v>
      </c>
      <c r="B2518" s="6">
        <v>6.0</v>
      </c>
      <c r="C2518" s="7">
        <v>195.0</v>
      </c>
      <c r="D2518" s="6" t="s">
        <v>3239</v>
      </c>
      <c r="E2518" s="16">
        <v>3.0</v>
      </c>
      <c r="F2518" s="18" t="s">
        <v>2472</v>
      </c>
    </row>
    <row r="2519">
      <c r="A2519" s="5" t="s">
        <v>3244</v>
      </c>
      <c r="B2519" s="6">
        <v>1.0</v>
      </c>
      <c r="C2519" s="7">
        <v>98.0</v>
      </c>
      <c r="D2519" s="6" t="s">
        <v>3211</v>
      </c>
      <c r="E2519" s="16">
        <v>3.0</v>
      </c>
      <c r="F2519" s="18" t="s">
        <v>2473</v>
      </c>
    </row>
    <row r="2520">
      <c r="A2520" s="5" t="s">
        <v>3251</v>
      </c>
      <c r="B2520" s="6">
        <v>6.0</v>
      </c>
      <c r="C2520" s="7">
        <v>15.0</v>
      </c>
      <c r="D2520" s="6" t="s">
        <v>3254</v>
      </c>
      <c r="E2520" s="16">
        <v>3.0</v>
      </c>
      <c r="F2520" s="18" t="s">
        <v>2474</v>
      </c>
    </row>
    <row r="2521">
      <c r="A2521" s="5" t="s">
        <v>3270</v>
      </c>
      <c r="B2521" s="6">
        <v>3.0</v>
      </c>
      <c r="C2521" s="7">
        <v>80.0</v>
      </c>
      <c r="D2521" s="6" t="s">
        <v>3180</v>
      </c>
      <c r="E2521" s="16">
        <v>2.0</v>
      </c>
      <c r="F2521" s="18" t="s">
        <v>2475</v>
      </c>
    </row>
    <row r="2522">
      <c r="A2522" s="5" t="s">
        <v>3231</v>
      </c>
      <c r="B2522" s="6">
        <v>4.0</v>
      </c>
      <c r="C2522" s="7">
        <v>193.0</v>
      </c>
      <c r="D2522" s="6" t="s">
        <v>3249</v>
      </c>
      <c r="E2522" s="16">
        <v>2.0</v>
      </c>
      <c r="F2522" s="18" t="s">
        <v>2476</v>
      </c>
    </row>
    <row r="2523">
      <c r="A2523" s="5" t="s">
        <v>3230</v>
      </c>
      <c r="B2523" s="6">
        <v>1.0</v>
      </c>
      <c r="C2523" s="7">
        <v>99.0</v>
      </c>
      <c r="D2523" s="6" t="s">
        <v>3200</v>
      </c>
      <c r="E2523" s="16">
        <v>2.0</v>
      </c>
      <c r="F2523" s="18" t="s">
        <v>2477</v>
      </c>
    </row>
    <row r="2524">
      <c r="A2524" s="5" t="s">
        <v>3181</v>
      </c>
      <c r="B2524" s="6">
        <v>1.0</v>
      </c>
      <c r="C2524" s="7">
        <v>162.0</v>
      </c>
      <c r="D2524" s="6" t="s">
        <v>3257</v>
      </c>
      <c r="E2524" s="16">
        <v>2.0</v>
      </c>
      <c r="F2524" s="18" t="s">
        <v>2478</v>
      </c>
    </row>
    <row r="2525">
      <c r="A2525" s="5" t="s">
        <v>3175</v>
      </c>
      <c r="B2525" s="6">
        <v>5.0</v>
      </c>
      <c r="C2525" s="7">
        <v>169.0</v>
      </c>
      <c r="D2525" s="6" t="s">
        <v>3200</v>
      </c>
      <c r="E2525" s="16">
        <v>1.0</v>
      </c>
      <c r="F2525" s="18" t="s">
        <v>2479</v>
      </c>
    </row>
    <row r="2526">
      <c r="A2526" s="5" t="s">
        <v>3260</v>
      </c>
      <c r="B2526" s="6">
        <v>1.0</v>
      </c>
      <c r="C2526" s="7">
        <v>171.0</v>
      </c>
      <c r="D2526" s="6" t="s">
        <v>3245</v>
      </c>
      <c r="E2526" s="16">
        <v>1.0</v>
      </c>
      <c r="F2526" s="18" t="s">
        <v>2480</v>
      </c>
    </row>
    <row r="2527">
      <c r="A2527" s="5" t="s">
        <v>3253</v>
      </c>
      <c r="B2527" s="6">
        <v>1.0</v>
      </c>
      <c r="C2527" s="7">
        <v>96.0</v>
      </c>
      <c r="D2527" s="6" t="s">
        <v>3190</v>
      </c>
      <c r="E2527" s="16">
        <v>1.0</v>
      </c>
      <c r="F2527" s="18" t="s">
        <v>2481</v>
      </c>
    </row>
    <row r="2528">
      <c r="A2528" s="5" t="s">
        <v>3247</v>
      </c>
      <c r="B2528" s="6">
        <v>6.0</v>
      </c>
      <c r="C2528" s="7">
        <v>44.0</v>
      </c>
      <c r="D2528" s="6" t="s">
        <v>3239</v>
      </c>
      <c r="E2528" s="16">
        <v>1.0</v>
      </c>
      <c r="F2528" s="18" t="s">
        <v>2482</v>
      </c>
    </row>
    <row r="2529">
      <c r="A2529" s="5" t="s">
        <v>3216</v>
      </c>
      <c r="B2529" s="6">
        <v>6.0</v>
      </c>
      <c r="C2529" s="7">
        <v>87.0</v>
      </c>
      <c r="D2529" s="6" t="s">
        <v>3227</v>
      </c>
      <c r="E2529" s="16">
        <v>1.0</v>
      </c>
      <c r="F2529" s="18" t="s">
        <v>2483</v>
      </c>
    </row>
    <row r="2530">
      <c r="A2530" s="5" t="s">
        <v>3247</v>
      </c>
      <c r="B2530" s="6">
        <v>6.0</v>
      </c>
      <c r="C2530" s="7">
        <v>91.0</v>
      </c>
      <c r="D2530" s="6" t="s">
        <v>3178</v>
      </c>
      <c r="E2530" s="16">
        <v>1.0</v>
      </c>
      <c r="F2530" s="18" t="s">
        <v>2484</v>
      </c>
    </row>
    <row r="2531">
      <c r="A2531" s="5" t="s">
        <v>3228</v>
      </c>
      <c r="B2531" s="6">
        <v>6.0</v>
      </c>
      <c r="C2531" s="7">
        <v>161.0</v>
      </c>
      <c r="D2531" s="6" t="s">
        <v>3192</v>
      </c>
      <c r="E2531" s="16">
        <v>1.0</v>
      </c>
      <c r="F2531" s="18" t="s">
        <v>2485</v>
      </c>
    </row>
    <row r="2532">
      <c r="A2532" s="5" t="s">
        <v>3252</v>
      </c>
      <c r="B2532" s="6">
        <v>6.0</v>
      </c>
      <c r="C2532" s="7">
        <v>71.0</v>
      </c>
      <c r="D2532" s="6" t="s">
        <v>3176</v>
      </c>
      <c r="E2532" s="16">
        <v>1.0</v>
      </c>
      <c r="F2532" s="18" t="s">
        <v>2486</v>
      </c>
    </row>
    <row r="2533">
      <c r="A2533" s="5" t="s">
        <v>3263</v>
      </c>
      <c r="B2533" s="6">
        <v>1.0</v>
      </c>
      <c r="C2533" s="7">
        <v>93.0</v>
      </c>
      <c r="D2533" s="6" t="s">
        <v>3221</v>
      </c>
      <c r="E2533" s="16">
        <v>1.0</v>
      </c>
      <c r="F2533" s="18" t="s">
        <v>2487</v>
      </c>
    </row>
    <row r="2534">
      <c r="A2534" s="5" t="s">
        <v>3263</v>
      </c>
      <c r="B2534" s="6">
        <v>1.0</v>
      </c>
      <c r="C2534" s="7">
        <v>11.0</v>
      </c>
      <c r="D2534" s="6" t="s">
        <v>3180</v>
      </c>
      <c r="E2534" s="16">
        <v>1.0</v>
      </c>
      <c r="F2534" s="18" t="s">
        <v>1172</v>
      </c>
    </row>
    <row r="2535">
      <c r="A2535" s="5" t="s">
        <v>3218</v>
      </c>
      <c r="B2535" s="6">
        <v>5.0</v>
      </c>
      <c r="C2535" s="7">
        <v>104.0</v>
      </c>
      <c r="D2535" s="6" t="s">
        <v>3257</v>
      </c>
      <c r="E2535" s="16">
        <v>5.0</v>
      </c>
      <c r="F2535" s="18" t="s">
        <v>2488</v>
      </c>
    </row>
    <row r="2536">
      <c r="A2536" s="5" t="s">
        <v>3193</v>
      </c>
      <c r="B2536" s="6">
        <v>5.0</v>
      </c>
      <c r="C2536" s="7">
        <v>58.0</v>
      </c>
      <c r="D2536" s="6" t="s">
        <v>3257</v>
      </c>
      <c r="E2536" s="16">
        <v>5.0</v>
      </c>
      <c r="F2536" s="18" t="s">
        <v>2489</v>
      </c>
    </row>
    <row r="2537">
      <c r="A2537" s="5" t="s">
        <v>3250</v>
      </c>
      <c r="B2537" s="6">
        <v>4.0</v>
      </c>
      <c r="C2537" s="7">
        <v>45.0</v>
      </c>
      <c r="D2537" s="6" t="s">
        <v>3241</v>
      </c>
      <c r="E2537" s="16">
        <v>5.0</v>
      </c>
      <c r="F2537" s="18" t="s">
        <v>2490</v>
      </c>
    </row>
    <row r="2538">
      <c r="A2538" s="5" t="s">
        <v>3216</v>
      </c>
      <c r="B2538" s="6">
        <v>6.0</v>
      </c>
      <c r="C2538" s="7">
        <v>6.0</v>
      </c>
      <c r="D2538" s="6" t="s">
        <v>3180</v>
      </c>
      <c r="E2538" s="16">
        <v>5.0</v>
      </c>
      <c r="F2538" s="18" t="s">
        <v>2491</v>
      </c>
    </row>
    <row r="2539">
      <c r="A2539" s="5" t="s">
        <v>3229</v>
      </c>
      <c r="B2539" s="6">
        <v>4.0</v>
      </c>
      <c r="C2539" s="7">
        <v>144.0</v>
      </c>
      <c r="D2539" s="6" t="s">
        <v>3173</v>
      </c>
      <c r="E2539" s="16">
        <v>5.0</v>
      </c>
      <c r="F2539" s="18" t="s">
        <v>2492</v>
      </c>
    </row>
    <row r="2540">
      <c r="A2540" s="5" t="s">
        <v>3261</v>
      </c>
      <c r="B2540" s="6">
        <v>4.0</v>
      </c>
      <c r="C2540" s="7">
        <v>128.0</v>
      </c>
      <c r="D2540" s="6" t="s">
        <v>3211</v>
      </c>
      <c r="E2540" s="16">
        <v>5.0</v>
      </c>
      <c r="F2540" s="18" t="s">
        <v>2493</v>
      </c>
    </row>
    <row r="2541">
      <c r="A2541" s="5" t="s">
        <v>3199</v>
      </c>
      <c r="B2541" s="6">
        <v>3.0</v>
      </c>
      <c r="C2541" s="7">
        <v>86.0</v>
      </c>
      <c r="D2541" s="6" t="s">
        <v>3245</v>
      </c>
      <c r="E2541" s="16">
        <v>5.0</v>
      </c>
      <c r="F2541" s="18" t="s">
        <v>2494</v>
      </c>
    </row>
    <row r="2542">
      <c r="A2542" s="5" t="s">
        <v>3267</v>
      </c>
      <c r="B2542" s="6">
        <v>3.0</v>
      </c>
      <c r="C2542" s="7">
        <v>62.0</v>
      </c>
      <c r="D2542" s="6" t="s">
        <v>3200</v>
      </c>
      <c r="E2542" s="16">
        <v>5.0</v>
      </c>
      <c r="F2542" s="18" t="s">
        <v>2495</v>
      </c>
    </row>
    <row r="2543">
      <c r="A2543" s="5" t="s">
        <v>3187</v>
      </c>
      <c r="B2543" s="6">
        <v>4.0</v>
      </c>
      <c r="C2543" s="7">
        <v>22.0</v>
      </c>
      <c r="D2543" s="6" t="s">
        <v>3167</v>
      </c>
      <c r="E2543" s="16">
        <v>5.0</v>
      </c>
      <c r="F2543" s="18" t="s">
        <v>2496</v>
      </c>
    </row>
    <row r="2544">
      <c r="A2544" s="5" t="s">
        <v>3233</v>
      </c>
      <c r="B2544" s="6">
        <v>6.0</v>
      </c>
      <c r="C2544" s="7">
        <v>182.0</v>
      </c>
      <c r="D2544" s="6" t="s">
        <v>3238</v>
      </c>
      <c r="E2544" s="16">
        <v>5.0</v>
      </c>
      <c r="F2544" s="18" t="s">
        <v>2497</v>
      </c>
    </row>
    <row r="2545">
      <c r="A2545" s="5" t="s">
        <v>3253</v>
      </c>
      <c r="B2545" s="6">
        <v>1.0</v>
      </c>
      <c r="C2545" s="7">
        <v>166.0</v>
      </c>
      <c r="D2545" s="6" t="s">
        <v>3227</v>
      </c>
      <c r="E2545" s="16">
        <v>4.0</v>
      </c>
      <c r="F2545" s="18" t="s">
        <v>2498</v>
      </c>
    </row>
    <row r="2546">
      <c r="A2546" s="5" t="s">
        <v>3195</v>
      </c>
      <c r="B2546" s="6">
        <v>4.0</v>
      </c>
      <c r="C2546" s="7">
        <v>44.0</v>
      </c>
      <c r="D2546" s="6" t="s">
        <v>3239</v>
      </c>
      <c r="E2546" s="16">
        <v>4.0</v>
      </c>
      <c r="F2546" s="18" t="s">
        <v>2499</v>
      </c>
    </row>
    <row r="2547">
      <c r="A2547" s="5" t="s">
        <v>3181</v>
      </c>
      <c r="B2547" s="6">
        <v>1.0</v>
      </c>
      <c r="C2547" s="7">
        <v>143.0</v>
      </c>
      <c r="D2547" s="6" t="s">
        <v>3176</v>
      </c>
      <c r="E2547" s="16">
        <v>4.0</v>
      </c>
      <c r="F2547" s="18" t="s">
        <v>2500</v>
      </c>
    </row>
    <row r="2548">
      <c r="A2548" s="5" t="s">
        <v>3209</v>
      </c>
      <c r="B2548" s="6">
        <v>4.0</v>
      </c>
      <c r="C2548" s="7">
        <v>37.0</v>
      </c>
      <c r="D2548" s="6" t="s">
        <v>3194</v>
      </c>
      <c r="E2548" s="16">
        <v>4.0</v>
      </c>
      <c r="F2548" s="18" t="s">
        <v>2501</v>
      </c>
    </row>
    <row r="2549">
      <c r="A2549" s="5" t="s">
        <v>3202</v>
      </c>
      <c r="B2549" s="6">
        <v>4.0</v>
      </c>
      <c r="C2549" s="7">
        <v>86.0</v>
      </c>
      <c r="D2549" s="6" t="s">
        <v>3245</v>
      </c>
      <c r="E2549" s="16">
        <v>3.0</v>
      </c>
      <c r="F2549" s="18" t="s">
        <v>2502</v>
      </c>
    </row>
    <row r="2550">
      <c r="A2550" s="5" t="s">
        <v>3179</v>
      </c>
      <c r="B2550" s="6">
        <v>1.0</v>
      </c>
      <c r="C2550" s="7">
        <v>91.0</v>
      </c>
      <c r="D2550" s="6" t="s">
        <v>3178</v>
      </c>
      <c r="E2550" s="16">
        <v>3.0</v>
      </c>
      <c r="F2550" s="18" t="s">
        <v>2503</v>
      </c>
    </row>
    <row r="2551">
      <c r="A2551" s="5" t="s">
        <v>3179</v>
      </c>
      <c r="B2551" s="6">
        <v>1.0</v>
      </c>
      <c r="C2551" s="7">
        <v>158.0</v>
      </c>
      <c r="D2551" s="6" t="s">
        <v>3235</v>
      </c>
      <c r="E2551" s="16">
        <v>3.0</v>
      </c>
      <c r="F2551" s="18" t="s">
        <v>2504</v>
      </c>
    </row>
    <row r="2552">
      <c r="A2552" s="5" t="s">
        <v>3242</v>
      </c>
      <c r="B2552" s="6">
        <v>1.0</v>
      </c>
      <c r="C2552" s="7">
        <v>62.0</v>
      </c>
      <c r="D2552" s="6" t="s">
        <v>3200</v>
      </c>
      <c r="E2552" s="16">
        <v>3.0</v>
      </c>
      <c r="F2552" s="18" t="s">
        <v>2505</v>
      </c>
    </row>
    <row r="2553">
      <c r="A2553" s="5" t="s">
        <v>3191</v>
      </c>
      <c r="B2553" s="6">
        <v>5.0</v>
      </c>
      <c r="C2553" s="7">
        <v>96.0</v>
      </c>
      <c r="D2553" s="6" t="s">
        <v>3190</v>
      </c>
      <c r="E2553" s="16">
        <v>3.0</v>
      </c>
      <c r="F2553" s="18" t="s">
        <v>2506</v>
      </c>
    </row>
    <row r="2554">
      <c r="A2554" s="5" t="s">
        <v>3177</v>
      </c>
      <c r="B2554" s="6">
        <v>5.0</v>
      </c>
      <c r="C2554" s="7">
        <v>148.0</v>
      </c>
      <c r="D2554" s="6" t="s">
        <v>3262</v>
      </c>
      <c r="E2554" s="16">
        <v>2.0</v>
      </c>
      <c r="F2554" s="18" t="s">
        <v>2507</v>
      </c>
    </row>
    <row r="2555">
      <c r="A2555" s="5" t="s">
        <v>3170</v>
      </c>
      <c r="B2555" s="6">
        <v>1.0</v>
      </c>
      <c r="C2555" s="7">
        <v>190.0</v>
      </c>
      <c r="D2555" s="6" t="s">
        <v>3186</v>
      </c>
      <c r="E2555" s="16">
        <v>2.0</v>
      </c>
      <c r="F2555" s="18" t="s">
        <v>2508</v>
      </c>
    </row>
    <row r="2556">
      <c r="A2556" s="5" t="s">
        <v>3258</v>
      </c>
      <c r="B2556" s="6">
        <v>6.0</v>
      </c>
      <c r="C2556" s="7">
        <v>26.0</v>
      </c>
      <c r="D2556" s="6" t="s">
        <v>3188</v>
      </c>
      <c r="E2556" s="16">
        <v>2.0</v>
      </c>
      <c r="F2556" s="18" t="s">
        <v>2509</v>
      </c>
    </row>
    <row r="2557">
      <c r="A2557" s="5" t="s">
        <v>3168</v>
      </c>
      <c r="B2557" s="6">
        <v>1.0</v>
      </c>
      <c r="C2557" s="7">
        <v>189.0</v>
      </c>
      <c r="D2557" s="6" t="s">
        <v>3225</v>
      </c>
      <c r="E2557" s="16">
        <v>2.0</v>
      </c>
      <c r="F2557" s="18" t="s">
        <v>2510</v>
      </c>
    </row>
    <row r="2558">
      <c r="A2558" s="5" t="s">
        <v>3217</v>
      </c>
      <c r="B2558" s="6">
        <v>5.0</v>
      </c>
      <c r="C2558" s="7">
        <v>164.0</v>
      </c>
      <c r="D2558" s="6" t="s">
        <v>3232</v>
      </c>
      <c r="E2558" s="16">
        <v>2.0</v>
      </c>
      <c r="F2558" s="18" t="s">
        <v>2511</v>
      </c>
    </row>
    <row r="2559">
      <c r="A2559" s="5" t="s">
        <v>3223</v>
      </c>
      <c r="B2559" s="6">
        <v>3.0</v>
      </c>
      <c r="C2559" s="7">
        <v>149.0</v>
      </c>
      <c r="D2559" s="6" t="s">
        <v>3239</v>
      </c>
      <c r="E2559" s="16">
        <v>2.0</v>
      </c>
      <c r="F2559" s="18" t="s">
        <v>2512</v>
      </c>
    </row>
    <row r="2560">
      <c r="A2560" s="5" t="s">
        <v>3174</v>
      </c>
      <c r="B2560" s="6">
        <v>1.0</v>
      </c>
      <c r="C2560" s="7">
        <v>153.0</v>
      </c>
      <c r="D2560" s="6" t="s">
        <v>3180</v>
      </c>
      <c r="E2560" s="16">
        <v>2.0</v>
      </c>
      <c r="F2560" s="18" t="s">
        <v>2513</v>
      </c>
    </row>
    <row r="2561">
      <c r="A2561" s="5" t="s">
        <v>3229</v>
      </c>
      <c r="B2561" s="6">
        <v>4.0</v>
      </c>
      <c r="C2561" s="7">
        <v>5.0</v>
      </c>
      <c r="D2561" s="6" t="s">
        <v>3207</v>
      </c>
      <c r="E2561" s="16">
        <v>2.0</v>
      </c>
      <c r="F2561" s="18" t="s">
        <v>2514</v>
      </c>
    </row>
    <row r="2562">
      <c r="A2562" s="5" t="s">
        <v>3205</v>
      </c>
      <c r="B2562" s="6">
        <v>1.0</v>
      </c>
      <c r="C2562" s="7">
        <v>60.0</v>
      </c>
      <c r="D2562" s="6" t="s">
        <v>3196</v>
      </c>
      <c r="E2562" s="16">
        <v>2.0</v>
      </c>
      <c r="F2562" s="18" t="s">
        <v>2515</v>
      </c>
    </row>
    <row r="2563">
      <c r="A2563" s="5" t="s">
        <v>3172</v>
      </c>
      <c r="B2563" s="6">
        <v>1.0</v>
      </c>
      <c r="C2563" s="7">
        <v>147.0</v>
      </c>
      <c r="D2563" s="6" t="s">
        <v>3196</v>
      </c>
      <c r="E2563" s="16">
        <v>2.0</v>
      </c>
      <c r="F2563" s="18" t="s">
        <v>2516</v>
      </c>
    </row>
    <row r="2564">
      <c r="A2564" s="5" t="s">
        <v>3217</v>
      </c>
      <c r="B2564" s="6">
        <v>5.0</v>
      </c>
      <c r="C2564" s="7">
        <v>125.0</v>
      </c>
      <c r="D2564" s="6" t="s">
        <v>3180</v>
      </c>
      <c r="E2564" s="16">
        <v>1.0</v>
      </c>
      <c r="F2564" s="18" t="s">
        <v>2517</v>
      </c>
    </row>
    <row r="2565">
      <c r="A2565" s="5" t="s">
        <v>3201</v>
      </c>
      <c r="B2565" s="6">
        <v>5.0</v>
      </c>
      <c r="C2565" s="7">
        <v>173.0</v>
      </c>
      <c r="D2565" s="6" t="s">
        <v>3167</v>
      </c>
      <c r="E2565" s="16">
        <v>1.0</v>
      </c>
      <c r="F2565" s="18" t="s">
        <v>2518</v>
      </c>
    </row>
    <row r="2566">
      <c r="A2566" s="5" t="s">
        <v>3255</v>
      </c>
      <c r="B2566" s="6">
        <v>6.0</v>
      </c>
      <c r="C2566" s="7">
        <v>173.0</v>
      </c>
      <c r="D2566" s="6" t="s">
        <v>3167</v>
      </c>
      <c r="E2566" s="16">
        <v>1.0</v>
      </c>
      <c r="F2566" s="18" t="s">
        <v>2519</v>
      </c>
    </row>
    <row r="2567">
      <c r="A2567" s="5" t="s">
        <v>3259</v>
      </c>
      <c r="B2567" s="6">
        <v>6.0</v>
      </c>
      <c r="C2567" s="7">
        <v>144.0</v>
      </c>
      <c r="D2567" s="6" t="s">
        <v>3173</v>
      </c>
      <c r="E2567" s="16">
        <v>1.0</v>
      </c>
      <c r="F2567" s="18" t="s">
        <v>2520</v>
      </c>
    </row>
    <row r="2568">
      <c r="A2568" s="5" t="s">
        <v>3209</v>
      </c>
      <c r="B2568" s="6">
        <v>4.0</v>
      </c>
      <c r="C2568" s="7">
        <v>192.0</v>
      </c>
      <c r="D2568" s="6" t="s">
        <v>3186</v>
      </c>
      <c r="E2568" s="16">
        <v>1.0</v>
      </c>
      <c r="F2568" s="18" t="s">
        <v>2521</v>
      </c>
    </row>
    <row r="2569">
      <c r="A2569" s="5" t="s">
        <v>3226</v>
      </c>
      <c r="B2569" s="6">
        <v>1.0</v>
      </c>
      <c r="C2569" s="7">
        <v>109.0</v>
      </c>
      <c r="D2569" s="6" t="s">
        <v>3249</v>
      </c>
      <c r="E2569" s="16">
        <v>1.0</v>
      </c>
      <c r="F2569" s="18" t="s">
        <v>2522</v>
      </c>
    </row>
    <row r="2570">
      <c r="A2570" s="5" t="s">
        <v>3206</v>
      </c>
      <c r="B2570" s="6">
        <v>6.0</v>
      </c>
      <c r="C2570" s="7">
        <v>166.0</v>
      </c>
      <c r="D2570" s="6" t="s">
        <v>3227</v>
      </c>
      <c r="E2570" s="16">
        <v>1.0</v>
      </c>
      <c r="F2570" s="18" t="s">
        <v>2523</v>
      </c>
    </row>
    <row r="2571">
      <c r="A2571" s="5" t="s">
        <v>3193</v>
      </c>
      <c r="B2571" s="6">
        <v>5.0</v>
      </c>
      <c r="C2571" s="7">
        <v>57.0</v>
      </c>
      <c r="D2571" s="6" t="s">
        <v>3239</v>
      </c>
      <c r="E2571" s="16">
        <v>1.0</v>
      </c>
      <c r="F2571" s="18" t="s">
        <v>2524</v>
      </c>
    </row>
    <row r="2572">
      <c r="A2572" s="5" t="s">
        <v>3252</v>
      </c>
      <c r="B2572" s="6">
        <v>6.0</v>
      </c>
      <c r="C2572" s="7">
        <v>21.0</v>
      </c>
      <c r="D2572" s="6" t="s">
        <v>3200</v>
      </c>
      <c r="E2572" s="16">
        <v>1.0</v>
      </c>
      <c r="F2572" s="18" t="s">
        <v>2525</v>
      </c>
    </row>
    <row r="2573">
      <c r="A2573" s="5" t="s">
        <v>3266</v>
      </c>
      <c r="B2573" s="6">
        <v>3.0</v>
      </c>
      <c r="C2573" s="7">
        <v>35.0</v>
      </c>
      <c r="D2573" s="6" t="s">
        <v>3196</v>
      </c>
      <c r="E2573" s="16">
        <v>1.0</v>
      </c>
      <c r="F2573" s="18" t="s">
        <v>2526</v>
      </c>
    </row>
    <row r="2574">
      <c r="A2574" s="5" t="s">
        <v>3255</v>
      </c>
      <c r="B2574" s="6">
        <v>6.0</v>
      </c>
      <c r="C2574" s="7">
        <v>61.0</v>
      </c>
      <c r="D2574" s="6" t="s">
        <v>3249</v>
      </c>
      <c r="E2574" s="16">
        <v>5.0</v>
      </c>
      <c r="F2574" s="18" t="s">
        <v>2527</v>
      </c>
    </row>
    <row r="2575">
      <c r="A2575" s="5" t="s">
        <v>3181</v>
      </c>
      <c r="B2575" s="6">
        <v>1.0</v>
      </c>
      <c r="C2575" s="7">
        <v>160.0</v>
      </c>
      <c r="D2575" s="6" t="s">
        <v>3239</v>
      </c>
      <c r="E2575" s="16">
        <v>5.0</v>
      </c>
      <c r="F2575" s="18" t="s">
        <v>2528</v>
      </c>
    </row>
    <row r="2576">
      <c r="A2576" s="5" t="s">
        <v>3256</v>
      </c>
      <c r="B2576" s="6">
        <v>6.0</v>
      </c>
      <c r="C2576" s="7">
        <v>24.0</v>
      </c>
      <c r="D2576" s="6" t="s">
        <v>3194</v>
      </c>
      <c r="E2576" s="16">
        <v>5.0</v>
      </c>
      <c r="F2576" s="18" t="s">
        <v>2529</v>
      </c>
    </row>
    <row r="2577">
      <c r="A2577" s="5" t="s">
        <v>3195</v>
      </c>
      <c r="B2577" s="6">
        <v>4.0</v>
      </c>
      <c r="C2577" s="7">
        <v>122.0</v>
      </c>
      <c r="D2577" s="6" t="s">
        <v>3232</v>
      </c>
      <c r="E2577" s="16">
        <v>5.0</v>
      </c>
      <c r="F2577" s="18" t="s">
        <v>2530</v>
      </c>
    </row>
    <row r="2578">
      <c r="A2578" s="5" t="s">
        <v>3234</v>
      </c>
      <c r="B2578" s="6">
        <v>6.0</v>
      </c>
      <c r="C2578" s="7">
        <v>100.0</v>
      </c>
      <c r="D2578" s="6" t="s">
        <v>3196</v>
      </c>
      <c r="E2578" s="16">
        <v>5.0</v>
      </c>
      <c r="F2578" s="18" t="s">
        <v>2531</v>
      </c>
    </row>
    <row r="2579">
      <c r="A2579" s="5" t="s">
        <v>3168</v>
      </c>
      <c r="B2579" s="6">
        <v>1.0</v>
      </c>
      <c r="C2579" s="7">
        <v>85.0</v>
      </c>
      <c r="D2579" s="6" t="s">
        <v>3192</v>
      </c>
      <c r="E2579" s="16">
        <v>5.0</v>
      </c>
      <c r="F2579" s="18" t="s">
        <v>2532</v>
      </c>
    </row>
    <row r="2580">
      <c r="A2580" s="5" t="s">
        <v>3217</v>
      </c>
      <c r="B2580" s="6">
        <v>5.0</v>
      </c>
      <c r="C2580" s="7">
        <v>82.0</v>
      </c>
      <c r="D2580" s="6" t="s">
        <v>3190</v>
      </c>
      <c r="E2580" s="16">
        <v>5.0</v>
      </c>
      <c r="F2580" s="18" t="s">
        <v>2533</v>
      </c>
    </row>
    <row r="2581">
      <c r="A2581" s="5" t="s">
        <v>3250</v>
      </c>
      <c r="B2581" s="6">
        <v>4.0</v>
      </c>
      <c r="C2581" s="7">
        <v>105.0</v>
      </c>
      <c r="D2581" s="6" t="s">
        <v>3167</v>
      </c>
      <c r="E2581" s="16">
        <v>5.0</v>
      </c>
      <c r="F2581" s="18" t="s">
        <v>2534</v>
      </c>
    </row>
    <row r="2582">
      <c r="A2582" s="5" t="s">
        <v>3199</v>
      </c>
      <c r="B2582" s="6">
        <v>3.0</v>
      </c>
      <c r="C2582" s="7">
        <v>91.0</v>
      </c>
      <c r="D2582" s="6" t="s">
        <v>3178</v>
      </c>
      <c r="E2582" s="16">
        <v>5.0</v>
      </c>
      <c r="F2582" s="18" t="s">
        <v>2535</v>
      </c>
    </row>
    <row r="2583">
      <c r="A2583" s="5" t="s">
        <v>3240</v>
      </c>
      <c r="B2583" s="6">
        <v>2.0</v>
      </c>
      <c r="C2583" s="7">
        <v>146.0</v>
      </c>
      <c r="D2583" s="6" t="s">
        <v>3200</v>
      </c>
      <c r="E2583" s="16">
        <v>5.0</v>
      </c>
      <c r="F2583" s="18" t="s">
        <v>2536</v>
      </c>
    </row>
    <row r="2584">
      <c r="A2584" s="5" t="s">
        <v>3204</v>
      </c>
      <c r="B2584" s="6">
        <v>1.0</v>
      </c>
      <c r="C2584" s="7">
        <v>40.0</v>
      </c>
      <c r="D2584" s="6" t="s">
        <v>3221</v>
      </c>
      <c r="E2584" s="16">
        <v>5.0</v>
      </c>
      <c r="F2584" s="18" t="s">
        <v>2537</v>
      </c>
    </row>
    <row r="2585">
      <c r="A2585" s="5" t="s">
        <v>3217</v>
      </c>
      <c r="B2585" s="6">
        <v>5.0</v>
      </c>
      <c r="C2585" s="7">
        <v>7.0</v>
      </c>
      <c r="D2585" s="6" t="s">
        <v>3180</v>
      </c>
      <c r="E2585" s="16">
        <v>5.0</v>
      </c>
      <c r="F2585" s="18" t="s">
        <v>2538</v>
      </c>
    </row>
    <row r="2586">
      <c r="A2586" s="5" t="s">
        <v>3174</v>
      </c>
      <c r="B2586" s="6">
        <v>1.0</v>
      </c>
      <c r="C2586" s="7">
        <v>63.0</v>
      </c>
      <c r="D2586" s="6" t="s">
        <v>3257</v>
      </c>
      <c r="E2586" s="16">
        <v>5.0</v>
      </c>
      <c r="F2586" s="18" t="s">
        <v>2539</v>
      </c>
    </row>
    <row r="2587">
      <c r="A2587" s="5" t="s">
        <v>3185</v>
      </c>
      <c r="B2587" s="6">
        <v>1.0</v>
      </c>
      <c r="C2587" s="7">
        <v>12.0</v>
      </c>
      <c r="D2587" s="6" t="s">
        <v>3225</v>
      </c>
      <c r="E2587" s="16">
        <v>5.0</v>
      </c>
      <c r="F2587" s="18" t="s">
        <v>2418</v>
      </c>
    </row>
    <row r="2588">
      <c r="A2588" s="5" t="s">
        <v>3269</v>
      </c>
      <c r="B2588" s="6">
        <v>6.0</v>
      </c>
      <c r="C2588" s="7">
        <v>7.0</v>
      </c>
      <c r="D2588" s="6" t="s">
        <v>3180</v>
      </c>
      <c r="E2588" s="16">
        <v>5.0</v>
      </c>
      <c r="F2588" s="18" t="s">
        <v>2540</v>
      </c>
    </row>
    <row r="2589">
      <c r="A2589" s="5" t="s">
        <v>3248</v>
      </c>
      <c r="B2589" s="6">
        <v>3.0</v>
      </c>
      <c r="C2589" s="7">
        <v>88.0</v>
      </c>
      <c r="D2589" s="6" t="s">
        <v>3167</v>
      </c>
      <c r="E2589" s="16">
        <v>4.0</v>
      </c>
      <c r="F2589" s="18" t="s">
        <v>2541</v>
      </c>
    </row>
    <row r="2590">
      <c r="A2590" s="5" t="s">
        <v>3256</v>
      </c>
      <c r="B2590" s="6">
        <v>6.0</v>
      </c>
      <c r="C2590" s="7">
        <v>116.0</v>
      </c>
      <c r="D2590" s="6" t="s">
        <v>3169</v>
      </c>
      <c r="E2590" s="16">
        <v>4.0</v>
      </c>
      <c r="F2590" s="18" t="s">
        <v>2542</v>
      </c>
    </row>
    <row r="2591">
      <c r="A2591" s="5" t="s">
        <v>3218</v>
      </c>
      <c r="B2591" s="6">
        <v>5.0</v>
      </c>
      <c r="C2591" s="7">
        <v>167.0</v>
      </c>
      <c r="D2591" s="6" t="s">
        <v>3254</v>
      </c>
      <c r="E2591" s="16">
        <v>4.0</v>
      </c>
      <c r="F2591" s="18" t="s">
        <v>2543</v>
      </c>
    </row>
    <row r="2592">
      <c r="A2592" s="5" t="s">
        <v>3170</v>
      </c>
      <c r="B2592" s="6">
        <v>1.0</v>
      </c>
      <c r="C2592" s="7">
        <v>71.0</v>
      </c>
      <c r="D2592" s="6" t="s">
        <v>3176</v>
      </c>
      <c r="E2592" s="16">
        <v>4.0</v>
      </c>
      <c r="F2592" s="18" t="s">
        <v>2544</v>
      </c>
    </row>
    <row r="2593">
      <c r="A2593" s="5" t="s">
        <v>3191</v>
      </c>
      <c r="B2593" s="6">
        <v>5.0</v>
      </c>
      <c r="C2593" s="7">
        <v>40.0</v>
      </c>
      <c r="D2593" s="6" t="s">
        <v>3221</v>
      </c>
      <c r="E2593" s="16">
        <v>4.0</v>
      </c>
      <c r="F2593" s="18" t="s">
        <v>2545</v>
      </c>
    </row>
    <row r="2594">
      <c r="A2594" s="5" t="s">
        <v>3228</v>
      </c>
      <c r="B2594" s="6">
        <v>6.0</v>
      </c>
      <c r="C2594" s="7">
        <v>43.0</v>
      </c>
      <c r="D2594" s="6" t="s">
        <v>3214</v>
      </c>
      <c r="E2594" s="16">
        <v>4.0</v>
      </c>
      <c r="F2594" s="18" t="s">
        <v>2546</v>
      </c>
    </row>
    <row r="2595">
      <c r="A2595" s="5" t="s">
        <v>3191</v>
      </c>
      <c r="B2595" s="6">
        <v>5.0</v>
      </c>
      <c r="C2595" s="7">
        <v>122.0</v>
      </c>
      <c r="D2595" s="6" t="s">
        <v>3232</v>
      </c>
      <c r="E2595" s="16">
        <v>4.0</v>
      </c>
      <c r="F2595" s="18" t="s">
        <v>2547</v>
      </c>
    </row>
    <row r="2596">
      <c r="A2596" s="5" t="s">
        <v>3268</v>
      </c>
      <c r="B2596" s="6">
        <v>1.0</v>
      </c>
      <c r="C2596" s="7">
        <v>16.0</v>
      </c>
      <c r="D2596" s="6" t="s">
        <v>3178</v>
      </c>
      <c r="E2596" s="16">
        <v>4.0</v>
      </c>
      <c r="F2596" s="18" t="s">
        <v>2548</v>
      </c>
    </row>
    <row r="2597">
      <c r="A2597" s="5" t="s">
        <v>3189</v>
      </c>
      <c r="B2597" s="6">
        <v>6.0</v>
      </c>
      <c r="C2597" s="7">
        <v>117.0</v>
      </c>
      <c r="D2597" s="6" t="s">
        <v>3225</v>
      </c>
      <c r="E2597" s="16">
        <v>4.0</v>
      </c>
      <c r="F2597" s="18" t="s">
        <v>2549</v>
      </c>
    </row>
    <row r="2598">
      <c r="A2598" s="5" t="s">
        <v>3224</v>
      </c>
      <c r="B2598" s="6">
        <v>6.0</v>
      </c>
      <c r="C2598" s="7">
        <v>61.0</v>
      </c>
      <c r="D2598" s="6" t="s">
        <v>3249</v>
      </c>
      <c r="E2598" s="16">
        <v>3.0</v>
      </c>
      <c r="F2598" s="18" t="s">
        <v>2343</v>
      </c>
    </row>
    <row r="2599">
      <c r="A2599" s="5" t="s">
        <v>3248</v>
      </c>
      <c r="B2599" s="6">
        <v>3.0</v>
      </c>
      <c r="C2599" s="7">
        <v>160.0</v>
      </c>
      <c r="D2599" s="6" t="s">
        <v>3239</v>
      </c>
      <c r="E2599" s="16">
        <v>2.0</v>
      </c>
      <c r="F2599" s="18" t="s">
        <v>2550</v>
      </c>
    </row>
    <row r="2600">
      <c r="A2600" s="5" t="s">
        <v>3193</v>
      </c>
      <c r="B2600" s="6">
        <v>5.0</v>
      </c>
      <c r="C2600" s="7">
        <v>110.0</v>
      </c>
      <c r="D2600" s="6" t="s">
        <v>3211</v>
      </c>
      <c r="E2600" s="16">
        <v>2.0</v>
      </c>
      <c r="F2600" s="18" t="s">
        <v>2551</v>
      </c>
    </row>
    <row r="2601">
      <c r="A2601" s="5" t="s">
        <v>3185</v>
      </c>
      <c r="B2601" s="6">
        <v>1.0</v>
      </c>
      <c r="C2601" s="7">
        <v>56.0</v>
      </c>
      <c r="D2601" s="6" t="s">
        <v>3186</v>
      </c>
      <c r="E2601" s="16">
        <v>2.0</v>
      </c>
      <c r="F2601" s="18" t="s">
        <v>1283</v>
      </c>
    </row>
    <row r="2602">
      <c r="A2602" s="5" t="s">
        <v>3213</v>
      </c>
      <c r="B2602" s="6">
        <v>2.0</v>
      </c>
      <c r="C2602" s="7">
        <v>190.0</v>
      </c>
      <c r="D2602" s="6" t="s">
        <v>3186</v>
      </c>
      <c r="E2602" s="16">
        <v>2.0</v>
      </c>
      <c r="F2602" s="18" t="s">
        <v>2552</v>
      </c>
    </row>
    <row r="2603">
      <c r="A2603" s="5" t="s">
        <v>3204</v>
      </c>
      <c r="B2603" s="6">
        <v>1.0</v>
      </c>
      <c r="C2603" s="7">
        <v>148.0</v>
      </c>
      <c r="D2603" s="6" t="s">
        <v>3262</v>
      </c>
      <c r="E2603" s="16">
        <v>2.0</v>
      </c>
      <c r="F2603" s="18" t="s">
        <v>40</v>
      </c>
    </row>
    <row r="2604">
      <c r="A2604" s="5" t="s">
        <v>3212</v>
      </c>
      <c r="B2604" s="6">
        <v>6.0</v>
      </c>
      <c r="C2604" s="7">
        <v>136.0</v>
      </c>
      <c r="D2604" s="6" t="s">
        <v>3221</v>
      </c>
      <c r="E2604" s="16">
        <v>2.0</v>
      </c>
      <c r="F2604" s="18" t="s">
        <v>2553</v>
      </c>
    </row>
    <row r="2605">
      <c r="A2605" s="5" t="s">
        <v>3210</v>
      </c>
      <c r="B2605" s="6">
        <v>1.0</v>
      </c>
      <c r="C2605" s="7">
        <v>65.0</v>
      </c>
      <c r="D2605" s="6" t="s">
        <v>3221</v>
      </c>
      <c r="E2605" s="16">
        <v>2.0</v>
      </c>
      <c r="F2605" s="18" t="s">
        <v>2554</v>
      </c>
    </row>
    <row r="2606">
      <c r="A2606" s="5" t="s">
        <v>3263</v>
      </c>
      <c r="B2606" s="6">
        <v>1.0</v>
      </c>
      <c r="C2606" s="7">
        <v>110.0</v>
      </c>
      <c r="D2606" s="6" t="s">
        <v>3211</v>
      </c>
      <c r="E2606" s="16">
        <v>2.0</v>
      </c>
      <c r="F2606" s="18" t="s">
        <v>2555</v>
      </c>
    </row>
    <row r="2607">
      <c r="A2607" s="5" t="s">
        <v>3199</v>
      </c>
      <c r="B2607" s="6">
        <v>3.0</v>
      </c>
      <c r="C2607" s="7">
        <v>153.0</v>
      </c>
      <c r="D2607" s="6" t="s">
        <v>3180</v>
      </c>
      <c r="E2607" s="16">
        <v>1.0</v>
      </c>
      <c r="F2607" s="18" t="s">
        <v>2556</v>
      </c>
    </row>
    <row r="2608">
      <c r="A2608" s="5" t="s">
        <v>3261</v>
      </c>
      <c r="B2608" s="6">
        <v>4.0</v>
      </c>
      <c r="C2608" s="7">
        <v>13.0</v>
      </c>
      <c r="D2608" s="6" t="s">
        <v>3245</v>
      </c>
      <c r="E2608" s="16">
        <v>1.0</v>
      </c>
      <c r="F2608" s="18" t="s">
        <v>2557</v>
      </c>
    </row>
    <row r="2609">
      <c r="A2609" s="5" t="s">
        <v>3206</v>
      </c>
      <c r="B2609" s="6">
        <v>6.0</v>
      </c>
      <c r="C2609" s="7">
        <v>175.0</v>
      </c>
      <c r="D2609" s="6" t="s">
        <v>3257</v>
      </c>
      <c r="E2609" s="16">
        <v>1.0</v>
      </c>
      <c r="F2609" s="18" t="s">
        <v>2558</v>
      </c>
    </row>
    <row r="2610">
      <c r="A2610" s="5" t="s">
        <v>3263</v>
      </c>
      <c r="B2610" s="6">
        <v>1.0</v>
      </c>
      <c r="C2610" s="7">
        <v>30.0</v>
      </c>
      <c r="D2610" s="6" t="s">
        <v>3171</v>
      </c>
      <c r="E2610" s="16">
        <v>1.0</v>
      </c>
      <c r="F2610" s="18" t="s">
        <v>2559</v>
      </c>
    </row>
    <row r="2611">
      <c r="A2611" s="5" t="s">
        <v>3212</v>
      </c>
      <c r="B2611" s="6">
        <v>6.0</v>
      </c>
      <c r="C2611" s="7">
        <v>2.0</v>
      </c>
      <c r="D2611" s="6" t="s">
        <v>3214</v>
      </c>
      <c r="E2611" s="16">
        <v>1.0</v>
      </c>
      <c r="F2611" s="18" t="s">
        <v>2560</v>
      </c>
    </row>
    <row r="2612">
      <c r="A2612" s="5" t="s">
        <v>3208</v>
      </c>
      <c r="B2612" s="6">
        <v>4.0</v>
      </c>
      <c r="C2612" s="7">
        <v>183.0</v>
      </c>
      <c r="D2612" s="6" t="s">
        <v>3182</v>
      </c>
      <c r="E2612" s="16">
        <v>1.0</v>
      </c>
      <c r="F2612" s="18" t="s">
        <v>2561</v>
      </c>
    </row>
    <row r="2613">
      <c r="A2613" s="5" t="s">
        <v>3197</v>
      </c>
      <c r="B2613" s="6">
        <v>1.0</v>
      </c>
      <c r="C2613" s="7">
        <v>79.0</v>
      </c>
      <c r="D2613" s="6" t="s">
        <v>3232</v>
      </c>
      <c r="E2613" s="16">
        <v>1.0</v>
      </c>
      <c r="F2613" s="18" t="s">
        <v>2562</v>
      </c>
    </row>
    <row r="2614">
      <c r="A2614" s="5" t="s">
        <v>3177</v>
      </c>
      <c r="B2614" s="6">
        <v>5.0</v>
      </c>
      <c r="C2614" s="7">
        <v>91.0</v>
      </c>
      <c r="D2614" s="6" t="s">
        <v>3178</v>
      </c>
      <c r="E2614" s="16">
        <v>1.0</v>
      </c>
      <c r="F2614" s="18" t="s">
        <v>2563</v>
      </c>
    </row>
    <row r="2615">
      <c r="A2615" s="5" t="s">
        <v>3175</v>
      </c>
      <c r="B2615" s="6">
        <v>5.0</v>
      </c>
      <c r="C2615" s="7">
        <v>103.0</v>
      </c>
      <c r="D2615" s="6" t="s">
        <v>3254</v>
      </c>
      <c r="E2615" s="16">
        <v>1.0</v>
      </c>
      <c r="F2615" s="18" t="s">
        <v>2564</v>
      </c>
    </row>
    <row r="2616">
      <c r="A2616" s="5" t="s">
        <v>3256</v>
      </c>
      <c r="B2616" s="6">
        <v>6.0</v>
      </c>
      <c r="C2616" s="7">
        <v>26.0</v>
      </c>
      <c r="D2616" s="6" t="s">
        <v>3188</v>
      </c>
      <c r="E2616" s="16">
        <v>1.0</v>
      </c>
      <c r="F2616" s="18" t="s">
        <v>2565</v>
      </c>
    </row>
    <row r="2617">
      <c r="A2617" s="5" t="s">
        <v>3248</v>
      </c>
      <c r="B2617" s="6">
        <v>3.0</v>
      </c>
      <c r="C2617" s="7">
        <v>187.0</v>
      </c>
      <c r="D2617" s="6" t="s">
        <v>3254</v>
      </c>
      <c r="E2617" s="16">
        <v>1.0</v>
      </c>
      <c r="F2617" s="18" t="s">
        <v>2566</v>
      </c>
    </row>
    <row r="2618">
      <c r="A2618" s="5" t="s">
        <v>3220</v>
      </c>
      <c r="B2618" s="6">
        <v>6.0</v>
      </c>
      <c r="C2618" s="7">
        <v>72.0</v>
      </c>
      <c r="D2618" s="6" t="s">
        <v>3171</v>
      </c>
      <c r="E2618" s="16">
        <v>1.0</v>
      </c>
      <c r="F2618" s="18" t="s">
        <v>2567</v>
      </c>
    </row>
    <row r="2619">
      <c r="A2619" s="5" t="s">
        <v>3268</v>
      </c>
      <c r="B2619" s="6">
        <v>1.0</v>
      </c>
      <c r="C2619" s="7">
        <v>78.0</v>
      </c>
      <c r="D2619" s="6" t="s">
        <v>3176</v>
      </c>
      <c r="E2619" s="16">
        <v>1.0</v>
      </c>
      <c r="F2619" s="18" t="s">
        <v>2568</v>
      </c>
    </row>
    <row r="2620">
      <c r="A2620" s="5" t="s">
        <v>3255</v>
      </c>
      <c r="B2620" s="6">
        <v>6.0</v>
      </c>
      <c r="C2620" s="7">
        <v>104.0</v>
      </c>
      <c r="D2620" s="6" t="s">
        <v>3257</v>
      </c>
      <c r="E2620" s="16">
        <v>5.0</v>
      </c>
      <c r="F2620" s="18" t="s">
        <v>2569</v>
      </c>
    </row>
    <row r="2621">
      <c r="A2621" s="5" t="s">
        <v>3252</v>
      </c>
      <c r="B2621" s="6">
        <v>6.0</v>
      </c>
      <c r="C2621" s="7">
        <v>116.0</v>
      </c>
      <c r="D2621" s="6" t="s">
        <v>3169</v>
      </c>
      <c r="E2621" s="16">
        <v>5.0</v>
      </c>
      <c r="F2621" s="18" t="s">
        <v>2570</v>
      </c>
    </row>
    <row r="2622">
      <c r="A2622" s="5" t="s">
        <v>3240</v>
      </c>
      <c r="B2622" s="6">
        <v>2.0</v>
      </c>
      <c r="C2622" s="7">
        <v>47.0</v>
      </c>
      <c r="D2622" s="6" t="s">
        <v>3221</v>
      </c>
      <c r="E2622" s="16">
        <v>5.0</v>
      </c>
      <c r="F2622" s="18" t="s">
        <v>2571</v>
      </c>
    </row>
    <row r="2623">
      <c r="A2623" s="5" t="s">
        <v>3228</v>
      </c>
      <c r="B2623" s="6">
        <v>6.0</v>
      </c>
      <c r="C2623" s="7">
        <v>161.0</v>
      </c>
      <c r="D2623" s="6" t="s">
        <v>3192</v>
      </c>
      <c r="E2623" s="16">
        <v>5.0</v>
      </c>
      <c r="F2623" s="18" t="s">
        <v>2572</v>
      </c>
    </row>
    <row r="2624">
      <c r="A2624" s="5" t="s">
        <v>3264</v>
      </c>
      <c r="B2624" s="6">
        <v>4.0</v>
      </c>
      <c r="C2624" s="7">
        <v>23.0</v>
      </c>
      <c r="D2624" s="6" t="s">
        <v>3219</v>
      </c>
      <c r="E2624" s="16">
        <v>5.0</v>
      </c>
      <c r="F2624" s="18" t="s">
        <v>2573</v>
      </c>
    </row>
    <row r="2625">
      <c r="A2625" s="5" t="s">
        <v>3266</v>
      </c>
      <c r="B2625" s="6">
        <v>3.0</v>
      </c>
      <c r="C2625" s="7">
        <v>198.0</v>
      </c>
      <c r="D2625" s="6" t="s">
        <v>3180</v>
      </c>
      <c r="E2625" s="16">
        <v>5.0</v>
      </c>
      <c r="F2625" s="18" t="s">
        <v>2574</v>
      </c>
    </row>
    <row r="2626">
      <c r="A2626" s="5" t="s">
        <v>3261</v>
      </c>
      <c r="B2626" s="6">
        <v>4.0</v>
      </c>
      <c r="C2626" s="7">
        <v>196.0</v>
      </c>
      <c r="D2626" s="6" t="s">
        <v>3169</v>
      </c>
      <c r="E2626" s="16">
        <v>5.0</v>
      </c>
      <c r="F2626" s="18" t="s">
        <v>2575</v>
      </c>
    </row>
    <row r="2627">
      <c r="A2627" s="5" t="s">
        <v>3209</v>
      </c>
      <c r="B2627" s="6">
        <v>4.0</v>
      </c>
      <c r="C2627" s="7">
        <v>135.0</v>
      </c>
      <c r="D2627" s="6" t="s">
        <v>3207</v>
      </c>
      <c r="E2627" s="16">
        <v>5.0</v>
      </c>
      <c r="F2627" s="18" t="s">
        <v>2576</v>
      </c>
    </row>
    <row r="2628">
      <c r="A2628" s="5" t="s">
        <v>3213</v>
      </c>
      <c r="B2628" s="6">
        <v>2.0</v>
      </c>
      <c r="C2628" s="7">
        <v>184.0</v>
      </c>
      <c r="D2628" s="6" t="s">
        <v>3169</v>
      </c>
      <c r="E2628" s="16">
        <v>4.0</v>
      </c>
      <c r="F2628" s="18" t="s">
        <v>2577</v>
      </c>
    </row>
    <row r="2629">
      <c r="A2629" s="5" t="s">
        <v>3259</v>
      </c>
      <c r="B2629" s="6">
        <v>6.0</v>
      </c>
      <c r="C2629" s="7">
        <v>121.0</v>
      </c>
      <c r="D2629" s="6" t="s">
        <v>3173</v>
      </c>
      <c r="E2629" s="16">
        <v>4.0</v>
      </c>
      <c r="F2629" s="18" t="s">
        <v>2578</v>
      </c>
    </row>
    <row r="2630">
      <c r="A2630" s="5" t="s">
        <v>3191</v>
      </c>
      <c r="B2630" s="6">
        <v>5.0</v>
      </c>
      <c r="C2630" s="7">
        <v>3.0</v>
      </c>
      <c r="D2630" s="6" t="s">
        <v>3200</v>
      </c>
      <c r="E2630" s="16">
        <v>4.0</v>
      </c>
      <c r="F2630" s="18" t="s">
        <v>2579</v>
      </c>
    </row>
    <row r="2631">
      <c r="A2631" s="5" t="s">
        <v>3166</v>
      </c>
      <c r="B2631" s="6">
        <v>6.0</v>
      </c>
      <c r="C2631" s="7">
        <v>4.0</v>
      </c>
      <c r="D2631" s="6" t="s">
        <v>3196</v>
      </c>
      <c r="E2631" s="16">
        <v>4.0</v>
      </c>
      <c r="F2631" s="18" t="s">
        <v>2580</v>
      </c>
    </row>
    <row r="2632">
      <c r="A2632" s="5" t="s">
        <v>3234</v>
      </c>
      <c r="B2632" s="6">
        <v>6.0</v>
      </c>
      <c r="C2632" s="7">
        <v>168.0</v>
      </c>
      <c r="D2632" s="6" t="s">
        <v>3194</v>
      </c>
      <c r="E2632" s="16">
        <v>4.0</v>
      </c>
      <c r="F2632" s="18" t="s">
        <v>2581</v>
      </c>
    </row>
    <row r="2633">
      <c r="A2633" s="5" t="s">
        <v>3201</v>
      </c>
      <c r="B2633" s="6">
        <v>5.0</v>
      </c>
      <c r="C2633" s="7">
        <v>8.0</v>
      </c>
      <c r="D2633" s="6" t="s">
        <v>3169</v>
      </c>
      <c r="E2633" s="16">
        <v>3.0</v>
      </c>
      <c r="F2633" s="18" t="s">
        <v>2582</v>
      </c>
    </row>
    <row r="2634">
      <c r="A2634" s="5" t="s">
        <v>3248</v>
      </c>
      <c r="B2634" s="6">
        <v>3.0</v>
      </c>
      <c r="C2634" s="7">
        <v>72.0</v>
      </c>
      <c r="D2634" s="6" t="s">
        <v>3171</v>
      </c>
      <c r="E2634" s="16">
        <v>3.0</v>
      </c>
      <c r="F2634" s="18" t="s">
        <v>2583</v>
      </c>
    </row>
    <row r="2635">
      <c r="A2635" s="5" t="s">
        <v>3179</v>
      </c>
      <c r="B2635" s="6">
        <v>1.0</v>
      </c>
      <c r="C2635" s="7">
        <v>50.0</v>
      </c>
      <c r="D2635" s="6" t="s">
        <v>3238</v>
      </c>
      <c r="E2635" s="16">
        <v>3.0</v>
      </c>
      <c r="F2635" s="18" t="s">
        <v>2584</v>
      </c>
    </row>
    <row r="2636">
      <c r="A2636" s="5" t="s">
        <v>3261</v>
      </c>
      <c r="B2636" s="6">
        <v>4.0</v>
      </c>
      <c r="C2636" s="7">
        <v>79.0</v>
      </c>
      <c r="D2636" s="6" t="s">
        <v>3232</v>
      </c>
      <c r="E2636" s="16">
        <v>3.0</v>
      </c>
      <c r="F2636" s="18" t="s">
        <v>1467</v>
      </c>
    </row>
    <row r="2637">
      <c r="A2637" s="5" t="s">
        <v>3174</v>
      </c>
      <c r="B2637" s="6">
        <v>1.0</v>
      </c>
      <c r="C2637" s="7">
        <v>134.0</v>
      </c>
      <c r="D2637" s="6" t="s">
        <v>3239</v>
      </c>
      <c r="E2637" s="16">
        <v>2.0</v>
      </c>
      <c r="F2637" s="18" t="s">
        <v>2585</v>
      </c>
    </row>
    <row r="2638">
      <c r="A2638" s="5" t="s">
        <v>3269</v>
      </c>
      <c r="B2638" s="6">
        <v>6.0</v>
      </c>
      <c r="C2638" s="7">
        <v>10.0</v>
      </c>
      <c r="D2638" s="6" t="s">
        <v>3249</v>
      </c>
      <c r="E2638" s="16">
        <v>2.0</v>
      </c>
      <c r="F2638" s="18" t="s">
        <v>2586</v>
      </c>
    </row>
    <row r="2639">
      <c r="A2639" s="5" t="s">
        <v>3261</v>
      </c>
      <c r="B2639" s="6">
        <v>4.0</v>
      </c>
      <c r="C2639" s="7">
        <v>133.0</v>
      </c>
      <c r="D2639" s="6" t="s">
        <v>3192</v>
      </c>
      <c r="E2639" s="16">
        <v>2.0</v>
      </c>
      <c r="F2639" s="18" t="s">
        <v>2587</v>
      </c>
    </row>
    <row r="2640">
      <c r="A2640" s="5" t="s">
        <v>3233</v>
      </c>
      <c r="B2640" s="6">
        <v>6.0</v>
      </c>
      <c r="C2640" s="7">
        <v>13.0</v>
      </c>
      <c r="D2640" s="6" t="s">
        <v>3245</v>
      </c>
      <c r="E2640" s="16">
        <v>2.0</v>
      </c>
      <c r="F2640" s="18" t="s">
        <v>2588</v>
      </c>
    </row>
    <row r="2641">
      <c r="A2641" s="5" t="s">
        <v>3255</v>
      </c>
      <c r="B2641" s="6">
        <v>6.0</v>
      </c>
      <c r="C2641" s="7">
        <v>135.0</v>
      </c>
      <c r="D2641" s="6" t="s">
        <v>3207</v>
      </c>
      <c r="E2641" s="16">
        <v>1.0</v>
      </c>
      <c r="F2641" s="18" t="s">
        <v>2589</v>
      </c>
    </row>
    <row r="2642">
      <c r="A2642" s="5" t="s">
        <v>3246</v>
      </c>
      <c r="B2642" s="6">
        <v>4.0</v>
      </c>
      <c r="C2642" s="7">
        <v>94.0</v>
      </c>
      <c r="D2642" s="6" t="s">
        <v>3239</v>
      </c>
      <c r="E2642" s="16">
        <v>1.0</v>
      </c>
      <c r="F2642" s="18" t="s">
        <v>2590</v>
      </c>
    </row>
    <row r="2643">
      <c r="A2643" s="5" t="s">
        <v>3244</v>
      </c>
      <c r="B2643" s="6">
        <v>1.0</v>
      </c>
      <c r="C2643" s="7">
        <v>161.0</v>
      </c>
      <c r="D2643" s="6" t="s">
        <v>3192</v>
      </c>
      <c r="E2643" s="16">
        <v>1.0</v>
      </c>
      <c r="F2643" s="18" t="s">
        <v>2591</v>
      </c>
    </row>
    <row r="2644">
      <c r="A2644" s="5" t="s">
        <v>3247</v>
      </c>
      <c r="B2644" s="6">
        <v>6.0</v>
      </c>
      <c r="C2644" s="7">
        <v>64.0</v>
      </c>
      <c r="D2644" s="6" t="s">
        <v>3180</v>
      </c>
      <c r="E2644" s="16">
        <v>1.0</v>
      </c>
      <c r="F2644" s="18" t="s">
        <v>2592</v>
      </c>
    </row>
    <row r="2645">
      <c r="A2645" s="5" t="s">
        <v>3263</v>
      </c>
      <c r="B2645" s="6">
        <v>1.0</v>
      </c>
      <c r="C2645" s="7">
        <v>58.0</v>
      </c>
      <c r="D2645" s="6" t="s">
        <v>3257</v>
      </c>
      <c r="E2645" s="16">
        <v>1.0</v>
      </c>
      <c r="F2645" s="18" t="s">
        <v>2593</v>
      </c>
    </row>
    <row r="2646">
      <c r="A2646" s="5" t="s">
        <v>3206</v>
      </c>
      <c r="B2646" s="6">
        <v>6.0</v>
      </c>
      <c r="C2646" s="7">
        <v>164.0</v>
      </c>
      <c r="D2646" s="6" t="s">
        <v>3232</v>
      </c>
      <c r="E2646" s="16">
        <v>1.0</v>
      </c>
      <c r="F2646" s="18" t="s">
        <v>2594</v>
      </c>
    </row>
    <row r="2647">
      <c r="A2647" s="5" t="s">
        <v>3179</v>
      </c>
      <c r="B2647" s="6">
        <v>1.0</v>
      </c>
      <c r="C2647" s="7">
        <v>105.0</v>
      </c>
      <c r="D2647" s="6" t="s">
        <v>3167</v>
      </c>
      <c r="E2647" s="16">
        <v>1.0</v>
      </c>
      <c r="F2647" s="18" t="s">
        <v>2595</v>
      </c>
    </row>
    <row r="2648">
      <c r="A2648" s="5" t="s">
        <v>3189</v>
      </c>
      <c r="B2648" s="6">
        <v>6.0</v>
      </c>
      <c r="C2648" s="7">
        <v>32.0</v>
      </c>
      <c r="D2648" s="6" t="s">
        <v>3173</v>
      </c>
      <c r="E2648" s="16">
        <v>1.0</v>
      </c>
      <c r="F2648" s="18" t="s">
        <v>2596</v>
      </c>
    </row>
    <row r="2649">
      <c r="A2649" s="5" t="s">
        <v>3237</v>
      </c>
      <c r="B2649" s="6">
        <v>2.0</v>
      </c>
      <c r="C2649" s="7">
        <v>32.0</v>
      </c>
      <c r="D2649" s="6" t="s">
        <v>3173</v>
      </c>
      <c r="E2649" s="16">
        <v>1.0</v>
      </c>
      <c r="F2649" s="18" t="s">
        <v>2597</v>
      </c>
    </row>
    <row r="2650">
      <c r="A2650" s="5" t="s">
        <v>3199</v>
      </c>
      <c r="B2650" s="6">
        <v>3.0</v>
      </c>
      <c r="C2650" s="7">
        <v>192.0</v>
      </c>
      <c r="D2650" s="6" t="s">
        <v>3186</v>
      </c>
      <c r="E2650" s="16">
        <v>1.0</v>
      </c>
      <c r="F2650" s="18" t="s">
        <v>2598</v>
      </c>
    </row>
    <row r="2651">
      <c r="A2651" s="5" t="s">
        <v>3237</v>
      </c>
      <c r="B2651" s="6">
        <v>2.0</v>
      </c>
      <c r="C2651" s="7">
        <v>178.0</v>
      </c>
      <c r="D2651" s="6" t="s">
        <v>3190</v>
      </c>
      <c r="E2651" s="16">
        <v>1.0</v>
      </c>
      <c r="F2651" s="18" t="s">
        <v>2599</v>
      </c>
    </row>
    <row r="2652">
      <c r="A2652" s="5" t="s">
        <v>3204</v>
      </c>
      <c r="B2652" s="6">
        <v>1.0</v>
      </c>
      <c r="C2652" s="7">
        <v>188.0</v>
      </c>
      <c r="D2652" s="6" t="s">
        <v>3198</v>
      </c>
      <c r="E2652" s="16">
        <v>1.0</v>
      </c>
      <c r="F2652" s="18" t="s">
        <v>2600</v>
      </c>
    </row>
    <row r="2653">
      <c r="A2653" s="5" t="s">
        <v>3247</v>
      </c>
      <c r="B2653" s="6">
        <v>6.0</v>
      </c>
      <c r="C2653" s="7">
        <v>97.0</v>
      </c>
      <c r="D2653" s="6" t="s">
        <v>3194</v>
      </c>
      <c r="E2653" s="16">
        <v>1.0</v>
      </c>
      <c r="F2653" s="18" t="s">
        <v>2601</v>
      </c>
    </row>
    <row r="2654">
      <c r="A2654" s="5" t="s">
        <v>3206</v>
      </c>
      <c r="B2654" s="6">
        <v>6.0</v>
      </c>
      <c r="C2654" s="7">
        <v>197.0</v>
      </c>
      <c r="D2654" s="6" t="s">
        <v>3173</v>
      </c>
      <c r="E2654" s="16">
        <v>1.0</v>
      </c>
      <c r="F2654" s="18" t="s">
        <v>2602</v>
      </c>
    </row>
    <row r="2655">
      <c r="A2655" s="5" t="s">
        <v>3231</v>
      </c>
      <c r="B2655" s="6">
        <v>4.0</v>
      </c>
      <c r="C2655" s="7">
        <v>82.0</v>
      </c>
      <c r="D2655" s="6" t="s">
        <v>3190</v>
      </c>
      <c r="E2655" s="16">
        <v>1.0</v>
      </c>
      <c r="F2655" s="18" t="s">
        <v>2603</v>
      </c>
    </row>
    <row r="2656">
      <c r="A2656" s="5" t="s">
        <v>3267</v>
      </c>
      <c r="B2656" s="6">
        <v>3.0</v>
      </c>
      <c r="C2656" s="7">
        <v>97.0</v>
      </c>
      <c r="D2656" s="6" t="s">
        <v>3194</v>
      </c>
      <c r="E2656" s="16">
        <v>1.0</v>
      </c>
      <c r="F2656" s="18" t="s">
        <v>2604</v>
      </c>
    </row>
    <row r="2657">
      <c r="A2657" s="5" t="s">
        <v>3234</v>
      </c>
      <c r="B2657" s="6">
        <v>6.0</v>
      </c>
      <c r="C2657" s="7">
        <v>140.0</v>
      </c>
      <c r="D2657" s="6" t="s">
        <v>3190</v>
      </c>
      <c r="E2657" s="16">
        <v>5.0</v>
      </c>
      <c r="F2657" s="18" t="s">
        <v>2605</v>
      </c>
    </row>
    <row r="2658">
      <c r="A2658" s="5" t="s">
        <v>3187</v>
      </c>
      <c r="B2658" s="6">
        <v>4.0</v>
      </c>
      <c r="C2658" s="7">
        <v>98.0</v>
      </c>
      <c r="D2658" s="6" t="s">
        <v>3211</v>
      </c>
      <c r="E2658" s="16">
        <v>5.0</v>
      </c>
      <c r="F2658" s="18" t="s">
        <v>2606</v>
      </c>
    </row>
    <row r="2659">
      <c r="A2659" s="5" t="s">
        <v>3202</v>
      </c>
      <c r="B2659" s="6">
        <v>4.0</v>
      </c>
      <c r="C2659" s="7">
        <v>82.0</v>
      </c>
      <c r="D2659" s="6" t="s">
        <v>3190</v>
      </c>
      <c r="E2659" s="16">
        <v>5.0</v>
      </c>
      <c r="F2659" s="18" t="s">
        <v>2607</v>
      </c>
    </row>
    <row r="2660">
      <c r="A2660" s="5" t="s">
        <v>3185</v>
      </c>
      <c r="B2660" s="6">
        <v>1.0</v>
      </c>
      <c r="C2660" s="7">
        <v>2.0</v>
      </c>
      <c r="D2660" s="6" t="s">
        <v>3214</v>
      </c>
      <c r="E2660" s="16">
        <v>5.0</v>
      </c>
      <c r="F2660" s="18" t="s">
        <v>2608</v>
      </c>
    </row>
    <row r="2661">
      <c r="A2661" s="5" t="s">
        <v>3242</v>
      </c>
      <c r="B2661" s="6">
        <v>1.0</v>
      </c>
      <c r="C2661" s="7">
        <v>75.0</v>
      </c>
      <c r="D2661" s="6" t="s">
        <v>3257</v>
      </c>
      <c r="E2661" s="16">
        <v>5.0</v>
      </c>
      <c r="F2661" s="18" t="s">
        <v>2609</v>
      </c>
    </row>
    <row r="2662">
      <c r="A2662" s="5" t="s">
        <v>3258</v>
      </c>
      <c r="B2662" s="6">
        <v>6.0</v>
      </c>
      <c r="C2662" s="7">
        <v>36.0</v>
      </c>
      <c r="D2662" s="6" t="s">
        <v>3227</v>
      </c>
      <c r="E2662" s="16">
        <v>5.0</v>
      </c>
      <c r="F2662" s="18" t="s">
        <v>2610</v>
      </c>
    </row>
    <row r="2663">
      <c r="A2663" s="5" t="s">
        <v>3263</v>
      </c>
      <c r="B2663" s="6">
        <v>1.0</v>
      </c>
      <c r="C2663" s="7">
        <v>149.0</v>
      </c>
      <c r="D2663" s="6" t="s">
        <v>3239</v>
      </c>
      <c r="E2663" s="16">
        <v>5.0</v>
      </c>
      <c r="F2663" s="18" t="s">
        <v>2611</v>
      </c>
    </row>
    <row r="2664">
      <c r="A2664" s="5" t="s">
        <v>3195</v>
      </c>
      <c r="B2664" s="6">
        <v>4.0</v>
      </c>
      <c r="C2664" s="7">
        <v>19.0</v>
      </c>
      <c r="D2664" s="6" t="s">
        <v>3169</v>
      </c>
      <c r="E2664" s="16">
        <v>5.0</v>
      </c>
      <c r="F2664" s="18" t="s">
        <v>2612</v>
      </c>
    </row>
    <row r="2665">
      <c r="A2665" s="5" t="s">
        <v>3205</v>
      </c>
      <c r="B2665" s="6">
        <v>1.0</v>
      </c>
      <c r="C2665" s="7">
        <v>9.0</v>
      </c>
      <c r="D2665" s="6" t="s">
        <v>3232</v>
      </c>
      <c r="E2665" s="16">
        <v>5.0</v>
      </c>
      <c r="F2665" s="18" t="s">
        <v>2613</v>
      </c>
    </row>
    <row r="2666">
      <c r="A2666" s="5" t="s">
        <v>3193</v>
      </c>
      <c r="B2666" s="6">
        <v>5.0</v>
      </c>
      <c r="C2666" s="7">
        <v>119.0</v>
      </c>
      <c r="D2666" s="6" t="s">
        <v>3178</v>
      </c>
      <c r="E2666" s="16">
        <v>5.0</v>
      </c>
      <c r="F2666" s="18" t="s">
        <v>2614</v>
      </c>
    </row>
    <row r="2667">
      <c r="A2667" s="5" t="s">
        <v>3166</v>
      </c>
      <c r="B2667" s="6">
        <v>6.0</v>
      </c>
      <c r="C2667" s="7">
        <v>97.0</v>
      </c>
      <c r="D2667" s="6" t="s">
        <v>3194</v>
      </c>
      <c r="E2667" s="16">
        <v>5.0</v>
      </c>
      <c r="F2667" s="18" t="s">
        <v>2615</v>
      </c>
    </row>
    <row r="2668">
      <c r="A2668" s="5" t="s">
        <v>3166</v>
      </c>
      <c r="B2668" s="6">
        <v>6.0</v>
      </c>
      <c r="C2668" s="7">
        <v>50.0</v>
      </c>
      <c r="D2668" s="6" t="s">
        <v>3238</v>
      </c>
      <c r="E2668" s="16">
        <v>5.0</v>
      </c>
      <c r="F2668" s="18" t="s">
        <v>2416</v>
      </c>
    </row>
    <row r="2669">
      <c r="A2669" s="5" t="s">
        <v>3189</v>
      </c>
      <c r="B2669" s="6">
        <v>6.0</v>
      </c>
      <c r="C2669" s="7">
        <v>146.0</v>
      </c>
      <c r="D2669" s="6" t="s">
        <v>3200</v>
      </c>
      <c r="E2669" s="16">
        <v>5.0</v>
      </c>
      <c r="F2669" s="18" t="s">
        <v>2616</v>
      </c>
    </row>
    <row r="2670">
      <c r="A2670" s="5" t="s">
        <v>3175</v>
      </c>
      <c r="B2670" s="6">
        <v>5.0</v>
      </c>
      <c r="C2670" s="7">
        <v>11.0</v>
      </c>
      <c r="D2670" s="6" t="s">
        <v>3180</v>
      </c>
      <c r="E2670" s="16">
        <v>5.0</v>
      </c>
      <c r="F2670" s="18" t="s">
        <v>1467</v>
      </c>
    </row>
    <row r="2671">
      <c r="A2671" s="5" t="s">
        <v>3255</v>
      </c>
      <c r="B2671" s="6">
        <v>6.0</v>
      </c>
      <c r="C2671" s="7">
        <v>122.0</v>
      </c>
      <c r="D2671" s="6" t="s">
        <v>3232</v>
      </c>
      <c r="E2671" s="16">
        <v>5.0</v>
      </c>
      <c r="F2671" s="18" t="s">
        <v>2617</v>
      </c>
    </row>
    <row r="2672">
      <c r="A2672" s="5" t="s">
        <v>3264</v>
      </c>
      <c r="B2672" s="6">
        <v>4.0</v>
      </c>
      <c r="C2672" s="7">
        <v>129.0</v>
      </c>
      <c r="D2672" s="6" t="s">
        <v>3182</v>
      </c>
      <c r="E2672" s="16">
        <v>5.0</v>
      </c>
      <c r="F2672" s="18" t="s">
        <v>2618</v>
      </c>
    </row>
    <row r="2673">
      <c r="A2673" s="5" t="s">
        <v>3256</v>
      </c>
      <c r="B2673" s="6">
        <v>6.0</v>
      </c>
      <c r="C2673" s="7">
        <v>19.0</v>
      </c>
      <c r="D2673" s="6" t="s">
        <v>3169</v>
      </c>
      <c r="E2673" s="16">
        <v>5.0</v>
      </c>
      <c r="F2673" s="18" t="s">
        <v>2619</v>
      </c>
    </row>
    <row r="2674">
      <c r="A2674" s="5" t="s">
        <v>3191</v>
      </c>
      <c r="B2674" s="6">
        <v>5.0</v>
      </c>
      <c r="C2674" s="7">
        <v>110.0</v>
      </c>
      <c r="D2674" s="6" t="s">
        <v>3211</v>
      </c>
      <c r="E2674" s="16">
        <v>5.0</v>
      </c>
      <c r="F2674" s="18" t="s">
        <v>2620</v>
      </c>
    </row>
    <row r="2675">
      <c r="A2675" s="5" t="s">
        <v>3205</v>
      </c>
      <c r="B2675" s="6">
        <v>1.0</v>
      </c>
      <c r="C2675" s="7">
        <v>57.0</v>
      </c>
      <c r="D2675" s="6" t="s">
        <v>3239</v>
      </c>
      <c r="E2675" s="16">
        <v>5.0</v>
      </c>
      <c r="F2675" s="18" t="s">
        <v>2621</v>
      </c>
    </row>
    <row r="2676">
      <c r="A2676" s="5" t="s">
        <v>3266</v>
      </c>
      <c r="B2676" s="6">
        <v>3.0</v>
      </c>
      <c r="C2676" s="7">
        <v>112.0</v>
      </c>
      <c r="D2676" s="6" t="s">
        <v>3227</v>
      </c>
      <c r="E2676" s="16">
        <v>5.0</v>
      </c>
      <c r="F2676" s="18" t="s">
        <v>2622</v>
      </c>
    </row>
    <row r="2677">
      <c r="A2677" s="5" t="s">
        <v>3185</v>
      </c>
      <c r="B2677" s="6">
        <v>1.0</v>
      </c>
      <c r="C2677" s="7">
        <v>16.0</v>
      </c>
      <c r="D2677" s="6" t="s">
        <v>3178</v>
      </c>
      <c r="E2677" s="16">
        <v>4.0</v>
      </c>
      <c r="F2677" s="18" t="s">
        <v>2623</v>
      </c>
    </row>
    <row r="2678">
      <c r="A2678" s="5" t="s">
        <v>3212</v>
      </c>
      <c r="B2678" s="6">
        <v>6.0</v>
      </c>
      <c r="C2678" s="7">
        <v>34.0</v>
      </c>
      <c r="D2678" s="6" t="s">
        <v>3227</v>
      </c>
      <c r="E2678" s="16">
        <v>4.0</v>
      </c>
      <c r="F2678" s="18" t="s">
        <v>2624</v>
      </c>
    </row>
    <row r="2679">
      <c r="A2679" s="5" t="s">
        <v>3256</v>
      </c>
      <c r="B2679" s="6">
        <v>6.0</v>
      </c>
      <c r="C2679" s="7">
        <v>161.0</v>
      </c>
      <c r="D2679" s="6" t="s">
        <v>3192</v>
      </c>
      <c r="E2679" s="16">
        <v>4.0</v>
      </c>
      <c r="F2679" s="18" t="s">
        <v>2625</v>
      </c>
    </row>
    <row r="2680">
      <c r="A2680" s="5" t="s">
        <v>3256</v>
      </c>
      <c r="B2680" s="6">
        <v>6.0</v>
      </c>
      <c r="C2680" s="7">
        <v>149.0</v>
      </c>
      <c r="D2680" s="6" t="s">
        <v>3239</v>
      </c>
      <c r="E2680" s="16">
        <v>4.0</v>
      </c>
      <c r="F2680" s="18" t="s">
        <v>2626</v>
      </c>
    </row>
    <row r="2681">
      <c r="A2681" s="5" t="s">
        <v>3191</v>
      </c>
      <c r="B2681" s="6">
        <v>5.0</v>
      </c>
      <c r="C2681" s="7">
        <v>64.0</v>
      </c>
      <c r="D2681" s="6" t="s">
        <v>3180</v>
      </c>
      <c r="E2681" s="16">
        <v>4.0</v>
      </c>
      <c r="F2681" s="18" t="s">
        <v>2292</v>
      </c>
    </row>
    <row r="2682">
      <c r="A2682" s="5" t="s">
        <v>3261</v>
      </c>
      <c r="B2682" s="6">
        <v>4.0</v>
      </c>
      <c r="C2682" s="7">
        <v>197.0</v>
      </c>
      <c r="D2682" s="6" t="s">
        <v>3173</v>
      </c>
      <c r="E2682" s="16">
        <v>4.0</v>
      </c>
      <c r="F2682" s="18" t="s">
        <v>2627</v>
      </c>
    </row>
    <row r="2683">
      <c r="A2683" s="5" t="s">
        <v>3264</v>
      </c>
      <c r="B2683" s="6">
        <v>4.0</v>
      </c>
      <c r="C2683" s="7">
        <v>136.0</v>
      </c>
      <c r="D2683" s="6" t="s">
        <v>3221</v>
      </c>
      <c r="E2683" s="16">
        <v>4.0</v>
      </c>
      <c r="F2683" s="18" t="s">
        <v>2628</v>
      </c>
    </row>
    <row r="2684">
      <c r="A2684" s="5" t="s">
        <v>3260</v>
      </c>
      <c r="B2684" s="6">
        <v>1.0</v>
      </c>
      <c r="C2684" s="7">
        <v>61.0</v>
      </c>
      <c r="D2684" s="6" t="s">
        <v>3249</v>
      </c>
      <c r="E2684" s="16">
        <v>4.0</v>
      </c>
      <c r="F2684" s="18" t="s">
        <v>1417</v>
      </c>
    </row>
    <row r="2685">
      <c r="A2685" s="5" t="s">
        <v>3193</v>
      </c>
      <c r="B2685" s="6">
        <v>5.0</v>
      </c>
      <c r="C2685" s="7">
        <v>89.0</v>
      </c>
      <c r="D2685" s="6" t="s">
        <v>3262</v>
      </c>
      <c r="E2685" s="16">
        <v>3.0</v>
      </c>
      <c r="F2685" s="18" t="s">
        <v>2629</v>
      </c>
    </row>
    <row r="2686">
      <c r="A2686" s="5" t="s">
        <v>3202</v>
      </c>
      <c r="B2686" s="6">
        <v>4.0</v>
      </c>
      <c r="C2686" s="7">
        <v>109.0</v>
      </c>
      <c r="D2686" s="6" t="s">
        <v>3249</v>
      </c>
      <c r="E2686" s="16">
        <v>3.0</v>
      </c>
      <c r="F2686" s="18" t="s">
        <v>2630</v>
      </c>
    </row>
    <row r="2687">
      <c r="A2687" s="5" t="s">
        <v>3218</v>
      </c>
      <c r="B2687" s="6">
        <v>5.0</v>
      </c>
      <c r="C2687" s="7">
        <v>33.0</v>
      </c>
      <c r="D2687" s="6" t="s">
        <v>3225</v>
      </c>
      <c r="E2687" s="21">
        <v>3.0</v>
      </c>
      <c r="F2687" s="22" t="s">
        <v>2631</v>
      </c>
    </row>
    <row r="2688">
      <c r="A2688" s="5" t="s">
        <v>3185</v>
      </c>
      <c r="B2688" s="6">
        <v>1.0</v>
      </c>
      <c r="C2688" s="7">
        <v>13.0</v>
      </c>
      <c r="D2688" s="6" t="s">
        <v>3245</v>
      </c>
      <c r="E2688" s="21">
        <v>2.0</v>
      </c>
      <c r="F2688" s="22" t="s">
        <v>2632</v>
      </c>
    </row>
    <row r="2689">
      <c r="A2689" s="5" t="s">
        <v>3179</v>
      </c>
      <c r="B2689" s="6">
        <v>1.0</v>
      </c>
      <c r="C2689" s="7">
        <v>4.0</v>
      </c>
      <c r="D2689" s="6" t="s">
        <v>3196</v>
      </c>
      <c r="E2689" s="21">
        <v>2.0</v>
      </c>
      <c r="F2689" s="22" t="s">
        <v>2633</v>
      </c>
    </row>
    <row r="2690">
      <c r="A2690" s="5" t="s">
        <v>3189</v>
      </c>
      <c r="B2690" s="6">
        <v>6.0</v>
      </c>
      <c r="C2690" s="7">
        <v>35.0</v>
      </c>
      <c r="D2690" s="6" t="s">
        <v>3196</v>
      </c>
      <c r="E2690" s="21">
        <v>2.0</v>
      </c>
      <c r="F2690" s="22" t="s">
        <v>2634</v>
      </c>
    </row>
    <row r="2691">
      <c r="A2691" s="5" t="s">
        <v>3201</v>
      </c>
      <c r="B2691" s="6">
        <v>5.0</v>
      </c>
      <c r="C2691" s="7">
        <v>180.0</v>
      </c>
      <c r="D2691" s="6" t="s">
        <v>3192</v>
      </c>
      <c r="E2691" s="21">
        <v>2.0</v>
      </c>
      <c r="F2691" s="22" t="s">
        <v>2635</v>
      </c>
    </row>
    <row r="2692">
      <c r="A2692" s="5" t="s">
        <v>3236</v>
      </c>
      <c r="B2692" s="6">
        <v>6.0</v>
      </c>
      <c r="C2692" s="7">
        <v>41.0</v>
      </c>
      <c r="D2692" s="6" t="s">
        <v>3238</v>
      </c>
      <c r="E2692" s="21">
        <v>2.0</v>
      </c>
      <c r="F2692" s="22" t="s">
        <v>2636</v>
      </c>
    </row>
    <row r="2693">
      <c r="A2693" s="5" t="s">
        <v>3229</v>
      </c>
      <c r="B2693" s="6">
        <v>4.0</v>
      </c>
      <c r="C2693" s="7">
        <v>139.0</v>
      </c>
      <c r="D2693" s="6" t="s">
        <v>3182</v>
      </c>
      <c r="E2693" s="21">
        <v>2.0</v>
      </c>
      <c r="F2693" s="22" t="s">
        <v>2637</v>
      </c>
    </row>
    <row r="2694">
      <c r="A2694" s="5" t="s">
        <v>3181</v>
      </c>
      <c r="B2694" s="6">
        <v>1.0</v>
      </c>
      <c r="C2694" s="7">
        <v>1.0</v>
      </c>
      <c r="D2694" s="6" t="s">
        <v>3221</v>
      </c>
      <c r="E2694" s="21">
        <v>2.0</v>
      </c>
      <c r="F2694" s="22" t="s">
        <v>2638</v>
      </c>
    </row>
    <row r="2695">
      <c r="A2695" s="5" t="s">
        <v>3242</v>
      </c>
      <c r="B2695" s="6">
        <v>1.0</v>
      </c>
      <c r="C2695" s="7">
        <v>28.0</v>
      </c>
      <c r="D2695" s="6" t="s">
        <v>3188</v>
      </c>
      <c r="E2695" s="21">
        <v>2.0</v>
      </c>
      <c r="F2695" s="22" t="s">
        <v>2639</v>
      </c>
    </row>
    <row r="2696">
      <c r="A2696" s="5" t="s">
        <v>3252</v>
      </c>
      <c r="B2696" s="6">
        <v>6.0</v>
      </c>
      <c r="C2696" s="7">
        <v>194.0</v>
      </c>
      <c r="D2696" s="6" t="s">
        <v>3215</v>
      </c>
      <c r="E2696" s="21">
        <v>2.0</v>
      </c>
      <c r="F2696" s="22" t="s">
        <v>549</v>
      </c>
    </row>
    <row r="2697">
      <c r="A2697" s="5" t="s">
        <v>3255</v>
      </c>
      <c r="B2697" s="6">
        <v>6.0</v>
      </c>
      <c r="C2697" s="7">
        <v>148.0</v>
      </c>
      <c r="D2697" s="6" t="s">
        <v>3262</v>
      </c>
      <c r="E2697" s="21">
        <v>1.0</v>
      </c>
      <c r="F2697" s="22" t="s">
        <v>2640</v>
      </c>
    </row>
    <row r="2698">
      <c r="A2698" s="5" t="s">
        <v>3191</v>
      </c>
      <c r="B2698" s="6">
        <v>5.0</v>
      </c>
      <c r="C2698" s="7">
        <v>52.0</v>
      </c>
      <c r="D2698" s="6" t="s">
        <v>3194</v>
      </c>
      <c r="E2698" s="21">
        <v>1.0</v>
      </c>
      <c r="F2698" s="22" t="s">
        <v>2641</v>
      </c>
    </row>
    <row r="2699">
      <c r="A2699" s="5" t="s">
        <v>3270</v>
      </c>
      <c r="B2699" s="6">
        <v>3.0</v>
      </c>
      <c r="C2699" s="7">
        <v>108.0</v>
      </c>
      <c r="D2699" s="6" t="s">
        <v>3198</v>
      </c>
      <c r="E2699" s="21">
        <v>1.0</v>
      </c>
      <c r="F2699" s="22" t="s">
        <v>2642</v>
      </c>
    </row>
    <row r="2700">
      <c r="A2700" s="5" t="s">
        <v>3253</v>
      </c>
      <c r="B2700" s="6">
        <v>1.0</v>
      </c>
      <c r="C2700" s="7">
        <v>127.0</v>
      </c>
      <c r="D2700" s="6" t="s">
        <v>3262</v>
      </c>
      <c r="E2700" s="21">
        <v>1.0</v>
      </c>
      <c r="F2700" s="22" t="s">
        <v>2643</v>
      </c>
    </row>
    <row r="2701">
      <c r="A2701" s="5" t="s">
        <v>3231</v>
      </c>
      <c r="B2701" s="6">
        <v>4.0</v>
      </c>
      <c r="C2701" s="7">
        <v>41.0</v>
      </c>
      <c r="D2701" s="6" t="s">
        <v>3238</v>
      </c>
      <c r="E2701" s="21">
        <v>1.0</v>
      </c>
      <c r="F2701" s="22" t="s">
        <v>2644</v>
      </c>
    </row>
    <row r="2702">
      <c r="A2702" s="5" t="s">
        <v>3246</v>
      </c>
      <c r="B2702" s="6">
        <v>4.0</v>
      </c>
      <c r="C2702" s="7">
        <v>128.0</v>
      </c>
      <c r="D2702" s="6" t="s">
        <v>3211</v>
      </c>
      <c r="E2702" s="21">
        <v>1.0</v>
      </c>
      <c r="F2702" s="22" t="s">
        <v>2645</v>
      </c>
    </row>
    <row r="2703">
      <c r="A2703" s="5" t="s">
        <v>3231</v>
      </c>
      <c r="B2703" s="6">
        <v>4.0</v>
      </c>
      <c r="C2703" s="7">
        <v>74.0</v>
      </c>
      <c r="D2703" s="6" t="s">
        <v>3190</v>
      </c>
      <c r="E2703" s="21">
        <v>1.0</v>
      </c>
      <c r="F2703" s="22" t="s">
        <v>2646</v>
      </c>
    </row>
    <row r="2704">
      <c r="A2704" s="5" t="s">
        <v>3267</v>
      </c>
      <c r="B2704" s="6">
        <v>3.0</v>
      </c>
      <c r="C2704" s="7">
        <v>94.0</v>
      </c>
      <c r="D2704" s="6" t="s">
        <v>3239</v>
      </c>
      <c r="E2704" s="21">
        <v>1.0</v>
      </c>
      <c r="F2704" s="22" t="s">
        <v>2647</v>
      </c>
    </row>
    <row r="2705">
      <c r="A2705" s="5" t="s">
        <v>3263</v>
      </c>
      <c r="B2705" s="6">
        <v>1.0</v>
      </c>
      <c r="C2705" s="7">
        <v>98.0</v>
      </c>
      <c r="D2705" s="6" t="s">
        <v>3211</v>
      </c>
      <c r="E2705" s="21">
        <v>1.0</v>
      </c>
      <c r="F2705" s="22" t="s">
        <v>2648</v>
      </c>
    </row>
    <row r="2706">
      <c r="A2706" s="5" t="s">
        <v>3258</v>
      </c>
      <c r="B2706" s="6">
        <v>6.0</v>
      </c>
      <c r="C2706" s="7">
        <v>167.0</v>
      </c>
      <c r="D2706" s="6" t="s">
        <v>3254</v>
      </c>
      <c r="E2706" s="21">
        <v>1.0</v>
      </c>
      <c r="F2706" s="22" t="s">
        <v>2649</v>
      </c>
    </row>
    <row r="2707">
      <c r="A2707" s="5" t="s">
        <v>3228</v>
      </c>
      <c r="B2707" s="6">
        <v>6.0</v>
      </c>
      <c r="C2707" s="7">
        <v>110.0</v>
      </c>
      <c r="D2707" s="6" t="s">
        <v>3211</v>
      </c>
      <c r="E2707" s="21">
        <v>1.0</v>
      </c>
      <c r="F2707" s="22" t="s">
        <v>2650</v>
      </c>
    </row>
    <row r="2708">
      <c r="A2708" s="5" t="s">
        <v>3228</v>
      </c>
      <c r="B2708" s="6">
        <v>6.0</v>
      </c>
      <c r="C2708" s="7">
        <v>66.0</v>
      </c>
      <c r="D2708" s="6" t="s">
        <v>3171</v>
      </c>
      <c r="E2708" s="21">
        <v>1.0</v>
      </c>
      <c r="F2708" s="22" t="s">
        <v>2651</v>
      </c>
    </row>
    <row r="2709">
      <c r="A2709" s="5" t="s">
        <v>3236</v>
      </c>
      <c r="B2709" s="6">
        <v>6.0</v>
      </c>
      <c r="C2709" s="7">
        <v>58.0</v>
      </c>
      <c r="D2709" s="6" t="s">
        <v>3257</v>
      </c>
      <c r="E2709" s="21">
        <v>1.0</v>
      </c>
      <c r="F2709" s="22" t="s">
        <v>2652</v>
      </c>
    </row>
    <row r="2710">
      <c r="A2710" s="5" t="s">
        <v>3253</v>
      </c>
      <c r="B2710" s="6">
        <v>1.0</v>
      </c>
      <c r="C2710" s="7">
        <v>197.0</v>
      </c>
      <c r="D2710" s="6" t="s">
        <v>3173</v>
      </c>
      <c r="E2710" s="21">
        <v>1.0</v>
      </c>
      <c r="F2710" s="22" t="s">
        <v>2653</v>
      </c>
    </row>
    <row r="2711">
      <c r="A2711" s="5" t="s">
        <v>3243</v>
      </c>
      <c r="B2711" s="6">
        <v>4.0</v>
      </c>
      <c r="C2711" s="7">
        <v>168.0</v>
      </c>
      <c r="D2711" s="6" t="s">
        <v>3194</v>
      </c>
      <c r="E2711" s="21">
        <v>1.0</v>
      </c>
      <c r="F2711" s="22" t="s">
        <v>2654</v>
      </c>
    </row>
    <row r="2712">
      <c r="A2712" s="5" t="s">
        <v>3205</v>
      </c>
      <c r="B2712" s="6">
        <v>1.0</v>
      </c>
      <c r="C2712" s="7">
        <v>150.0</v>
      </c>
      <c r="D2712" s="6" t="s">
        <v>3167</v>
      </c>
      <c r="E2712" s="21">
        <v>1.0</v>
      </c>
      <c r="F2712" s="22" t="s">
        <v>2655</v>
      </c>
    </row>
    <row r="2713">
      <c r="A2713" s="5" t="s">
        <v>3199</v>
      </c>
      <c r="B2713" s="6">
        <v>3.0</v>
      </c>
      <c r="C2713" s="7">
        <v>89.0</v>
      </c>
      <c r="D2713" s="6" t="s">
        <v>3262</v>
      </c>
      <c r="E2713" s="21">
        <v>1.0</v>
      </c>
      <c r="F2713" s="22" t="s">
        <v>2656</v>
      </c>
    </row>
    <row r="2714">
      <c r="A2714" s="5" t="s">
        <v>3247</v>
      </c>
      <c r="B2714" s="6">
        <v>6.0</v>
      </c>
      <c r="C2714" s="7">
        <v>142.0</v>
      </c>
      <c r="D2714" s="6" t="s">
        <v>3173</v>
      </c>
      <c r="E2714" s="21">
        <v>1.0</v>
      </c>
      <c r="F2714" s="22" t="s">
        <v>2657</v>
      </c>
    </row>
    <row r="2715">
      <c r="A2715" s="5" t="s">
        <v>3174</v>
      </c>
      <c r="B2715" s="6">
        <v>1.0</v>
      </c>
      <c r="C2715" s="7">
        <v>22.0</v>
      </c>
      <c r="D2715" s="6" t="s">
        <v>3167</v>
      </c>
      <c r="E2715" s="21">
        <v>1.0</v>
      </c>
      <c r="F2715" s="22" t="s">
        <v>2658</v>
      </c>
    </row>
    <row r="2716">
      <c r="A2716" s="5" t="s">
        <v>3258</v>
      </c>
      <c r="B2716" s="6">
        <v>6.0</v>
      </c>
      <c r="C2716" s="7">
        <v>157.0</v>
      </c>
      <c r="D2716" s="6" t="s">
        <v>3219</v>
      </c>
      <c r="E2716" s="21">
        <v>5.0</v>
      </c>
      <c r="F2716" s="22" t="s">
        <v>2659</v>
      </c>
    </row>
    <row r="2717">
      <c r="A2717" s="5" t="s">
        <v>3234</v>
      </c>
      <c r="B2717" s="6">
        <v>6.0</v>
      </c>
      <c r="C2717" s="7">
        <v>97.0</v>
      </c>
      <c r="D2717" s="6" t="s">
        <v>3194</v>
      </c>
      <c r="E2717" s="21">
        <v>5.0</v>
      </c>
      <c r="F2717" s="22" t="s">
        <v>2660</v>
      </c>
    </row>
    <row r="2718">
      <c r="A2718" s="5" t="s">
        <v>3202</v>
      </c>
      <c r="B2718" s="6">
        <v>4.0</v>
      </c>
      <c r="C2718" s="7">
        <v>158.0</v>
      </c>
      <c r="D2718" s="6" t="s">
        <v>3235</v>
      </c>
      <c r="E2718" s="21">
        <v>5.0</v>
      </c>
      <c r="F2718" s="22" t="s">
        <v>2661</v>
      </c>
    </row>
    <row r="2719">
      <c r="A2719" s="5" t="s">
        <v>3259</v>
      </c>
      <c r="B2719" s="6">
        <v>6.0</v>
      </c>
      <c r="C2719" s="7">
        <v>140.0</v>
      </c>
      <c r="D2719" s="6" t="s">
        <v>3190</v>
      </c>
      <c r="E2719" s="21">
        <v>5.0</v>
      </c>
      <c r="F2719" s="22" t="s">
        <v>2662</v>
      </c>
    </row>
    <row r="2720">
      <c r="A2720" s="5" t="s">
        <v>3256</v>
      </c>
      <c r="B2720" s="6">
        <v>6.0</v>
      </c>
      <c r="C2720" s="7">
        <v>124.0</v>
      </c>
      <c r="D2720" s="6" t="s">
        <v>3238</v>
      </c>
      <c r="E2720" s="21">
        <v>5.0</v>
      </c>
      <c r="F2720" s="22" t="s">
        <v>2663</v>
      </c>
    </row>
    <row r="2721">
      <c r="A2721" s="5" t="s">
        <v>3175</v>
      </c>
      <c r="B2721" s="6">
        <v>5.0</v>
      </c>
      <c r="C2721" s="7">
        <v>67.0</v>
      </c>
      <c r="D2721" s="6" t="s">
        <v>3186</v>
      </c>
      <c r="E2721" s="21">
        <v>5.0</v>
      </c>
      <c r="F2721" s="22" t="s">
        <v>2664</v>
      </c>
    </row>
    <row r="2722">
      <c r="A2722" s="5" t="s">
        <v>3233</v>
      </c>
      <c r="B2722" s="6">
        <v>6.0</v>
      </c>
      <c r="C2722" s="7">
        <v>141.0</v>
      </c>
      <c r="D2722" s="6" t="s">
        <v>3171</v>
      </c>
      <c r="E2722" s="21">
        <v>5.0</v>
      </c>
      <c r="F2722" s="22" t="s">
        <v>2665</v>
      </c>
    </row>
    <row r="2723">
      <c r="A2723" s="5" t="s">
        <v>3231</v>
      </c>
      <c r="B2723" s="6">
        <v>4.0</v>
      </c>
      <c r="C2723" s="7">
        <v>89.0</v>
      </c>
      <c r="D2723" s="6" t="s">
        <v>3262</v>
      </c>
      <c r="E2723" s="21">
        <v>5.0</v>
      </c>
      <c r="F2723" s="23" t="e">
        <v>#ERROR!</v>
      </c>
    </row>
    <row r="2724">
      <c r="A2724" s="5" t="s">
        <v>3234</v>
      </c>
      <c r="B2724" s="6">
        <v>6.0</v>
      </c>
      <c r="C2724" s="7">
        <v>193.0</v>
      </c>
      <c r="D2724" s="6" t="s">
        <v>3249</v>
      </c>
      <c r="E2724" s="21">
        <v>5.0</v>
      </c>
      <c r="F2724" s="22" t="s">
        <v>1823</v>
      </c>
    </row>
    <row r="2725">
      <c r="A2725" s="5" t="s">
        <v>3261</v>
      </c>
      <c r="B2725" s="6">
        <v>4.0</v>
      </c>
      <c r="C2725" s="7">
        <v>170.0</v>
      </c>
      <c r="D2725" s="6" t="s">
        <v>3182</v>
      </c>
      <c r="E2725" s="21">
        <v>5.0</v>
      </c>
      <c r="F2725" s="22" t="s">
        <v>2666</v>
      </c>
    </row>
    <row r="2726">
      <c r="A2726" s="5" t="s">
        <v>3259</v>
      </c>
      <c r="B2726" s="6">
        <v>6.0</v>
      </c>
      <c r="C2726" s="7">
        <v>92.0</v>
      </c>
      <c r="D2726" s="6" t="s">
        <v>3215</v>
      </c>
      <c r="E2726" s="21">
        <v>5.0</v>
      </c>
      <c r="F2726" s="22" t="s">
        <v>2667</v>
      </c>
    </row>
    <row r="2727">
      <c r="A2727" s="5" t="s">
        <v>3259</v>
      </c>
      <c r="B2727" s="6">
        <v>6.0</v>
      </c>
      <c r="C2727" s="7">
        <v>1.0</v>
      </c>
      <c r="D2727" s="6" t="s">
        <v>3221</v>
      </c>
      <c r="E2727" s="21">
        <v>5.0</v>
      </c>
      <c r="F2727" s="22" t="s">
        <v>2668</v>
      </c>
    </row>
    <row r="2728">
      <c r="A2728" s="5" t="s">
        <v>3269</v>
      </c>
      <c r="B2728" s="6">
        <v>6.0</v>
      </c>
      <c r="C2728" s="7">
        <v>120.0</v>
      </c>
      <c r="D2728" s="6" t="s">
        <v>3171</v>
      </c>
      <c r="E2728" s="21">
        <v>4.0</v>
      </c>
      <c r="F2728" s="22" t="s">
        <v>2669</v>
      </c>
    </row>
    <row r="2729">
      <c r="A2729" s="5" t="s">
        <v>3229</v>
      </c>
      <c r="B2729" s="6">
        <v>4.0</v>
      </c>
      <c r="C2729" s="7">
        <v>150.0</v>
      </c>
      <c r="D2729" s="6" t="s">
        <v>3167</v>
      </c>
      <c r="E2729" s="21">
        <v>4.0</v>
      </c>
      <c r="F2729" s="22" t="s">
        <v>2670</v>
      </c>
    </row>
    <row r="2730">
      <c r="A2730" s="5" t="s">
        <v>3197</v>
      </c>
      <c r="B2730" s="6">
        <v>1.0</v>
      </c>
      <c r="C2730" s="7">
        <v>157.0</v>
      </c>
      <c r="D2730" s="6" t="s">
        <v>3219</v>
      </c>
      <c r="E2730" s="21">
        <v>4.0</v>
      </c>
      <c r="F2730" s="22" t="s">
        <v>2671</v>
      </c>
    </row>
    <row r="2731">
      <c r="A2731" s="5" t="s">
        <v>3175</v>
      </c>
      <c r="B2731" s="6">
        <v>5.0</v>
      </c>
      <c r="C2731" s="7">
        <v>16.0</v>
      </c>
      <c r="D2731" s="6" t="s">
        <v>3178</v>
      </c>
      <c r="E2731" s="21">
        <v>4.0</v>
      </c>
      <c r="F2731" s="22" t="s">
        <v>2672</v>
      </c>
    </row>
    <row r="2732">
      <c r="A2732" s="5" t="s">
        <v>3213</v>
      </c>
      <c r="B2732" s="6">
        <v>2.0</v>
      </c>
      <c r="C2732" s="7">
        <v>193.0</v>
      </c>
      <c r="D2732" s="6" t="s">
        <v>3249</v>
      </c>
      <c r="E2732" s="21">
        <v>4.0</v>
      </c>
      <c r="F2732" s="22" t="s">
        <v>2673</v>
      </c>
    </row>
    <row r="2733">
      <c r="A2733" s="5" t="s">
        <v>3204</v>
      </c>
      <c r="B2733" s="6">
        <v>1.0</v>
      </c>
      <c r="C2733" s="7">
        <v>133.0</v>
      </c>
      <c r="D2733" s="6" t="s">
        <v>3192</v>
      </c>
      <c r="E2733" s="21">
        <v>4.0</v>
      </c>
      <c r="F2733" s="22" t="s">
        <v>2674</v>
      </c>
    </row>
    <row r="2734">
      <c r="A2734" s="5" t="s">
        <v>3255</v>
      </c>
      <c r="B2734" s="6">
        <v>6.0</v>
      </c>
      <c r="C2734" s="7">
        <v>94.0</v>
      </c>
      <c r="D2734" s="6" t="s">
        <v>3239</v>
      </c>
      <c r="E2734" s="21">
        <v>4.0</v>
      </c>
      <c r="F2734" s="22" t="s">
        <v>2675</v>
      </c>
    </row>
    <row r="2735">
      <c r="A2735" s="5" t="s">
        <v>3216</v>
      </c>
      <c r="B2735" s="6">
        <v>6.0</v>
      </c>
      <c r="C2735" s="7">
        <v>166.0</v>
      </c>
      <c r="D2735" s="6" t="s">
        <v>3227</v>
      </c>
      <c r="E2735" s="21">
        <v>4.0</v>
      </c>
      <c r="F2735" s="22" t="s">
        <v>2676</v>
      </c>
    </row>
    <row r="2736">
      <c r="A2736" s="5" t="s">
        <v>3261</v>
      </c>
      <c r="B2736" s="6">
        <v>4.0</v>
      </c>
      <c r="C2736" s="7">
        <v>101.0</v>
      </c>
      <c r="D2736" s="6" t="s">
        <v>3238</v>
      </c>
      <c r="E2736" s="21">
        <v>4.0</v>
      </c>
      <c r="F2736" s="22" t="s">
        <v>2677</v>
      </c>
    </row>
    <row r="2737">
      <c r="A2737" s="5" t="s">
        <v>3230</v>
      </c>
      <c r="B2737" s="6">
        <v>1.0</v>
      </c>
      <c r="C2737" s="7">
        <v>190.0</v>
      </c>
      <c r="D2737" s="6" t="s">
        <v>3186</v>
      </c>
      <c r="E2737" s="21">
        <v>4.0</v>
      </c>
      <c r="F2737" s="22" t="s">
        <v>2678</v>
      </c>
    </row>
    <row r="2738">
      <c r="A2738" s="5" t="s">
        <v>3250</v>
      </c>
      <c r="B2738" s="6">
        <v>4.0</v>
      </c>
      <c r="C2738" s="7">
        <v>192.0</v>
      </c>
      <c r="D2738" s="6" t="s">
        <v>3186</v>
      </c>
      <c r="E2738" s="21">
        <v>4.0</v>
      </c>
      <c r="F2738" s="22" t="s">
        <v>2679</v>
      </c>
    </row>
    <row r="2739">
      <c r="A2739" s="5" t="s">
        <v>3236</v>
      </c>
      <c r="B2739" s="6">
        <v>6.0</v>
      </c>
      <c r="C2739" s="7">
        <v>12.0</v>
      </c>
      <c r="D2739" s="6" t="s">
        <v>3225</v>
      </c>
      <c r="E2739" s="21">
        <v>4.0</v>
      </c>
      <c r="F2739" s="22" t="s">
        <v>2680</v>
      </c>
    </row>
    <row r="2740">
      <c r="A2740" s="5" t="s">
        <v>3269</v>
      </c>
      <c r="B2740" s="6">
        <v>6.0</v>
      </c>
      <c r="C2740" s="7">
        <v>159.0</v>
      </c>
      <c r="D2740" s="6" t="s">
        <v>3188</v>
      </c>
      <c r="E2740" s="21">
        <v>4.0</v>
      </c>
      <c r="F2740" s="22" t="s">
        <v>2681</v>
      </c>
    </row>
    <row r="2741">
      <c r="A2741" s="5" t="s">
        <v>3263</v>
      </c>
      <c r="B2741" s="6">
        <v>1.0</v>
      </c>
      <c r="C2741" s="7">
        <v>61.0</v>
      </c>
      <c r="D2741" s="6" t="s">
        <v>3249</v>
      </c>
      <c r="E2741" s="21">
        <v>3.0</v>
      </c>
      <c r="F2741" s="22" t="s">
        <v>2682</v>
      </c>
    </row>
    <row r="2742">
      <c r="A2742" s="5" t="s">
        <v>3266</v>
      </c>
      <c r="B2742" s="6">
        <v>3.0</v>
      </c>
      <c r="C2742" s="7">
        <v>90.0</v>
      </c>
      <c r="D2742" s="6" t="s">
        <v>3178</v>
      </c>
      <c r="E2742" s="21">
        <v>3.0</v>
      </c>
      <c r="F2742" s="22" t="s">
        <v>2683</v>
      </c>
    </row>
    <row r="2743">
      <c r="A2743" s="5" t="s">
        <v>3243</v>
      </c>
      <c r="B2743" s="6">
        <v>4.0</v>
      </c>
      <c r="C2743" s="7">
        <v>111.0</v>
      </c>
      <c r="D2743" s="6" t="s">
        <v>3235</v>
      </c>
      <c r="E2743" s="21">
        <v>3.0</v>
      </c>
      <c r="F2743" s="22" t="s">
        <v>2684</v>
      </c>
    </row>
    <row r="2744">
      <c r="A2744" s="5" t="s">
        <v>3234</v>
      </c>
      <c r="B2744" s="6">
        <v>6.0</v>
      </c>
      <c r="C2744" s="7">
        <v>137.0</v>
      </c>
      <c r="D2744" s="6" t="s">
        <v>3215</v>
      </c>
      <c r="E2744" s="21">
        <v>2.0</v>
      </c>
      <c r="F2744" s="22" t="s">
        <v>2685</v>
      </c>
    </row>
    <row r="2745">
      <c r="A2745" s="5" t="s">
        <v>3208</v>
      </c>
      <c r="B2745" s="6">
        <v>4.0</v>
      </c>
      <c r="C2745" s="7">
        <v>3.0</v>
      </c>
      <c r="D2745" s="6" t="s">
        <v>3200</v>
      </c>
      <c r="E2745" s="21">
        <v>2.0</v>
      </c>
      <c r="F2745" s="22" t="s">
        <v>2686</v>
      </c>
    </row>
    <row r="2746">
      <c r="A2746" s="5" t="s">
        <v>3266</v>
      </c>
      <c r="B2746" s="6">
        <v>3.0</v>
      </c>
      <c r="C2746" s="7">
        <v>145.0</v>
      </c>
      <c r="D2746" s="6" t="s">
        <v>3222</v>
      </c>
      <c r="E2746" s="21">
        <v>2.0</v>
      </c>
      <c r="F2746" s="22" t="s">
        <v>2687</v>
      </c>
    </row>
    <row r="2747">
      <c r="A2747" s="5" t="s">
        <v>3224</v>
      </c>
      <c r="B2747" s="6">
        <v>6.0</v>
      </c>
      <c r="C2747" s="7">
        <v>7.0</v>
      </c>
      <c r="D2747" s="6" t="s">
        <v>3180</v>
      </c>
      <c r="E2747" s="21">
        <v>2.0</v>
      </c>
      <c r="F2747" s="22" t="s">
        <v>777</v>
      </c>
    </row>
    <row r="2748">
      <c r="A2748" s="5" t="s">
        <v>3216</v>
      </c>
      <c r="B2748" s="6">
        <v>6.0</v>
      </c>
      <c r="C2748" s="7">
        <v>101.0</v>
      </c>
      <c r="D2748" s="6" t="s">
        <v>3238</v>
      </c>
      <c r="E2748" s="21">
        <v>2.0</v>
      </c>
      <c r="F2748" s="22" t="s">
        <v>2688</v>
      </c>
    </row>
    <row r="2749">
      <c r="A2749" s="5" t="s">
        <v>3174</v>
      </c>
      <c r="B2749" s="6">
        <v>1.0</v>
      </c>
      <c r="C2749" s="7">
        <v>39.0</v>
      </c>
      <c r="D2749" s="6" t="s">
        <v>3254</v>
      </c>
      <c r="E2749" s="21">
        <v>1.0</v>
      </c>
      <c r="F2749" s="22" t="s">
        <v>2689</v>
      </c>
    </row>
    <row r="2750">
      <c r="A2750" s="5" t="s">
        <v>3191</v>
      </c>
      <c r="B2750" s="6">
        <v>5.0</v>
      </c>
      <c r="C2750" s="7">
        <v>138.0</v>
      </c>
      <c r="D2750" s="6" t="s">
        <v>3219</v>
      </c>
      <c r="E2750" s="21">
        <v>1.0</v>
      </c>
      <c r="F2750" s="22" t="s">
        <v>2690</v>
      </c>
    </row>
    <row r="2751">
      <c r="A2751" s="5" t="s">
        <v>3191</v>
      </c>
      <c r="B2751" s="6">
        <v>5.0</v>
      </c>
      <c r="C2751" s="7">
        <v>67.0</v>
      </c>
      <c r="D2751" s="6" t="s">
        <v>3186</v>
      </c>
      <c r="E2751" s="21">
        <v>1.0</v>
      </c>
      <c r="F2751" s="22" t="s">
        <v>2691</v>
      </c>
    </row>
    <row r="2752">
      <c r="A2752" s="5" t="s">
        <v>3177</v>
      </c>
      <c r="B2752" s="6">
        <v>5.0</v>
      </c>
      <c r="C2752" s="7">
        <v>85.0</v>
      </c>
      <c r="D2752" s="6" t="s">
        <v>3192</v>
      </c>
      <c r="E2752" s="21">
        <v>1.0</v>
      </c>
      <c r="F2752" s="22" t="s">
        <v>2692</v>
      </c>
    </row>
    <row r="2753">
      <c r="A2753" s="5" t="s">
        <v>3240</v>
      </c>
      <c r="B2753" s="6">
        <v>2.0</v>
      </c>
      <c r="C2753" s="7">
        <v>71.0</v>
      </c>
      <c r="D2753" s="6" t="s">
        <v>3176</v>
      </c>
      <c r="E2753" s="21">
        <v>1.0</v>
      </c>
      <c r="F2753" s="22" t="s">
        <v>2693</v>
      </c>
    </row>
    <row r="2754">
      <c r="A2754" s="5" t="s">
        <v>3236</v>
      </c>
      <c r="B2754" s="6">
        <v>6.0</v>
      </c>
      <c r="C2754" s="7">
        <v>189.0</v>
      </c>
      <c r="D2754" s="6" t="s">
        <v>3225</v>
      </c>
      <c r="E2754" s="21">
        <v>1.0</v>
      </c>
      <c r="F2754" s="22" t="s">
        <v>2694</v>
      </c>
    </row>
    <row r="2755">
      <c r="A2755" s="5" t="s">
        <v>3212</v>
      </c>
      <c r="B2755" s="6">
        <v>6.0</v>
      </c>
      <c r="C2755" s="7">
        <v>81.0</v>
      </c>
      <c r="D2755" s="6" t="s">
        <v>3169</v>
      </c>
      <c r="E2755" s="21">
        <v>1.0</v>
      </c>
      <c r="F2755" s="22" t="s">
        <v>2695</v>
      </c>
    </row>
    <row r="2756">
      <c r="A2756" s="5" t="s">
        <v>3213</v>
      </c>
      <c r="B2756" s="6">
        <v>2.0</v>
      </c>
      <c r="C2756" s="7">
        <v>33.0</v>
      </c>
      <c r="D2756" s="6" t="s">
        <v>3225</v>
      </c>
      <c r="E2756" s="21">
        <v>1.0</v>
      </c>
      <c r="F2756" s="22" t="s">
        <v>2696</v>
      </c>
    </row>
    <row r="2757">
      <c r="A2757" s="5" t="s">
        <v>3270</v>
      </c>
      <c r="B2757" s="6">
        <v>3.0</v>
      </c>
      <c r="C2757" s="7">
        <v>196.0</v>
      </c>
      <c r="D2757" s="6" t="s">
        <v>3169</v>
      </c>
      <c r="E2757" s="21">
        <v>1.0</v>
      </c>
      <c r="F2757" s="22" t="s">
        <v>2697</v>
      </c>
    </row>
    <row r="2758">
      <c r="A2758" s="5" t="s">
        <v>3206</v>
      </c>
      <c r="B2758" s="6">
        <v>6.0</v>
      </c>
      <c r="C2758" s="7">
        <v>46.0</v>
      </c>
      <c r="D2758" s="6" t="s">
        <v>3194</v>
      </c>
      <c r="E2758" s="21">
        <v>1.0</v>
      </c>
      <c r="F2758" s="22" t="s">
        <v>2698</v>
      </c>
    </row>
    <row r="2759">
      <c r="A2759" s="5" t="s">
        <v>3230</v>
      </c>
      <c r="B2759" s="6">
        <v>1.0</v>
      </c>
      <c r="C2759" s="7">
        <v>195.0</v>
      </c>
      <c r="D2759" s="6" t="s">
        <v>3239</v>
      </c>
      <c r="E2759" s="21">
        <v>1.0</v>
      </c>
      <c r="F2759" s="22" t="s">
        <v>2699</v>
      </c>
    </row>
    <row r="2760">
      <c r="A2760" s="5" t="s">
        <v>3228</v>
      </c>
      <c r="B2760" s="6">
        <v>6.0</v>
      </c>
      <c r="C2760" s="7">
        <v>199.0</v>
      </c>
      <c r="D2760" s="6" t="s">
        <v>3169</v>
      </c>
      <c r="E2760" s="21">
        <v>1.0</v>
      </c>
      <c r="F2760" s="22" t="s">
        <v>2700</v>
      </c>
    </row>
    <row r="2761">
      <c r="A2761" s="5" t="s">
        <v>3226</v>
      </c>
      <c r="B2761" s="6">
        <v>1.0</v>
      </c>
      <c r="C2761" s="7">
        <v>198.0</v>
      </c>
      <c r="D2761" s="6" t="s">
        <v>3180</v>
      </c>
      <c r="E2761" s="21">
        <v>1.0</v>
      </c>
      <c r="F2761" s="22" t="s">
        <v>2701</v>
      </c>
    </row>
    <row r="2762">
      <c r="A2762" s="5" t="s">
        <v>3231</v>
      </c>
      <c r="B2762" s="6">
        <v>4.0</v>
      </c>
      <c r="C2762" s="7">
        <v>89.0</v>
      </c>
      <c r="D2762" s="6" t="s">
        <v>3262</v>
      </c>
      <c r="E2762" s="21">
        <v>1.0</v>
      </c>
      <c r="F2762" s="22" t="s">
        <v>2702</v>
      </c>
    </row>
    <row r="2763">
      <c r="A2763" s="5" t="s">
        <v>3253</v>
      </c>
      <c r="B2763" s="6">
        <v>1.0</v>
      </c>
      <c r="C2763" s="7">
        <v>160.0</v>
      </c>
      <c r="D2763" s="6" t="s">
        <v>3239</v>
      </c>
      <c r="E2763" s="21">
        <v>1.0</v>
      </c>
      <c r="F2763" s="22" t="s">
        <v>2703</v>
      </c>
    </row>
    <row r="2764">
      <c r="A2764" s="5" t="s">
        <v>3174</v>
      </c>
      <c r="B2764" s="6">
        <v>1.0</v>
      </c>
      <c r="C2764" s="7">
        <v>113.0</v>
      </c>
      <c r="D2764" s="6" t="s">
        <v>3207</v>
      </c>
      <c r="E2764" s="21">
        <v>1.0</v>
      </c>
      <c r="F2764" s="22" t="s">
        <v>2704</v>
      </c>
    </row>
    <row r="2765">
      <c r="A2765" s="5" t="s">
        <v>3179</v>
      </c>
      <c r="B2765" s="6">
        <v>1.0</v>
      </c>
      <c r="C2765" s="7">
        <v>93.0</v>
      </c>
      <c r="D2765" s="6" t="s">
        <v>3221</v>
      </c>
      <c r="E2765" s="21">
        <v>5.0</v>
      </c>
      <c r="F2765" s="22" t="s">
        <v>2705</v>
      </c>
    </row>
    <row r="2766">
      <c r="A2766" s="5" t="s">
        <v>3210</v>
      </c>
      <c r="B2766" s="6">
        <v>1.0</v>
      </c>
      <c r="C2766" s="7">
        <v>171.0</v>
      </c>
      <c r="D2766" s="6" t="s">
        <v>3245</v>
      </c>
      <c r="E2766" s="21">
        <v>5.0</v>
      </c>
      <c r="F2766" s="22" t="s">
        <v>2706</v>
      </c>
    </row>
    <row r="2767">
      <c r="A2767" s="5" t="s">
        <v>3226</v>
      </c>
      <c r="B2767" s="6">
        <v>1.0</v>
      </c>
      <c r="C2767" s="7">
        <v>138.0</v>
      </c>
      <c r="D2767" s="6" t="s">
        <v>3219</v>
      </c>
      <c r="E2767" s="21">
        <v>5.0</v>
      </c>
      <c r="F2767" s="22" t="s">
        <v>2707</v>
      </c>
    </row>
    <row r="2768">
      <c r="A2768" s="5" t="s">
        <v>3170</v>
      </c>
      <c r="B2768" s="6">
        <v>1.0</v>
      </c>
      <c r="C2768" s="7">
        <v>91.0</v>
      </c>
      <c r="D2768" s="6" t="s">
        <v>3178</v>
      </c>
      <c r="E2768" s="21">
        <v>5.0</v>
      </c>
      <c r="F2768" s="22" t="s">
        <v>2708</v>
      </c>
    </row>
    <row r="2769">
      <c r="A2769" s="5" t="s">
        <v>3233</v>
      </c>
      <c r="B2769" s="6">
        <v>6.0</v>
      </c>
      <c r="C2769" s="7">
        <v>3.0</v>
      </c>
      <c r="D2769" s="6" t="s">
        <v>3200</v>
      </c>
      <c r="E2769" s="21">
        <v>5.0</v>
      </c>
      <c r="F2769" s="22" t="s">
        <v>2709</v>
      </c>
    </row>
    <row r="2770">
      <c r="A2770" s="5" t="s">
        <v>3175</v>
      </c>
      <c r="B2770" s="6">
        <v>5.0</v>
      </c>
      <c r="C2770" s="7">
        <v>163.0</v>
      </c>
      <c r="D2770" s="6" t="s">
        <v>3173</v>
      </c>
      <c r="E2770" s="21">
        <v>5.0</v>
      </c>
      <c r="F2770" s="22" t="s">
        <v>2710</v>
      </c>
    </row>
    <row r="2771">
      <c r="A2771" s="5" t="s">
        <v>3174</v>
      </c>
      <c r="B2771" s="6">
        <v>1.0</v>
      </c>
      <c r="C2771" s="7">
        <v>122.0</v>
      </c>
      <c r="D2771" s="6" t="s">
        <v>3232</v>
      </c>
      <c r="E2771" s="21">
        <v>5.0</v>
      </c>
      <c r="F2771" s="22" t="s">
        <v>2711</v>
      </c>
    </row>
    <row r="2772">
      <c r="A2772" s="5" t="s">
        <v>3231</v>
      </c>
      <c r="B2772" s="6">
        <v>4.0</v>
      </c>
      <c r="C2772" s="7">
        <v>115.0</v>
      </c>
      <c r="D2772" s="6" t="s">
        <v>3173</v>
      </c>
      <c r="E2772" s="21">
        <v>5.0</v>
      </c>
      <c r="F2772" s="22" t="s">
        <v>2712</v>
      </c>
    </row>
    <row r="2773">
      <c r="A2773" s="5" t="s">
        <v>3202</v>
      </c>
      <c r="B2773" s="6">
        <v>4.0</v>
      </c>
      <c r="C2773" s="7">
        <v>185.0</v>
      </c>
      <c r="D2773" s="6" t="s">
        <v>3173</v>
      </c>
      <c r="E2773" s="21">
        <v>5.0</v>
      </c>
      <c r="F2773" s="22" t="s">
        <v>2713</v>
      </c>
    </row>
    <row r="2774">
      <c r="A2774" s="5" t="s">
        <v>3172</v>
      </c>
      <c r="B2774" s="6">
        <v>1.0</v>
      </c>
      <c r="C2774" s="7">
        <v>114.0</v>
      </c>
      <c r="D2774" s="6" t="s">
        <v>3245</v>
      </c>
      <c r="E2774" s="21">
        <v>5.0</v>
      </c>
      <c r="F2774" s="22" t="s">
        <v>2714</v>
      </c>
    </row>
    <row r="2775">
      <c r="A2775" s="5" t="s">
        <v>3264</v>
      </c>
      <c r="B2775" s="6">
        <v>4.0</v>
      </c>
      <c r="C2775" s="7">
        <v>121.0</v>
      </c>
      <c r="D2775" s="6" t="s">
        <v>3173</v>
      </c>
      <c r="E2775" s="21">
        <v>5.0</v>
      </c>
      <c r="F2775" s="22" t="s">
        <v>2715</v>
      </c>
    </row>
    <row r="2776">
      <c r="A2776" s="5" t="s">
        <v>3266</v>
      </c>
      <c r="B2776" s="6">
        <v>3.0</v>
      </c>
      <c r="C2776" s="7">
        <v>41.0</v>
      </c>
      <c r="D2776" s="6" t="s">
        <v>3238</v>
      </c>
      <c r="E2776" s="21">
        <v>5.0</v>
      </c>
      <c r="F2776" s="22" t="s">
        <v>2716</v>
      </c>
    </row>
    <row r="2777">
      <c r="A2777" s="5" t="s">
        <v>3191</v>
      </c>
      <c r="B2777" s="6">
        <v>5.0</v>
      </c>
      <c r="C2777" s="7">
        <v>49.0</v>
      </c>
      <c r="D2777" s="6" t="s">
        <v>3254</v>
      </c>
      <c r="E2777" s="21">
        <v>5.0</v>
      </c>
      <c r="F2777" s="22" t="s">
        <v>2717</v>
      </c>
    </row>
    <row r="2778">
      <c r="A2778" s="5" t="s">
        <v>3174</v>
      </c>
      <c r="B2778" s="6">
        <v>1.0</v>
      </c>
      <c r="C2778" s="7">
        <v>11.0</v>
      </c>
      <c r="D2778" s="6" t="s">
        <v>3180</v>
      </c>
      <c r="E2778" s="21">
        <v>5.0</v>
      </c>
      <c r="F2778" s="22" t="s">
        <v>2718</v>
      </c>
    </row>
    <row r="2779">
      <c r="A2779" s="5" t="s">
        <v>3202</v>
      </c>
      <c r="B2779" s="6">
        <v>4.0</v>
      </c>
      <c r="C2779" s="7">
        <v>79.0</v>
      </c>
      <c r="D2779" s="6" t="s">
        <v>3232</v>
      </c>
      <c r="E2779" s="21">
        <v>5.0</v>
      </c>
      <c r="F2779" s="22" t="s">
        <v>2719</v>
      </c>
    </row>
    <row r="2780">
      <c r="A2780" s="5" t="s">
        <v>3202</v>
      </c>
      <c r="B2780" s="6">
        <v>4.0</v>
      </c>
      <c r="C2780" s="7">
        <v>110.0</v>
      </c>
      <c r="D2780" s="6" t="s">
        <v>3211</v>
      </c>
      <c r="E2780" s="21">
        <v>5.0</v>
      </c>
      <c r="F2780" s="22" t="s">
        <v>2720</v>
      </c>
    </row>
    <row r="2781">
      <c r="A2781" s="5" t="s">
        <v>3166</v>
      </c>
      <c r="B2781" s="6">
        <v>6.0</v>
      </c>
      <c r="C2781" s="7">
        <v>153.0</v>
      </c>
      <c r="D2781" s="6" t="s">
        <v>3180</v>
      </c>
      <c r="E2781" s="21">
        <v>5.0</v>
      </c>
      <c r="F2781" s="22" t="s">
        <v>2721</v>
      </c>
    </row>
    <row r="2782">
      <c r="A2782" s="5" t="s">
        <v>3175</v>
      </c>
      <c r="B2782" s="6">
        <v>5.0</v>
      </c>
      <c r="C2782" s="7">
        <v>91.0</v>
      </c>
      <c r="D2782" s="6" t="s">
        <v>3178</v>
      </c>
      <c r="E2782" s="21">
        <v>5.0</v>
      </c>
      <c r="F2782" s="22" t="s">
        <v>2722</v>
      </c>
    </row>
    <row r="2783">
      <c r="A2783" s="5" t="s">
        <v>3233</v>
      </c>
      <c r="B2783" s="6">
        <v>6.0</v>
      </c>
      <c r="C2783" s="7">
        <v>180.0</v>
      </c>
      <c r="D2783" s="6" t="s">
        <v>3192</v>
      </c>
      <c r="E2783" s="21">
        <v>4.0</v>
      </c>
      <c r="F2783" s="22" t="s">
        <v>2723</v>
      </c>
    </row>
    <row r="2784">
      <c r="A2784" s="5" t="s">
        <v>3255</v>
      </c>
      <c r="B2784" s="6">
        <v>6.0</v>
      </c>
      <c r="C2784" s="7">
        <v>159.0</v>
      </c>
      <c r="D2784" s="6" t="s">
        <v>3188</v>
      </c>
      <c r="E2784" s="21">
        <v>4.0</v>
      </c>
      <c r="F2784" s="22" t="s">
        <v>2724</v>
      </c>
    </row>
    <row r="2785">
      <c r="A2785" s="5" t="s">
        <v>3174</v>
      </c>
      <c r="B2785" s="6">
        <v>1.0</v>
      </c>
      <c r="C2785" s="7">
        <v>190.0</v>
      </c>
      <c r="D2785" s="6" t="s">
        <v>3186</v>
      </c>
      <c r="E2785" s="21">
        <v>4.0</v>
      </c>
      <c r="F2785" s="22" t="s">
        <v>2725</v>
      </c>
    </row>
    <row r="2786">
      <c r="A2786" s="5" t="s">
        <v>3226</v>
      </c>
      <c r="B2786" s="6">
        <v>1.0</v>
      </c>
      <c r="C2786" s="7">
        <v>26.0</v>
      </c>
      <c r="D2786" s="6" t="s">
        <v>3188</v>
      </c>
      <c r="E2786" s="21">
        <v>4.0</v>
      </c>
      <c r="F2786" s="22" t="s">
        <v>2726</v>
      </c>
    </row>
    <row r="2787">
      <c r="A2787" s="5" t="s">
        <v>3210</v>
      </c>
      <c r="B2787" s="6">
        <v>1.0</v>
      </c>
      <c r="C2787" s="7">
        <v>68.0</v>
      </c>
      <c r="D2787" s="6" t="s">
        <v>3182</v>
      </c>
      <c r="E2787" s="21">
        <v>4.0</v>
      </c>
      <c r="F2787" s="22" t="s">
        <v>2727</v>
      </c>
    </row>
    <row r="2788">
      <c r="A2788" s="5" t="s">
        <v>3258</v>
      </c>
      <c r="B2788" s="6">
        <v>6.0</v>
      </c>
      <c r="C2788" s="7">
        <v>41.0</v>
      </c>
      <c r="D2788" s="6" t="s">
        <v>3238</v>
      </c>
      <c r="E2788" s="21">
        <v>4.0</v>
      </c>
      <c r="F2788" s="22" t="s">
        <v>2728</v>
      </c>
    </row>
    <row r="2789">
      <c r="A2789" s="5" t="s">
        <v>3264</v>
      </c>
      <c r="B2789" s="6">
        <v>4.0</v>
      </c>
      <c r="C2789" s="7">
        <v>141.0</v>
      </c>
      <c r="D2789" s="6" t="s">
        <v>3171</v>
      </c>
      <c r="E2789" s="21">
        <v>4.0</v>
      </c>
      <c r="F2789" s="22" t="s">
        <v>2729</v>
      </c>
    </row>
    <row r="2790">
      <c r="A2790" s="5" t="s">
        <v>3253</v>
      </c>
      <c r="B2790" s="6">
        <v>1.0</v>
      </c>
      <c r="C2790" s="7">
        <v>193.0</v>
      </c>
      <c r="D2790" s="6" t="s">
        <v>3249</v>
      </c>
      <c r="E2790" s="21">
        <v>4.0</v>
      </c>
      <c r="F2790" s="22" t="s">
        <v>2730</v>
      </c>
    </row>
    <row r="2791">
      <c r="A2791" s="5" t="s">
        <v>3265</v>
      </c>
      <c r="B2791" s="6">
        <v>1.0</v>
      </c>
      <c r="C2791" s="7">
        <v>172.0</v>
      </c>
      <c r="D2791" s="6" t="s">
        <v>3178</v>
      </c>
      <c r="E2791" s="21">
        <v>3.0</v>
      </c>
      <c r="F2791" s="22" t="s">
        <v>83</v>
      </c>
    </row>
    <row r="2792">
      <c r="A2792" s="5" t="s">
        <v>3201</v>
      </c>
      <c r="B2792" s="6">
        <v>5.0</v>
      </c>
      <c r="C2792" s="7">
        <v>126.0</v>
      </c>
      <c r="D2792" s="6" t="s">
        <v>3211</v>
      </c>
      <c r="E2792" s="21">
        <v>3.0</v>
      </c>
      <c r="F2792" s="22" t="s">
        <v>914</v>
      </c>
    </row>
    <row r="2793">
      <c r="A2793" s="5" t="s">
        <v>3244</v>
      </c>
      <c r="B2793" s="6">
        <v>1.0</v>
      </c>
      <c r="C2793" s="7">
        <v>20.0</v>
      </c>
      <c r="D2793" s="6" t="s">
        <v>3173</v>
      </c>
      <c r="E2793" s="21">
        <v>2.0</v>
      </c>
      <c r="F2793" s="22" t="s">
        <v>2731</v>
      </c>
    </row>
    <row r="2794">
      <c r="A2794" s="5" t="s">
        <v>3195</v>
      </c>
      <c r="B2794" s="6">
        <v>4.0</v>
      </c>
      <c r="C2794" s="7">
        <v>121.0</v>
      </c>
      <c r="D2794" s="6" t="s">
        <v>3173</v>
      </c>
      <c r="E2794" s="21">
        <v>2.0</v>
      </c>
      <c r="F2794" s="22" t="s">
        <v>2732</v>
      </c>
    </row>
    <row r="2795">
      <c r="A2795" s="5" t="s">
        <v>3168</v>
      </c>
      <c r="B2795" s="6">
        <v>1.0</v>
      </c>
      <c r="C2795" s="7">
        <v>15.0</v>
      </c>
      <c r="D2795" s="6" t="s">
        <v>3254</v>
      </c>
      <c r="E2795" s="21">
        <v>2.0</v>
      </c>
      <c r="F2795" s="22" t="s">
        <v>2733</v>
      </c>
    </row>
    <row r="2796">
      <c r="A2796" s="5" t="s">
        <v>3172</v>
      </c>
      <c r="B2796" s="6">
        <v>1.0</v>
      </c>
      <c r="C2796" s="7">
        <v>169.0</v>
      </c>
      <c r="D2796" s="6" t="s">
        <v>3200</v>
      </c>
      <c r="E2796" s="21">
        <v>2.0</v>
      </c>
      <c r="F2796" s="22" t="s">
        <v>2734</v>
      </c>
    </row>
    <row r="2797">
      <c r="A2797" s="5" t="s">
        <v>3267</v>
      </c>
      <c r="B2797" s="6">
        <v>3.0</v>
      </c>
      <c r="C2797" s="7">
        <v>192.0</v>
      </c>
      <c r="D2797" s="6" t="s">
        <v>3186</v>
      </c>
      <c r="E2797" s="21">
        <v>2.0</v>
      </c>
      <c r="F2797" s="22" t="s">
        <v>2735</v>
      </c>
    </row>
    <row r="2798">
      <c r="A2798" s="5" t="s">
        <v>3218</v>
      </c>
      <c r="B2798" s="6">
        <v>5.0</v>
      </c>
      <c r="C2798" s="7">
        <v>5.0</v>
      </c>
      <c r="D2798" s="6" t="s">
        <v>3207</v>
      </c>
      <c r="E2798" s="21">
        <v>2.0</v>
      </c>
      <c r="F2798" s="22" t="s">
        <v>2736</v>
      </c>
    </row>
    <row r="2799">
      <c r="A2799" s="5" t="s">
        <v>3174</v>
      </c>
      <c r="B2799" s="6">
        <v>1.0</v>
      </c>
      <c r="C2799" s="7">
        <v>85.0</v>
      </c>
      <c r="D2799" s="6" t="s">
        <v>3192</v>
      </c>
      <c r="E2799" s="21">
        <v>2.0</v>
      </c>
      <c r="F2799" s="22" t="s">
        <v>2737</v>
      </c>
    </row>
    <row r="2800">
      <c r="A2800" s="5" t="s">
        <v>3206</v>
      </c>
      <c r="B2800" s="6">
        <v>6.0</v>
      </c>
      <c r="C2800" s="7">
        <v>92.0</v>
      </c>
      <c r="D2800" s="6" t="s">
        <v>3215</v>
      </c>
      <c r="E2800" s="21">
        <v>1.0</v>
      </c>
      <c r="F2800" s="22" t="s">
        <v>2738</v>
      </c>
    </row>
    <row r="2801">
      <c r="A2801" s="5" t="s">
        <v>3229</v>
      </c>
      <c r="B2801" s="6">
        <v>4.0</v>
      </c>
      <c r="C2801" s="7">
        <v>128.0</v>
      </c>
      <c r="D2801" s="6" t="s">
        <v>3211</v>
      </c>
      <c r="E2801" s="21">
        <v>1.0</v>
      </c>
      <c r="F2801" s="22" t="s">
        <v>2739</v>
      </c>
    </row>
    <row r="2802">
      <c r="A2802" s="5" t="s">
        <v>3255</v>
      </c>
      <c r="B2802" s="6">
        <v>6.0</v>
      </c>
      <c r="C2802" s="7">
        <v>171.0</v>
      </c>
      <c r="D2802" s="6" t="s">
        <v>3245</v>
      </c>
      <c r="E2802" s="21">
        <v>1.0</v>
      </c>
      <c r="F2802" s="22" t="s">
        <v>2740</v>
      </c>
    </row>
    <row r="2803">
      <c r="A2803" s="5" t="s">
        <v>3199</v>
      </c>
      <c r="B2803" s="6">
        <v>3.0</v>
      </c>
      <c r="C2803" s="7">
        <v>118.0</v>
      </c>
      <c r="D2803" s="6" t="s">
        <v>3200</v>
      </c>
      <c r="E2803" s="21">
        <v>1.0</v>
      </c>
      <c r="F2803" s="22" t="s">
        <v>2741</v>
      </c>
    </row>
    <row r="2804">
      <c r="A2804" s="5" t="s">
        <v>3231</v>
      </c>
      <c r="B2804" s="6">
        <v>4.0</v>
      </c>
      <c r="C2804" s="7">
        <v>185.0</v>
      </c>
      <c r="D2804" s="6" t="s">
        <v>3173</v>
      </c>
      <c r="E2804" s="21">
        <v>1.0</v>
      </c>
      <c r="F2804" s="22" t="s">
        <v>2742</v>
      </c>
    </row>
    <row r="2805">
      <c r="A2805" s="5" t="s">
        <v>3231</v>
      </c>
      <c r="B2805" s="6">
        <v>4.0</v>
      </c>
      <c r="C2805" s="7">
        <v>13.0</v>
      </c>
      <c r="D2805" s="6" t="s">
        <v>3245</v>
      </c>
      <c r="E2805" s="21">
        <v>1.0</v>
      </c>
      <c r="F2805" s="22" t="s">
        <v>2743</v>
      </c>
    </row>
    <row r="2806">
      <c r="A2806" s="5" t="s">
        <v>3233</v>
      </c>
      <c r="B2806" s="6">
        <v>6.0</v>
      </c>
      <c r="C2806" s="7">
        <v>101.0</v>
      </c>
      <c r="D2806" s="6" t="s">
        <v>3238</v>
      </c>
      <c r="E2806" s="21">
        <v>5.0</v>
      </c>
      <c r="F2806" s="22" t="s">
        <v>2744</v>
      </c>
    </row>
    <row r="2807">
      <c r="A2807" s="5" t="s">
        <v>3174</v>
      </c>
      <c r="B2807" s="6">
        <v>1.0</v>
      </c>
      <c r="C2807" s="7">
        <v>178.0</v>
      </c>
      <c r="D2807" s="6" t="s">
        <v>3190</v>
      </c>
      <c r="E2807" s="21">
        <v>5.0</v>
      </c>
      <c r="F2807" s="22" t="s">
        <v>2745</v>
      </c>
    </row>
    <row r="2808">
      <c r="A2808" s="5" t="s">
        <v>3251</v>
      </c>
      <c r="B2808" s="6">
        <v>6.0</v>
      </c>
      <c r="C2808" s="7">
        <v>167.0</v>
      </c>
      <c r="D2808" s="6" t="s">
        <v>3254</v>
      </c>
      <c r="E2808" s="21">
        <v>5.0</v>
      </c>
      <c r="F2808" s="22" t="s">
        <v>2746</v>
      </c>
    </row>
    <row r="2809">
      <c r="A2809" s="5" t="s">
        <v>3220</v>
      </c>
      <c r="B2809" s="6">
        <v>6.0</v>
      </c>
      <c r="C2809" s="7">
        <v>123.0</v>
      </c>
      <c r="D2809" s="6" t="s">
        <v>3192</v>
      </c>
      <c r="E2809" s="21">
        <v>5.0</v>
      </c>
      <c r="F2809" s="22" t="s">
        <v>2747</v>
      </c>
    </row>
    <row r="2810">
      <c r="A2810" s="5" t="s">
        <v>3224</v>
      </c>
      <c r="B2810" s="6">
        <v>6.0</v>
      </c>
      <c r="C2810" s="7">
        <v>106.0</v>
      </c>
      <c r="D2810" s="6" t="s">
        <v>3167</v>
      </c>
      <c r="E2810" s="21">
        <v>5.0</v>
      </c>
      <c r="F2810" s="22" t="s">
        <v>2748</v>
      </c>
    </row>
    <row r="2811">
      <c r="A2811" s="5" t="s">
        <v>3195</v>
      </c>
      <c r="B2811" s="6">
        <v>4.0</v>
      </c>
      <c r="C2811" s="7">
        <v>197.0</v>
      </c>
      <c r="D2811" s="6" t="s">
        <v>3173</v>
      </c>
      <c r="E2811" s="21">
        <v>5.0</v>
      </c>
      <c r="F2811" s="22" t="s">
        <v>2749</v>
      </c>
    </row>
    <row r="2812">
      <c r="A2812" s="5" t="s">
        <v>3209</v>
      </c>
      <c r="B2812" s="6">
        <v>4.0</v>
      </c>
      <c r="C2812" s="7">
        <v>49.0</v>
      </c>
      <c r="D2812" s="6" t="s">
        <v>3254</v>
      </c>
      <c r="E2812" s="21">
        <v>5.0</v>
      </c>
      <c r="F2812" s="22" t="s">
        <v>2750</v>
      </c>
    </row>
    <row r="2813">
      <c r="A2813" s="5" t="s">
        <v>3204</v>
      </c>
      <c r="B2813" s="6">
        <v>1.0</v>
      </c>
      <c r="C2813" s="7">
        <v>62.0</v>
      </c>
      <c r="D2813" s="6" t="s">
        <v>3200</v>
      </c>
      <c r="E2813" s="21">
        <v>5.0</v>
      </c>
      <c r="F2813" s="22" t="s">
        <v>2751</v>
      </c>
    </row>
    <row r="2814">
      <c r="A2814" s="5" t="s">
        <v>3236</v>
      </c>
      <c r="B2814" s="6">
        <v>6.0</v>
      </c>
      <c r="C2814" s="7">
        <v>194.0</v>
      </c>
      <c r="D2814" s="6" t="s">
        <v>3215</v>
      </c>
      <c r="E2814" s="21">
        <v>5.0</v>
      </c>
      <c r="F2814" s="22" t="s">
        <v>1266</v>
      </c>
    </row>
    <row r="2815">
      <c r="A2815" s="5" t="s">
        <v>3209</v>
      </c>
      <c r="B2815" s="6">
        <v>4.0</v>
      </c>
      <c r="C2815" s="7">
        <v>161.0</v>
      </c>
      <c r="D2815" s="6" t="s">
        <v>3192</v>
      </c>
      <c r="E2815" s="21">
        <v>5.0</v>
      </c>
      <c r="F2815" s="22" t="s">
        <v>2752</v>
      </c>
    </row>
    <row r="2816">
      <c r="A2816" s="5" t="s">
        <v>3267</v>
      </c>
      <c r="B2816" s="6">
        <v>3.0</v>
      </c>
      <c r="C2816" s="7">
        <v>183.0</v>
      </c>
      <c r="D2816" s="6" t="s">
        <v>3182</v>
      </c>
      <c r="E2816" s="21">
        <v>5.0</v>
      </c>
      <c r="F2816" s="22" t="s">
        <v>2753</v>
      </c>
    </row>
    <row r="2817">
      <c r="A2817" s="5" t="s">
        <v>3260</v>
      </c>
      <c r="B2817" s="6">
        <v>1.0</v>
      </c>
      <c r="C2817" s="7">
        <v>44.0</v>
      </c>
      <c r="D2817" s="6" t="s">
        <v>3239</v>
      </c>
      <c r="E2817" s="21">
        <v>5.0</v>
      </c>
      <c r="F2817" s="22" t="s">
        <v>2754</v>
      </c>
    </row>
    <row r="2818">
      <c r="A2818" s="5" t="s">
        <v>3243</v>
      </c>
      <c r="B2818" s="6">
        <v>4.0</v>
      </c>
      <c r="C2818" s="7">
        <v>66.0</v>
      </c>
      <c r="D2818" s="6" t="s">
        <v>3171</v>
      </c>
      <c r="E2818" s="21">
        <v>5.0</v>
      </c>
      <c r="F2818" s="22" t="s">
        <v>2755</v>
      </c>
    </row>
    <row r="2819">
      <c r="A2819" s="5" t="s">
        <v>3267</v>
      </c>
      <c r="B2819" s="6">
        <v>3.0</v>
      </c>
      <c r="C2819" s="7">
        <v>65.0</v>
      </c>
      <c r="D2819" s="6" t="s">
        <v>3221</v>
      </c>
      <c r="E2819" s="21">
        <v>5.0</v>
      </c>
      <c r="F2819" s="22" t="s">
        <v>2756</v>
      </c>
    </row>
    <row r="2820">
      <c r="A2820" s="5" t="s">
        <v>3179</v>
      </c>
      <c r="B2820" s="6">
        <v>1.0</v>
      </c>
      <c r="C2820" s="7">
        <v>64.0</v>
      </c>
      <c r="D2820" s="6" t="s">
        <v>3180</v>
      </c>
      <c r="E2820" s="21">
        <v>4.0</v>
      </c>
      <c r="F2820" s="22" t="s">
        <v>2757</v>
      </c>
    </row>
    <row r="2821">
      <c r="A2821" s="5" t="s">
        <v>3202</v>
      </c>
      <c r="B2821" s="6">
        <v>4.0</v>
      </c>
      <c r="C2821" s="7">
        <v>1.0</v>
      </c>
      <c r="D2821" s="6" t="s">
        <v>3221</v>
      </c>
      <c r="E2821" s="21">
        <v>4.0</v>
      </c>
      <c r="F2821" s="22" t="s">
        <v>2758</v>
      </c>
    </row>
    <row r="2822">
      <c r="A2822" s="5" t="s">
        <v>3213</v>
      </c>
      <c r="B2822" s="6">
        <v>2.0</v>
      </c>
      <c r="C2822" s="7">
        <v>148.0</v>
      </c>
      <c r="D2822" s="6" t="s">
        <v>3262</v>
      </c>
      <c r="E2822" s="21">
        <v>4.0</v>
      </c>
      <c r="F2822" s="22" t="s">
        <v>2759</v>
      </c>
    </row>
    <row r="2823">
      <c r="A2823" s="5" t="s">
        <v>3243</v>
      </c>
      <c r="B2823" s="6">
        <v>4.0</v>
      </c>
      <c r="C2823" s="7">
        <v>63.0</v>
      </c>
      <c r="D2823" s="6" t="s">
        <v>3257</v>
      </c>
      <c r="E2823" s="21">
        <v>4.0</v>
      </c>
      <c r="F2823" s="22" t="s">
        <v>2760</v>
      </c>
    </row>
    <row r="2824">
      <c r="A2824" s="5" t="s">
        <v>3195</v>
      </c>
      <c r="B2824" s="6">
        <v>4.0</v>
      </c>
      <c r="C2824" s="7">
        <v>67.0</v>
      </c>
      <c r="D2824" s="6" t="s">
        <v>3186</v>
      </c>
      <c r="E2824" s="21">
        <v>4.0</v>
      </c>
      <c r="F2824" s="22" t="s">
        <v>2761</v>
      </c>
    </row>
    <row r="2825">
      <c r="A2825" s="5" t="s">
        <v>3208</v>
      </c>
      <c r="B2825" s="6">
        <v>4.0</v>
      </c>
      <c r="C2825" s="7">
        <v>19.0</v>
      </c>
      <c r="D2825" s="6" t="s">
        <v>3169</v>
      </c>
      <c r="E2825" s="21">
        <v>4.0</v>
      </c>
      <c r="F2825" s="22" t="s">
        <v>2762</v>
      </c>
    </row>
    <row r="2826">
      <c r="A2826" s="5" t="s">
        <v>3177</v>
      </c>
      <c r="B2826" s="6">
        <v>5.0</v>
      </c>
      <c r="C2826" s="7">
        <v>48.0</v>
      </c>
      <c r="D2826" s="6" t="s">
        <v>3232</v>
      </c>
      <c r="E2826" s="21">
        <v>4.0</v>
      </c>
      <c r="F2826" s="22" t="s">
        <v>2763</v>
      </c>
    </row>
    <row r="2827">
      <c r="A2827" s="5" t="s">
        <v>3242</v>
      </c>
      <c r="B2827" s="6">
        <v>1.0</v>
      </c>
      <c r="C2827" s="7">
        <v>178.0</v>
      </c>
      <c r="D2827" s="6" t="s">
        <v>3190</v>
      </c>
      <c r="E2827" s="21">
        <v>4.0</v>
      </c>
      <c r="F2827" s="22" t="s">
        <v>2764</v>
      </c>
    </row>
    <row r="2828">
      <c r="A2828" s="5" t="s">
        <v>3255</v>
      </c>
      <c r="B2828" s="6">
        <v>6.0</v>
      </c>
      <c r="C2828" s="7">
        <v>137.0</v>
      </c>
      <c r="D2828" s="6" t="s">
        <v>3215</v>
      </c>
      <c r="E2828" s="21">
        <v>4.0</v>
      </c>
      <c r="F2828" s="22" t="s">
        <v>2765</v>
      </c>
    </row>
    <row r="2829">
      <c r="A2829" s="5" t="s">
        <v>3175</v>
      </c>
      <c r="B2829" s="6">
        <v>5.0</v>
      </c>
      <c r="C2829" s="7">
        <v>187.0</v>
      </c>
      <c r="D2829" s="6" t="s">
        <v>3254</v>
      </c>
      <c r="E2829" s="21">
        <v>4.0</v>
      </c>
      <c r="F2829" s="22" t="s">
        <v>2766</v>
      </c>
    </row>
    <row r="2830">
      <c r="A2830" s="5" t="s">
        <v>3197</v>
      </c>
      <c r="B2830" s="6">
        <v>1.0</v>
      </c>
      <c r="C2830" s="7">
        <v>135.0</v>
      </c>
      <c r="D2830" s="6" t="s">
        <v>3207</v>
      </c>
      <c r="E2830" s="21">
        <v>4.0</v>
      </c>
      <c r="F2830" s="22" t="s">
        <v>2767</v>
      </c>
    </row>
    <row r="2831">
      <c r="A2831" s="5" t="s">
        <v>3220</v>
      </c>
      <c r="B2831" s="6">
        <v>6.0</v>
      </c>
      <c r="C2831" s="7">
        <v>97.0</v>
      </c>
      <c r="D2831" s="6" t="s">
        <v>3194</v>
      </c>
      <c r="E2831" s="21">
        <v>4.0</v>
      </c>
      <c r="F2831" s="22" t="s">
        <v>2768</v>
      </c>
    </row>
    <row r="2832">
      <c r="A2832" s="5" t="s">
        <v>3244</v>
      </c>
      <c r="B2832" s="6">
        <v>1.0</v>
      </c>
      <c r="C2832" s="7">
        <v>2.0</v>
      </c>
      <c r="D2832" s="6" t="s">
        <v>3214</v>
      </c>
      <c r="E2832" s="21">
        <v>3.0</v>
      </c>
      <c r="F2832" s="22" t="s">
        <v>2769</v>
      </c>
    </row>
    <row r="2833">
      <c r="A2833" s="5" t="s">
        <v>3252</v>
      </c>
      <c r="B2833" s="6">
        <v>6.0</v>
      </c>
      <c r="C2833" s="7">
        <v>86.0</v>
      </c>
      <c r="D2833" s="6" t="s">
        <v>3245</v>
      </c>
      <c r="E2833" s="21">
        <v>3.0</v>
      </c>
      <c r="F2833" s="22" t="s">
        <v>912</v>
      </c>
    </row>
    <row r="2834">
      <c r="A2834" s="5" t="s">
        <v>3226</v>
      </c>
      <c r="B2834" s="6">
        <v>1.0</v>
      </c>
      <c r="C2834" s="7">
        <v>137.0</v>
      </c>
      <c r="D2834" s="6" t="s">
        <v>3215</v>
      </c>
      <c r="E2834" s="21">
        <v>3.0</v>
      </c>
      <c r="F2834" s="22" t="s">
        <v>2770</v>
      </c>
    </row>
    <row r="2835">
      <c r="A2835" s="5" t="s">
        <v>3218</v>
      </c>
      <c r="B2835" s="6">
        <v>5.0</v>
      </c>
      <c r="C2835" s="7">
        <v>90.0</v>
      </c>
      <c r="D2835" s="6" t="s">
        <v>3178</v>
      </c>
      <c r="E2835" s="21">
        <v>3.0</v>
      </c>
      <c r="F2835" s="22" t="s">
        <v>2771</v>
      </c>
    </row>
    <row r="2836">
      <c r="A2836" s="5" t="s">
        <v>3264</v>
      </c>
      <c r="B2836" s="6">
        <v>4.0</v>
      </c>
      <c r="C2836" s="7">
        <v>43.0</v>
      </c>
      <c r="D2836" s="6" t="s">
        <v>3214</v>
      </c>
      <c r="E2836" s="21">
        <v>2.0</v>
      </c>
      <c r="F2836" s="22" t="s">
        <v>2772</v>
      </c>
    </row>
    <row r="2837">
      <c r="A2837" s="5" t="s">
        <v>3212</v>
      </c>
      <c r="B2837" s="6">
        <v>6.0</v>
      </c>
      <c r="C2837" s="7">
        <v>158.0</v>
      </c>
      <c r="D2837" s="6" t="s">
        <v>3235</v>
      </c>
      <c r="E2837" s="21">
        <v>2.0</v>
      </c>
      <c r="F2837" s="22" t="s">
        <v>2773</v>
      </c>
    </row>
    <row r="2838">
      <c r="A2838" s="5" t="s">
        <v>3250</v>
      </c>
      <c r="B2838" s="6">
        <v>4.0</v>
      </c>
      <c r="C2838" s="7">
        <v>37.0</v>
      </c>
      <c r="D2838" s="6" t="s">
        <v>3194</v>
      </c>
      <c r="E2838" s="21">
        <v>2.0</v>
      </c>
      <c r="F2838" s="22" t="s">
        <v>2774</v>
      </c>
    </row>
    <row r="2839">
      <c r="A2839" s="5" t="s">
        <v>3202</v>
      </c>
      <c r="B2839" s="6">
        <v>4.0</v>
      </c>
      <c r="C2839" s="7">
        <v>61.0</v>
      </c>
      <c r="D2839" s="6" t="s">
        <v>3249</v>
      </c>
      <c r="E2839" s="21">
        <v>2.0</v>
      </c>
      <c r="F2839" s="22" t="s">
        <v>2775</v>
      </c>
    </row>
    <row r="2840">
      <c r="A2840" s="5" t="s">
        <v>3255</v>
      </c>
      <c r="B2840" s="6">
        <v>6.0</v>
      </c>
      <c r="C2840" s="7">
        <v>196.0</v>
      </c>
      <c r="D2840" s="6" t="s">
        <v>3169</v>
      </c>
      <c r="E2840" s="21">
        <v>2.0</v>
      </c>
      <c r="F2840" s="22" t="s">
        <v>2776</v>
      </c>
    </row>
    <row r="2841">
      <c r="A2841" s="5" t="s">
        <v>3166</v>
      </c>
      <c r="B2841" s="6">
        <v>6.0</v>
      </c>
      <c r="C2841" s="7">
        <v>131.0</v>
      </c>
      <c r="D2841" s="6" t="s">
        <v>3227</v>
      </c>
      <c r="E2841" s="21">
        <v>2.0</v>
      </c>
      <c r="F2841" s="22" t="s">
        <v>2777</v>
      </c>
    </row>
    <row r="2842">
      <c r="A2842" s="5" t="s">
        <v>3208</v>
      </c>
      <c r="B2842" s="6">
        <v>4.0</v>
      </c>
      <c r="C2842" s="7">
        <v>90.0</v>
      </c>
      <c r="D2842" s="6" t="s">
        <v>3178</v>
      </c>
      <c r="E2842" s="21">
        <v>2.0</v>
      </c>
      <c r="F2842" s="22" t="s">
        <v>2778</v>
      </c>
    </row>
    <row r="2843">
      <c r="A2843" s="5" t="s">
        <v>3204</v>
      </c>
      <c r="B2843" s="6">
        <v>1.0</v>
      </c>
      <c r="C2843" s="7">
        <v>103.0</v>
      </c>
      <c r="D2843" s="6" t="s">
        <v>3254</v>
      </c>
      <c r="E2843" s="21">
        <v>2.0</v>
      </c>
      <c r="F2843" s="22" t="s">
        <v>2473</v>
      </c>
    </row>
    <row r="2844">
      <c r="A2844" s="5" t="s">
        <v>3177</v>
      </c>
      <c r="B2844" s="6">
        <v>5.0</v>
      </c>
      <c r="C2844" s="7">
        <v>138.0</v>
      </c>
      <c r="D2844" s="6" t="s">
        <v>3219</v>
      </c>
      <c r="E2844" s="21">
        <v>2.0</v>
      </c>
      <c r="F2844" s="22" t="s">
        <v>2779</v>
      </c>
    </row>
    <row r="2845">
      <c r="A2845" s="5" t="s">
        <v>3237</v>
      </c>
      <c r="B2845" s="6">
        <v>2.0</v>
      </c>
      <c r="C2845" s="7">
        <v>91.0</v>
      </c>
      <c r="D2845" s="6" t="s">
        <v>3178</v>
      </c>
      <c r="E2845" s="21">
        <v>2.0</v>
      </c>
      <c r="F2845" s="22" t="s">
        <v>2780</v>
      </c>
    </row>
    <row r="2846">
      <c r="A2846" s="5" t="s">
        <v>3206</v>
      </c>
      <c r="B2846" s="6">
        <v>6.0</v>
      </c>
      <c r="C2846" s="7">
        <v>89.0</v>
      </c>
      <c r="D2846" s="6" t="s">
        <v>3262</v>
      </c>
      <c r="E2846" s="21">
        <v>2.0</v>
      </c>
      <c r="F2846" s="22" t="s">
        <v>2781</v>
      </c>
    </row>
    <row r="2847">
      <c r="A2847" s="5" t="s">
        <v>3191</v>
      </c>
      <c r="B2847" s="6">
        <v>5.0</v>
      </c>
      <c r="C2847" s="7">
        <v>80.0</v>
      </c>
      <c r="D2847" s="6" t="s">
        <v>3180</v>
      </c>
      <c r="E2847" s="21">
        <v>2.0</v>
      </c>
      <c r="F2847" s="22" t="s">
        <v>2782</v>
      </c>
    </row>
    <row r="2848">
      <c r="A2848" s="5" t="s">
        <v>3170</v>
      </c>
      <c r="B2848" s="6">
        <v>1.0</v>
      </c>
      <c r="C2848" s="7">
        <v>174.0</v>
      </c>
      <c r="D2848" s="6" t="s">
        <v>3188</v>
      </c>
      <c r="E2848" s="21">
        <v>2.0</v>
      </c>
      <c r="F2848" s="22" t="s">
        <v>2783</v>
      </c>
    </row>
    <row r="2849">
      <c r="A2849" s="5" t="s">
        <v>3258</v>
      </c>
      <c r="B2849" s="6">
        <v>6.0</v>
      </c>
      <c r="C2849" s="7">
        <v>176.0</v>
      </c>
      <c r="D2849" s="6" t="s">
        <v>3232</v>
      </c>
      <c r="E2849" s="21">
        <v>2.0</v>
      </c>
      <c r="F2849" s="22" t="s">
        <v>2784</v>
      </c>
    </row>
    <row r="2850">
      <c r="A2850" s="5" t="s">
        <v>3206</v>
      </c>
      <c r="B2850" s="6">
        <v>6.0</v>
      </c>
      <c r="C2850" s="7">
        <v>31.0</v>
      </c>
      <c r="D2850" s="6" t="s">
        <v>3227</v>
      </c>
      <c r="E2850" s="21">
        <v>1.0</v>
      </c>
      <c r="F2850" s="22" t="s">
        <v>2785</v>
      </c>
    </row>
    <row r="2851">
      <c r="A2851" s="5" t="s">
        <v>3246</v>
      </c>
      <c r="B2851" s="6">
        <v>4.0</v>
      </c>
      <c r="C2851" s="7">
        <v>123.0</v>
      </c>
      <c r="D2851" s="6" t="s">
        <v>3192</v>
      </c>
      <c r="E2851" s="21">
        <v>1.0</v>
      </c>
      <c r="F2851" s="22" t="s">
        <v>2786</v>
      </c>
    </row>
    <row r="2852">
      <c r="A2852" s="5" t="s">
        <v>3258</v>
      </c>
      <c r="B2852" s="6">
        <v>6.0</v>
      </c>
      <c r="C2852" s="7">
        <v>39.0</v>
      </c>
      <c r="D2852" s="6" t="s">
        <v>3254</v>
      </c>
      <c r="E2852" s="21">
        <v>1.0</v>
      </c>
      <c r="F2852" s="22" t="s">
        <v>2787</v>
      </c>
    </row>
    <row r="2853">
      <c r="A2853" s="5" t="s">
        <v>3258</v>
      </c>
      <c r="B2853" s="6">
        <v>6.0</v>
      </c>
      <c r="C2853" s="7">
        <v>69.0</v>
      </c>
      <c r="D2853" s="6" t="s">
        <v>3203</v>
      </c>
      <c r="E2853" s="21">
        <v>1.0</v>
      </c>
      <c r="F2853" s="22" t="s">
        <v>2788</v>
      </c>
    </row>
    <row r="2854">
      <c r="A2854" s="5" t="s">
        <v>3264</v>
      </c>
      <c r="B2854" s="6">
        <v>4.0</v>
      </c>
      <c r="C2854" s="7">
        <v>161.0</v>
      </c>
      <c r="D2854" s="6" t="s">
        <v>3192</v>
      </c>
      <c r="E2854" s="21">
        <v>1.0</v>
      </c>
      <c r="F2854" s="22" t="s">
        <v>37</v>
      </c>
    </row>
    <row r="2855">
      <c r="A2855" s="5" t="s">
        <v>3269</v>
      </c>
      <c r="B2855" s="6">
        <v>6.0</v>
      </c>
      <c r="C2855" s="7">
        <v>146.0</v>
      </c>
      <c r="D2855" s="6" t="s">
        <v>3200</v>
      </c>
      <c r="E2855" s="21">
        <v>1.0</v>
      </c>
      <c r="F2855" s="22" t="s">
        <v>2789</v>
      </c>
    </row>
    <row r="2856">
      <c r="A2856" s="5" t="s">
        <v>3229</v>
      </c>
      <c r="B2856" s="6">
        <v>4.0</v>
      </c>
      <c r="C2856" s="7">
        <v>82.0</v>
      </c>
      <c r="D2856" s="6" t="s">
        <v>3190</v>
      </c>
      <c r="E2856" s="21">
        <v>1.0</v>
      </c>
      <c r="F2856" s="22" t="s">
        <v>2790</v>
      </c>
    </row>
    <row r="2857">
      <c r="A2857" s="5" t="s">
        <v>3255</v>
      </c>
      <c r="B2857" s="6">
        <v>6.0</v>
      </c>
      <c r="C2857" s="7">
        <v>56.0</v>
      </c>
      <c r="D2857" s="6" t="s">
        <v>3186</v>
      </c>
      <c r="E2857" s="21">
        <v>1.0</v>
      </c>
      <c r="F2857" s="22" t="s">
        <v>2791</v>
      </c>
    </row>
    <row r="2858">
      <c r="A2858" s="5" t="s">
        <v>3268</v>
      </c>
      <c r="B2858" s="6">
        <v>1.0</v>
      </c>
      <c r="C2858" s="7">
        <v>136.0</v>
      </c>
      <c r="D2858" s="6" t="s">
        <v>3221</v>
      </c>
      <c r="E2858" s="21">
        <v>1.0</v>
      </c>
      <c r="F2858" s="22" t="s">
        <v>2792</v>
      </c>
    </row>
    <row r="2859">
      <c r="A2859" s="5" t="s">
        <v>3265</v>
      </c>
      <c r="B2859" s="6">
        <v>1.0</v>
      </c>
      <c r="C2859" s="7">
        <v>200.0</v>
      </c>
      <c r="D2859" s="6" t="s">
        <v>3238</v>
      </c>
      <c r="E2859" s="21">
        <v>1.0</v>
      </c>
      <c r="F2859" s="22" t="s">
        <v>2793</v>
      </c>
    </row>
    <row r="2860">
      <c r="A2860" s="5" t="s">
        <v>3244</v>
      </c>
      <c r="B2860" s="6">
        <v>1.0</v>
      </c>
      <c r="C2860" s="7">
        <v>19.0</v>
      </c>
      <c r="D2860" s="6" t="s">
        <v>3169</v>
      </c>
      <c r="E2860" s="21">
        <v>1.0</v>
      </c>
      <c r="F2860" s="22" t="s">
        <v>2794</v>
      </c>
    </row>
    <row r="2861">
      <c r="A2861" s="5" t="s">
        <v>3256</v>
      </c>
      <c r="B2861" s="6">
        <v>6.0</v>
      </c>
      <c r="C2861" s="7">
        <v>57.0</v>
      </c>
      <c r="D2861" s="6" t="s">
        <v>3239</v>
      </c>
      <c r="E2861" s="21">
        <v>1.0</v>
      </c>
      <c r="F2861" s="22" t="s">
        <v>2795</v>
      </c>
    </row>
    <row r="2862">
      <c r="A2862" s="5" t="s">
        <v>3202</v>
      </c>
      <c r="B2862" s="6">
        <v>4.0</v>
      </c>
      <c r="C2862" s="7">
        <v>153.0</v>
      </c>
      <c r="D2862" s="6" t="s">
        <v>3180</v>
      </c>
      <c r="E2862" s="21">
        <v>1.0</v>
      </c>
      <c r="F2862" s="22" t="s">
        <v>2796</v>
      </c>
    </row>
    <row r="2863">
      <c r="A2863" s="5" t="s">
        <v>3240</v>
      </c>
      <c r="B2863" s="6">
        <v>2.0</v>
      </c>
      <c r="C2863" s="7">
        <v>149.0</v>
      </c>
      <c r="D2863" s="6" t="s">
        <v>3239</v>
      </c>
      <c r="E2863" s="21">
        <v>1.0</v>
      </c>
      <c r="F2863" s="22" t="s">
        <v>2797</v>
      </c>
    </row>
    <row r="2864">
      <c r="A2864" s="5" t="s">
        <v>3236</v>
      </c>
      <c r="B2864" s="6">
        <v>6.0</v>
      </c>
      <c r="C2864" s="7">
        <v>23.0</v>
      </c>
      <c r="D2864" s="6" t="s">
        <v>3219</v>
      </c>
      <c r="E2864" s="21">
        <v>1.0</v>
      </c>
      <c r="F2864" s="22" t="s">
        <v>2798</v>
      </c>
    </row>
    <row r="2865">
      <c r="A2865" s="5" t="s">
        <v>3179</v>
      </c>
      <c r="B2865" s="6">
        <v>1.0</v>
      </c>
      <c r="C2865" s="7">
        <v>18.0</v>
      </c>
      <c r="D2865" s="6" t="s">
        <v>3225</v>
      </c>
      <c r="E2865" s="21">
        <v>5.0</v>
      </c>
      <c r="F2865" s="22" t="s">
        <v>2799</v>
      </c>
    </row>
    <row r="2866">
      <c r="A2866" s="5" t="s">
        <v>3174</v>
      </c>
      <c r="B2866" s="6">
        <v>1.0</v>
      </c>
      <c r="C2866" s="7">
        <v>177.0</v>
      </c>
      <c r="D2866" s="6" t="s">
        <v>3167</v>
      </c>
      <c r="E2866" s="21">
        <v>5.0</v>
      </c>
      <c r="F2866" s="22" t="s">
        <v>2800</v>
      </c>
    </row>
    <row r="2867">
      <c r="A2867" s="5" t="s">
        <v>3270</v>
      </c>
      <c r="B2867" s="6">
        <v>3.0</v>
      </c>
      <c r="C2867" s="7">
        <v>87.0</v>
      </c>
      <c r="D2867" s="6" t="s">
        <v>3227</v>
      </c>
      <c r="E2867" s="21">
        <v>5.0</v>
      </c>
      <c r="F2867" s="22" t="s">
        <v>2801</v>
      </c>
    </row>
    <row r="2868">
      <c r="A2868" s="5" t="s">
        <v>3212</v>
      </c>
      <c r="B2868" s="6">
        <v>6.0</v>
      </c>
      <c r="C2868" s="7">
        <v>129.0</v>
      </c>
      <c r="D2868" s="6" t="s">
        <v>3182</v>
      </c>
      <c r="E2868" s="21">
        <v>5.0</v>
      </c>
      <c r="F2868" s="22" t="s">
        <v>2802</v>
      </c>
    </row>
    <row r="2869">
      <c r="A2869" s="5" t="s">
        <v>3260</v>
      </c>
      <c r="B2869" s="6">
        <v>1.0</v>
      </c>
      <c r="C2869" s="7">
        <v>113.0</v>
      </c>
      <c r="D2869" s="6" t="s">
        <v>3207</v>
      </c>
      <c r="E2869" s="21">
        <v>5.0</v>
      </c>
      <c r="F2869" s="22" t="s">
        <v>2803</v>
      </c>
    </row>
    <row r="2870">
      <c r="A2870" s="5" t="s">
        <v>3187</v>
      </c>
      <c r="B2870" s="6">
        <v>4.0</v>
      </c>
      <c r="C2870" s="7">
        <v>32.0</v>
      </c>
      <c r="D2870" s="6" t="s">
        <v>3173</v>
      </c>
      <c r="E2870" s="21">
        <v>5.0</v>
      </c>
      <c r="F2870" s="22" t="s">
        <v>2804</v>
      </c>
    </row>
    <row r="2871">
      <c r="A2871" s="5" t="s">
        <v>3208</v>
      </c>
      <c r="B2871" s="6">
        <v>4.0</v>
      </c>
      <c r="C2871" s="7">
        <v>150.0</v>
      </c>
      <c r="D2871" s="6" t="s">
        <v>3167</v>
      </c>
      <c r="E2871" s="21">
        <v>5.0</v>
      </c>
      <c r="F2871" s="22" t="s">
        <v>71</v>
      </c>
    </row>
    <row r="2872">
      <c r="A2872" s="5" t="s">
        <v>3205</v>
      </c>
      <c r="B2872" s="6">
        <v>1.0</v>
      </c>
      <c r="C2872" s="7">
        <v>34.0</v>
      </c>
      <c r="D2872" s="6" t="s">
        <v>3227</v>
      </c>
      <c r="E2872" s="21">
        <v>5.0</v>
      </c>
      <c r="F2872" s="22" t="s">
        <v>2805</v>
      </c>
    </row>
    <row r="2873">
      <c r="A2873" s="5" t="s">
        <v>3242</v>
      </c>
      <c r="B2873" s="6">
        <v>1.0</v>
      </c>
      <c r="C2873" s="7">
        <v>194.0</v>
      </c>
      <c r="D2873" s="6" t="s">
        <v>3215</v>
      </c>
      <c r="E2873" s="21">
        <v>5.0</v>
      </c>
      <c r="F2873" s="22" t="s">
        <v>2806</v>
      </c>
    </row>
    <row r="2874">
      <c r="A2874" s="5" t="s">
        <v>3210</v>
      </c>
      <c r="B2874" s="6">
        <v>1.0</v>
      </c>
      <c r="C2874" s="7">
        <v>89.0</v>
      </c>
      <c r="D2874" s="6" t="s">
        <v>3262</v>
      </c>
      <c r="E2874" s="21">
        <v>5.0</v>
      </c>
      <c r="F2874" s="22" t="s">
        <v>2807</v>
      </c>
    </row>
    <row r="2875">
      <c r="A2875" s="5" t="s">
        <v>3264</v>
      </c>
      <c r="B2875" s="6">
        <v>4.0</v>
      </c>
      <c r="C2875" s="7">
        <v>182.0</v>
      </c>
      <c r="D2875" s="6" t="s">
        <v>3238</v>
      </c>
      <c r="E2875" s="21">
        <v>5.0</v>
      </c>
      <c r="F2875" s="22" t="s">
        <v>2808</v>
      </c>
    </row>
    <row r="2876">
      <c r="A2876" s="5" t="s">
        <v>3170</v>
      </c>
      <c r="B2876" s="6">
        <v>1.0</v>
      </c>
      <c r="C2876" s="7">
        <v>104.0</v>
      </c>
      <c r="D2876" s="6" t="s">
        <v>3257</v>
      </c>
      <c r="E2876" s="21">
        <v>5.0</v>
      </c>
      <c r="F2876" s="22" t="s">
        <v>2809</v>
      </c>
    </row>
    <row r="2877">
      <c r="A2877" s="5" t="s">
        <v>3204</v>
      </c>
      <c r="B2877" s="6">
        <v>1.0</v>
      </c>
      <c r="C2877" s="7">
        <v>22.0</v>
      </c>
      <c r="D2877" s="6" t="s">
        <v>3167</v>
      </c>
      <c r="E2877" s="21">
        <v>4.0</v>
      </c>
      <c r="F2877" s="22" t="s">
        <v>2810</v>
      </c>
    </row>
    <row r="2878">
      <c r="A2878" s="5" t="s">
        <v>3224</v>
      </c>
      <c r="B2878" s="6">
        <v>6.0</v>
      </c>
      <c r="C2878" s="7">
        <v>70.0</v>
      </c>
      <c r="D2878" s="6" t="s">
        <v>3222</v>
      </c>
      <c r="E2878" s="21">
        <v>4.0</v>
      </c>
      <c r="F2878" s="22" t="s">
        <v>2811</v>
      </c>
    </row>
    <row r="2879">
      <c r="A2879" s="5" t="s">
        <v>3181</v>
      </c>
      <c r="B2879" s="6">
        <v>1.0</v>
      </c>
      <c r="C2879" s="7">
        <v>104.0</v>
      </c>
      <c r="D2879" s="6" t="s">
        <v>3257</v>
      </c>
      <c r="E2879" s="21">
        <v>4.0</v>
      </c>
      <c r="F2879" s="22" t="s">
        <v>2812</v>
      </c>
    </row>
    <row r="2880">
      <c r="A2880" s="5" t="s">
        <v>3258</v>
      </c>
      <c r="B2880" s="6">
        <v>6.0</v>
      </c>
      <c r="C2880" s="7">
        <v>194.0</v>
      </c>
      <c r="D2880" s="6" t="s">
        <v>3215</v>
      </c>
      <c r="E2880" s="21">
        <v>4.0</v>
      </c>
      <c r="F2880" s="22" t="s">
        <v>2813</v>
      </c>
    </row>
    <row r="2881">
      <c r="A2881" s="5" t="s">
        <v>3268</v>
      </c>
      <c r="B2881" s="6">
        <v>1.0</v>
      </c>
      <c r="C2881" s="7">
        <v>165.0</v>
      </c>
      <c r="D2881" s="6" t="s">
        <v>3196</v>
      </c>
      <c r="E2881" s="21">
        <v>4.0</v>
      </c>
      <c r="F2881" s="22" t="s">
        <v>2678</v>
      </c>
    </row>
    <row r="2882">
      <c r="A2882" s="5" t="s">
        <v>3197</v>
      </c>
      <c r="B2882" s="6">
        <v>1.0</v>
      </c>
      <c r="C2882" s="7">
        <v>133.0</v>
      </c>
      <c r="D2882" s="6" t="s">
        <v>3192</v>
      </c>
      <c r="E2882" s="21">
        <v>4.0</v>
      </c>
      <c r="F2882" s="22" t="s">
        <v>2814</v>
      </c>
    </row>
    <row r="2883">
      <c r="A2883" s="5" t="s">
        <v>3250</v>
      </c>
      <c r="B2883" s="6">
        <v>4.0</v>
      </c>
      <c r="C2883" s="7">
        <v>92.0</v>
      </c>
      <c r="D2883" s="6" t="s">
        <v>3215</v>
      </c>
      <c r="E2883" s="21">
        <v>4.0</v>
      </c>
      <c r="F2883" s="22" t="s">
        <v>2815</v>
      </c>
    </row>
    <row r="2884">
      <c r="A2884" s="5" t="s">
        <v>3229</v>
      </c>
      <c r="B2884" s="6">
        <v>4.0</v>
      </c>
      <c r="C2884" s="7">
        <v>156.0</v>
      </c>
      <c r="D2884" s="6" t="s">
        <v>3245</v>
      </c>
      <c r="E2884" s="21">
        <v>3.0</v>
      </c>
      <c r="F2884" s="22" t="s">
        <v>2816</v>
      </c>
    </row>
    <row r="2885">
      <c r="A2885" s="5" t="s">
        <v>3212</v>
      </c>
      <c r="B2885" s="6">
        <v>6.0</v>
      </c>
      <c r="C2885" s="7">
        <v>9.0</v>
      </c>
      <c r="D2885" s="6" t="s">
        <v>3232</v>
      </c>
      <c r="E2885" s="21">
        <v>3.0</v>
      </c>
      <c r="F2885" s="22" t="s">
        <v>2817</v>
      </c>
    </row>
    <row r="2886">
      <c r="A2886" s="5" t="s">
        <v>3268</v>
      </c>
      <c r="B2886" s="6">
        <v>1.0</v>
      </c>
      <c r="C2886" s="7">
        <v>107.0</v>
      </c>
      <c r="D2886" s="6" t="s">
        <v>3207</v>
      </c>
      <c r="E2886" s="21">
        <v>3.0</v>
      </c>
      <c r="F2886" s="22" t="s">
        <v>2818</v>
      </c>
    </row>
    <row r="2887">
      <c r="A2887" s="5" t="s">
        <v>3217</v>
      </c>
      <c r="B2887" s="6">
        <v>5.0</v>
      </c>
      <c r="C2887" s="7">
        <v>73.0</v>
      </c>
      <c r="D2887" s="6" t="s">
        <v>3173</v>
      </c>
      <c r="E2887" s="21">
        <v>3.0</v>
      </c>
      <c r="F2887" s="22" t="s">
        <v>2819</v>
      </c>
    </row>
    <row r="2888">
      <c r="A2888" s="5" t="s">
        <v>3242</v>
      </c>
      <c r="B2888" s="6">
        <v>1.0</v>
      </c>
      <c r="C2888" s="7">
        <v>194.0</v>
      </c>
      <c r="D2888" s="6" t="s">
        <v>3215</v>
      </c>
      <c r="E2888" s="21">
        <v>2.0</v>
      </c>
      <c r="F2888" s="22" t="s">
        <v>2820</v>
      </c>
    </row>
    <row r="2889">
      <c r="A2889" s="5" t="s">
        <v>3175</v>
      </c>
      <c r="B2889" s="6">
        <v>5.0</v>
      </c>
      <c r="C2889" s="7">
        <v>78.0</v>
      </c>
      <c r="D2889" s="6" t="s">
        <v>3176</v>
      </c>
      <c r="E2889" s="21">
        <v>2.0</v>
      </c>
      <c r="F2889" s="22" t="s">
        <v>2821</v>
      </c>
    </row>
    <row r="2890">
      <c r="A2890" s="5" t="s">
        <v>3213</v>
      </c>
      <c r="B2890" s="6">
        <v>2.0</v>
      </c>
      <c r="C2890" s="7">
        <v>127.0</v>
      </c>
      <c r="D2890" s="6" t="s">
        <v>3262</v>
      </c>
      <c r="E2890" s="21">
        <v>2.0</v>
      </c>
      <c r="F2890" s="22" t="s">
        <v>2822</v>
      </c>
    </row>
    <row r="2891">
      <c r="A2891" s="5" t="s">
        <v>3242</v>
      </c>
      <c r="B2891" s="6">
        <v>1.0</v>
      </c>
      <c r="C2891" s="7">
        <v>77.0</v>
      </c>
      <c r="D2891" s="6" t="s">
        <v>3254</v>
      </c>
      <c r="E2891" s="21">
        <v>2.0</v>
      </c>
      <c r="F2891" s="22" t="s">
        <v>2823</v>
      </c>
    </row>
    <row r="2892">
      <c r="A2892" s="5" t="s">
        <v>3197</v>
      </c>
      <c r="B2892" s="6">
        <v>1.0</v>
      </c>
      <c r="C2892" s="7">
        <v>19.0</v>
      </c>
      <c r="D2892" s="6" t="s">
        <v>3169</v>
      </c>
      <c r="E2892" s="21">
        <v>2.0</v>
      </c>
      <c r="F2892" s="22" t="s">
        <v>2824</v>
      </c>
    </row>
    <row r="2893">
      <c r="A2893" s="5" t="s">
        <v>3228</v>
      </c>
      <c r="B2893" s="6">
        <v>6.0</v>
      </c>
      <c r="C2893" s="7">
        <v>194.0</v>
      </c>
      <c r="D2893" s="6" t="s">
        <v>3215</v>
      </c>
      <c r="E2893" s="21">
        <v>2.0</v>
      </c>
      <c r="F2893" s="22" t="s">
        <v>2825</v>
      </c>
    </row>
    <row r="2894">
      <c r="A2894" s="5" t="s">
        <v>3218</v>
      </c>
      <c r="B2894" s="6">
        <v>5.0</v>
      </c>
      <c r="C2894" s="7">
        <v>110.0</v>
      </c>
      <c r="D2894" s="6" t="s">
        <v>3211</v>
      </c>
      <c r="E2894" s="21">
        <v>2.0</v>
      </c>
      <c r="F2894" s="22" t="s">
        <v>2826</v>
      </c>
    </row>
    <row r="2895">
      <c r="A2895" s="5" t="s">
        <v>3266</v>
      </c>
      <c r="B2895" s="6">
        <v>3.0</v>
      </c>
      <c r="C2895" s="7">
        <v>45.0</v>
      </c>
      <c r="D2895" s="6" t="s">
        <v>3241</v>
      </c>
      <c r="E2895" s="21">
        <v>2.0</v>
      </c>
      <c r="F2895" s="22" t="s">
        <v>2827</v>
      </c>
    </row>
    <row r="2896">
      <c r="A2896" s="5" t="s">
        <v>3251</v>
      </c>
      <c r="B2896" s="6">
        <v>6.0</v>
      </c>
      <c r="C2896" s="7">
        <v>153.0</v>
      </c>
      <c r="D2896" s="6" t="s">
        <v>3180</v>
      </c>
      <c r="E2896" s="21">
        <v>2.0</v>
      </c>
      <c r="F2896" s="22" t="s">
        <v>2828</v>
      </c>
    </row>
    <row r="2897">
      <c r="A2897" s="5" t="s">
        <v>3233</v>
      </c>
      <c r="B2897" s="6">
        <v>6.0</v>
      </c>
      <c r="C2897" s="7">
        <v>35.0</v>
      </c>
      <c r="D2897" s="6" t="s">
        <v>3196</v>
      </c>
      <c r="E2897" s="21">
        <v>2.0</v>
      </c>
      <c r="F2897" s="22" t="s">
        <v>2829</v>
      </c>
    </row>
    <row r="2898">
      <c r="A2898" s="5" t="s">
        <v>3205</v>
      </c>
      <c r="B2898" s="6">
        <v>1.0</v>
      </c>
      <c r="C2898" s="7">
        <v>14.0</v>
      </c>
      <c r="D2898" s="6" t="s">
        <v>3196</v>
      </c>
      <c r="E2898" s="21">
        <v>2.0</v>
      </c>
      <c r="F2898" s="22" t="s">
        <v>2830</v>
      </c>
    </row>
    <row r="2899">
      <c r="A2899" s="5" t="s">
        <v>3261</v>
      </c>
      <c r="B2899" s="6">
        <v>4.0</v>
      </c>
      <c r="C2899" s="7">
        <v>117.0</v>
      </c>
      <c r="D2899" s="6" t="s">
        <v>3225</v>
      </c>
      <c r="E2899" s="21">
        <v>2.0</v>
      </c>
      <c r="F2899" s="22" t="s">
        <v>2831</v>
      </c>
    </row>
    <row r="2900">
      <c r="A2900" s="5" t="s">
        <v>3191</v>
      </c>
      <c r="B2900" s="6">
        <v>5.0</v>
      </c>
      <c r="C2900" s="7">
        <v>39.0</v>
      </c>
      <c r="D2900" s="6" t="s">
        <v>3254</v>
      </c>
      <c r="E2900" s="21">
        <v>2.0</v>
      </c>
      <c r="F2900" s="22" t="s">
        <v>2832</v>
      </c>
    </row>
    <row r="2901">
      <c r="A2901" s="5" t="s">
        <v>3260</v>
      </c>
      <c r="B2901" s="6">
        <v>1.0</v>
      </c>
      <c r="C2901" s="7">
        <v>145.0</v>
      </c>
      <c r="D2901" s="6" t="s">
        <v>3222</v>
      </c>
      <c r="E2901" s="21">
        <v>1.0</v>
      </c>
      <c r="F2901" s="22" t="s">
        <v>2833</v>
      </c>
    </row>
    <row r="2902">
      <c r="A2902" s="5" t="s">
        <v>3234</v>
      </c>
      <c r="B2902" s="6">
        <v>6.0</v>
      </c>
      <c r="C2902" s="7">
        <v>140.0</v>
      </c>
      <c r="D2902" s="6" t="s">
        <v>3190</v>
      </c>
      <c r="E2902" s="21">
        <v>1.0</v>
      </c>
      <c r="F2902" s="22" t="s">
        <v>2834</v>
      </c>
    </row>
    <row r="2903">
      <c r="A2903" s="5" t="s">
        <v>3259</v>
      </c>
      <c r="B2903" s="6">
        <v>6.0</v>
      </c>
      <c r="C2903" s="7">
        <v>89.0</v>
      </c>
      <c r="D2903" s="6" t="s">
        <v>3262</v>
      </c>
      <c r="E2903" s="21">
        <v>1.0</v>
      </c>
      <c r="F2903" s="22" t="s">
        <v>2835</v>
      </c>
    </row>
    <row r="2904">
      <c r="A2904" s="5" t="s">
        <v>3267</v>
      </c>
      <c r="B2904" s="6">
        <v>3.0</v>
      </c>
      <c r="C2904" s="7">
        <v>107.0</v>
      </c>
      <c r="D2904" s="6" t="s">
        <v>3207</v>
      </c>
      <c r="E2904" s="21">
        <v>1.0</v>
      </c>
      <c r="F2904" s="22" t="s">
        <v>2836</v>
      </c>
    </row>
    <row r="2905">
      <c r="A2905" s="5" t="s">
        <v>3246</v>
      </c>
      <c r="B2905" s="6">
        <v>4.0</v>
      </c>
      <c r="C2905" s="7">
        <v>107.0</v>
      </c>
      <c r="D2905" s="6" t="s">
        <v>3207</v>
      </c>
      <c r="E2905" s="21">
        <v>1.0</v>
      </c>
      <c r="F2905" s="22" t="s">
        <v>2837</v>
      </c>
    </row>
    <row r="2906">
      <c r="A2906" s="5" t="s">
        <v>3193</v>
      </c>
      <c r="B2906" s="6">
        <v>5.0</v>
      </c>
      <c r="C2906" s="7">
        <v>123.0</v>
      </c>
      <c r="D2906" s="6" t="s">
        <v>3192</v>
      </c>
      <c r="E2906" s="21">
        <v>1.0</v>
      </c>
      <c r="F2906" s="22" t="s">
        <v>2838</v>
      </c>
    </row>
    <row r="2907">
      <c r="A2907" s="5" t="s">
        <v>3264</v>
      </c>
      <c r="B2907" s="6">
        <v>4.0</v>
      </c>
      <c r="C2907" s="7">
        <v>171.0</v>
      </c>
      <c r="D2907" s="6" t="s">
        <v>3245</v>
      </c>
      <c r="E2907" s="21">
        <v>1.0</v>
      </c>
      <c r="F2907" s="22" t="s">
        <v>2839</v>
      </c>
    </row>
    <row r="2908">
      <c r="A2908" s="5" t="s">
        <v>3258</v>
      </c>
      <c r="B2908" s="6">
        <v>6.0</v>
      </c>
      <c r="C2908" s="7">
        <v>187.0</v>
      </c>
      <c r="D2908" s="6" t="s">
        <v>3254</v>
      </c>
      <c r="E2908" s="21">
        <v>1.0</v>
      </c>
      <c r="F2908" s="22" t="s">
        <v>2840</v>
      </c>
    </row>
    <row r="2909">
      <c r="A2909" s="5" t="s">
        <v>3248</v>
      </c>
      <c r="B2909" s="6">
        <v>3.0</v>
      </c>
      <c r="C2909" s="7">
        <v>113.0</v>
      </c>
      <c r="D2909" s="6" t="s">
        <v>3207</v>
      </c>
      <c r="E2909" s="21">
        <v>1.0</v>
      </c>
      <c r="F2909" s="22" t="s">
        <v>2841</v>
      </c>
    </row>
    <row r="2910">
      <c r="A2910" s="5" t="s">
        <v>3197</v>
      </c>
      <c r="B2910" s="6">
        <v>1.0</v>
      </c>
      <c r="C2910" s="7">
        <v>109.0</v>
      </c>
      <c r="D2910" s="6" t="s">
        <v>3249</v>
      </c>
      <c r="E2910" s="21">
        <v>1.0</v>
      </c>
      <c r="F2910" s="22" t="s">
        <v>2842</v>
      </c>
    </row>
    <row r="2911">
      <c r="A2911" s="5" t="s">
        <v>3244</v>
      </c>
      <c r="B2911" s="6">
        <v>1.0</v>
      </c>
      <c r="C2911" s="7">
        <v>68.0</v>
      </c>
      <c r="D2911" s="6" t="s">
        <v>3182</v>
      </c>
      <c r="E2911" s="21">
        <v>1.0</v>
      </c>
      <c r="F2911" s="22" t="s">
        <v>2843</v>
      </c>
    </row>
    <row r="2912">
      <c r="A2912" s="5" t="s">
        <v>3202</v>
      </c>
      <c r="B2912" s="6">
        <v>4.0</v>
      </c>
      <c r="C2912" s="7">
        <v>60.0</v>
      </c>
      <c r="D2912" s="6" t="s">
        <v>3196</v>
      </c>
      <c r="E2912" s="21">
        <v>1.0</v>
      </c>
      <c r="F2912" s="22" t="s">
        <v>2844</v>
      </c>
    </row>
    <row r="2913">
      <c r="A2913" s="5" t="s">
        <v>3236</v>
      </c>
      <c r="B2913" s="6">
        <v>6.0</v>
      </c>
      <c r="C2913" s="7">
        <v>197.0</v>
      </c>
      <c r="D2913" s="6" t="s">
        <v>3173</v>
      </c>
      <c r="E2913" s="21">
        <v>5.0</v>
      </c>
      <c r="F2913" s="22" t="s">
        <v>2845</v>
      </c>
    </row>
    <row r="2914">
      <c r="A2914" s="5" t="s">
        <v>3259</v>
      </c>
      <c r="B2914" s="6">
        <v>6.0</v>
      </c>
      <c r="C2914" s="7">
        <v>120.0</v>
      </c>
      <c r="D2914" s="6" t="s">
        <v>3171</v>
      </c>
      <c r="E2914" s="21">
        <v>5.0</v>
      </c>
      <c r="F2914" s="22" t="s">
        <v>2846</v>
      </c>
    </row>
    <row r="2915">
      <c r="A2915" s="5" t="s">
        <v>3260</v>
      </c>
      <c r="B2915" s="6">
        <v>1.0</v>
      </c>
      <c r="C2915" s="7">
        <v>48.0</v>
      </c>
      <c r="D2915" s="6" t="s">
        <v>3232</v>
      </c>
      <c r="E2915" s="21">
        <v>5.0</v>
      </c>
      <c r="F2915" s="22" t="s">
        <v>2847</v>
      </c>
    </row>
    <row r="2916">
      <c r="A2916" s="5" t="s">
        <v>3242</v>
      </c>
      <c r="B2916" s="6">
        <v>1.0</v>
      </c>
      <c r="C2916" s="7">
        <v>79.0</v>
      </c>
      <c r="D2916" s="6" t="s">
        <v>3232</v>
      </c>
      <c r="E2916" s="21">
        <v>5.0</v>
      </c>
      <c r="F2916" s="22" t="s">
        <v>2848</v>
      </c>
    </row>
    <row r="2917">
      <c r="A2917" s="5" t="s">
        <v>3252</v>
      </c>
      <c r="B2917" s="6">
        <v>6.0</v>
      </c>
      <c r="C2917" s="7">
        <v>183.0</v>
      </c>
      <c r="D2917" s="6" t="s">
        <v>3182</v>
      </c>
      <c r="E2917" s="21">
        <v>5.0</v>
      </c>
      <c r="F2917" s="22" t="s">
        <v>2849</v>
      </c>
    </row>
    <row r="2918">
      <c r="A2918" s="5" t="s">
        <v>3205</v>
      </c>
      <c r="B2918" s="6">
        <v>1.0</v>
      </c>
      <c r="C2918" s="7">
        <v>136.0</v>
      </c>
      <c r="D2918" s="6" t="s">
        <v>3221</v>
      </c>
      <c r="E2918" s="21">
        <v>5.0</v>
      </c>
      <c r="F2918" s="22" t="s">
        <v>2850</v>
      </c>
    </row>
    <row r="2919">
      <c r="A2919" s="5" t="s">
        <v>3255</v>
      </c>
      <c r="B2919" s="6">
        <v>6.0</v>
      </c>
      <c r="C2919" s="7">
        <v>148.0</v>
      </c>
      <c r="D2919" s="6" t="s">
        <v>3262</v>
      </c>
      <c r="E2919" s="21">
        <v>5.0</v>
      </c>
      <c r="F2919" s="22" t="s">
        <v>2851</v>
      </c>
    </row>
    <row r="2920">
      <c r="A2920" s="5" t="s">
        <v>3246</v>
      </c>
      <c r="B2920" s="6">
        <v>4.0</v>
      </c>
      <c r="C2920" s="7">
        <v>121.0</v>
      </c>
      <c r="D2920" s="6" t="s">
        <v>3173</v>
      </c>
      <c r="E2920" s="21">
        <v>5.0</v>
      </c>
      <c r="F2920" s="22" t="s">
        <v>2852</v>
      </c>
    </row>
    <row r="2921">
      <c r="A2921" s="5" t="s">
        <v>3209</v>
      </c>
      <c r="B2921" s="6">
        <v>4.0</v>
      </c>
      <c r="C2921" s="7">
        <v>1.0</v>
      </c>
      <c r="D2921" s="6" t="s">
        <v>3221</v>
      </c>
      <c r="E2921" s="21">
        <v>5.0</v>
      </c>
      <c r="F2921" s="22" t="s">
        <v>2853</v>
      </c>
    </row>
    <row r="2922">
      <c r="A2922" s="5" t="s">
        <v>3247</v>
      </c>
      <c r="B2922" s="6">
        <v>6.0</v>
      </c>
      <c r="C2922" s="7">
        <v>91.0</v>
      </c>
      <c r="D2922" s="6" t="s">
        <v>3178</v>
      </c>
      <c r="E2922" s="21">
        <v>5.0</v>
      </c>
      <c r="F2922" s="22" t="s">
        <v>2854</v>
      </c>
    </row>
    <row r="2923">
      <c r="A2923" s="5" t="s">
        <v>3217</v>
      </c>
      <c r="B2923" s="6">
        <v>5.0</v>
      </c>
      <c r="C2923" s="7">
        <v>176.0</v>
      </c>
      <c r="D2923" s="6" t="s">
        <v>3232</v>
      </c>
      <c r="E2923" s="21">
        <v>5.0</v>
      </c>
      <c r="F2923" s="22" t="s">
        <v>2855</v>
      </c>
    </row>
    <row r="2924">
      <c r="A2924" s="5" t="s">
        <v>3212</v>
      </c>
      <c r="B2924" s="6">
        <v>6.0</v>
      </c>
      <c r="C2924" s="7">
        <v>176.0</v>
      </c>
      <c r="D2924" s="6" t="s">
        <v>3232</v>
      </c>
      <c r="E2924" s="21">
        <v>5.0</v>
      </c>
      <c r="F2924" s="22" t="s">
        <v>2856</v>
      </c>
    </row>
    <row r="2925">
      <c r="A2925" s="5" t="s">
        <v>3252</v>
      </c>
      <c r="B2925" s="6">
        <v>6.0</v>
      </c>
      <c r="C2925" s="7">
        <v>36.0</v>
      </c>
      <c r="D2925" s="6" t="s">
        <v>3227</v>
      </c>
      <c r="E2925" s="21">
        <v>5.0</v>
      </c>
      <c r="F2925" s="22" t="s">
        <v>2857</v>
      </c>
    </row>
    <row r="2926">
      <c r="A2926" s="5" t="s">
        <v>3271</v>
      </c>
      <c r="B2926" s="6">
        <v>1.0</v>
      </c>
      <c r="C2926" s="7">
        <v>174.0</v>
      </c>
      <c r="D2926" s="6" t="s">
        <v>3188</v>
      </c>
      <c r="E2926" s="21">
        <v>4.0</v>
      </c>
      <c r="F2926" s="22" t="s">
        <v>2858</v>
      </c>
    </row>
    <row r="2927">
      <c r="A2927" s="5" t="s">
        <v>3175</v>
      </c>
      <c r="B2927" s="6">
        <v>5.0</v>
      </c>
      <c r="C2927" s="7">
        <v>3.0</v>
      </c>
      <c r="D2927" s="6" t="s">
        <v>3200</v>
      </c>
      <c r="E2927" s="21">
        <v>4.0</v>
      </c>
      <c r="F2927" s="22" t="s">
        <v>2859</v>
      </c>
    </row>
    <row r="2928">
      <c r="A2928" s="5" t="s">
        <v>3185</v>
      </c>
      <c r="B2928" s="6">
        <v>1.0</v>
      </c>
      <c r="C2928" s="7">
        <v>119.0</v>
      </c>
      <c r="D2928" s="6" t="s">
        <v>3178</v>
      </c>
      <c r="E2928" s="21">
        <v>4.0</v>
      </c>
      <c r="F2928" s="22" t="s">
        <v>2860</v>
      </c>
    </row>
    <row r="2929">
      <c r="A2929" s="5" t="s">
        <v>3199</v>
      </c>
      <c r="B2929" s="6">
        <v>3.0</v>
      </c>
      <c r="C2929" s="7">
        <v>3.0</v>
      </c>
      <c r="D2929" s="6" t="s">
        <v>3200</v>
      </c>
      <c r="E2929" s="21">
        <v>4.0</v>
      </c>
      <c r="F2929" s="22" t="s">
        <v>2861</v>
      </c>
    </row>
    <row r="2930">
      <c r="A2930" s="5" t="s">
        <v>3191</v>
      </c>
      <c r="B2930" s="6">
        <v>5.0</v>
      </c>
      <c r="C2930" s="7">
        <v>42.0</v>
      </c>
      <c r="D2930" s="6" t="s">
        <v>3182</v>
      </c>
      <c r="E2930" s="21">
        <v>4.0</v>
      </c>
      <c r="F2930" s="22" t="s">
        <v>482</v>
      </c>
    </row>
    <row r="2931">
      <c r="A2931" s="5" t="s">
        <v>3223</v>
      </c>
      <c r="B2931" s="6">
        <v>3.0</v>
      </c>
      <c r="C2931" s="7">
        <v>192.0</v>
      </c>
      <c r="D2931" s="6" t="s">
        <v>3186</v>
      </c>
      <c r="E2931" s="21">
        <v>4.0</v>
      </c>
      <c r="F2931" s="22" t="s">
        <v>2862</v>
      </c>
    </row>
    <row r="2932">
      <c r="A2932" s="5" t="s">
        <v>3223</v>
      </c>
      <c r="B2932" s="6">
        <v>3.0</v>
      </c>
      <c r="C2932" s="7">
        <v>169.0</v>
      </c>
      <c r="D2932" s="6" t="s">
        <v>3200</v>
      </c>
      <c r="E2932" s="21">
        <v>4.0</v>
      </c>
      <c r="F2932" s="22" t="s">
        <v>2863</v>
      </c>
    </row>
    <row r="2933">
      <c r="A2933" s="5" t="s">
        <v>3237</v>
      </c>
      <c r="B2933" s="6">
        <v>2.0</v>
      </c>
      <c r="C2933" s="7">
        <v>53.0</v>
      </c>
      <c r="D2933" s="6" t="s">
        <v>3249</v>
      </c>
      <c r="E2933" s="21">
        <v>3.0</v>
      </c>
      <c r="F2933" s="22" t="s">
        <v>2864</v>
      </c>
    </row>
    <row r="2934">
      <c r="A2934" s="5" t="s">
        <v>3258</v>
      </c>
      <c r="B2934" s="6">
        <v>6.0</v>
      </c>
      <c r="C2934" s="7">
        <v>30.0</v>
      </c>
      <c r="D2934" s="6" t="s">
        <v>3171</v>
      </c>
      <c r="E2934" s="21">
        <v>3.0</v>
      </c>
      <c r="F2934" s="22" t="s">
        <v>2865</v>
      </c>
    </row>
    <row r="2935">
      <c r="A2935" s="5" t="s">
        <v>3197</v>
      </c>
      <c r="B2935" s="6">
        <v>1.0</v>
      </c>
      <c r="C2935" s="7">
        <v>76.0</v>
      </c>
      <c r="D2935" s="6" t="s">
        <v>3190</v>
      </c>
      <c r="E2935" s="21">
        <v>3.0</v>
      </c>
      <c r="F2935" s="22" t="s">
        <v>2866</v>
      </c>
    </row>
    <row r="2936">
      <c r="A2936" s="5" t="s">
        <v>3185</v>
      </c>
      <c r="B2936" s="6">
        <v>1.0</v>
      </c>
      <c r="C2936" s="7">
        <v>114.0</v>
      </c>
      <c r="D2936" s="6" t="s">
        <v>3245</v>
      </c>
      <c r="E2936" s="21">
        <v>3.0</v>
      </c>
      <c r="F2936" s="22" t="s">
        <v>2867</v>
      </c>
    </row>
    <row r="2937">
      <c r="A2937" s="5" t="s">
        <v>3261</v>
      </c>
      <c r="B2937" s="6">
        <v>4.0</v>
      </c>
      <c r="C2937" s="7">
        <v>43.0</v>
      </c>
      <c r="D2937" s="6" t="s">
        <v>3214</v>
      </c>
      <c r="E2937" s="21">
        <v>3.0</v>
      </c>
      <c r="F2937" s="22" t="s">
        <v>2868</v>
      </c>
    </row>
    <row r="2938">
      <c r="A2938" s="5" t="s">
        <v>3234</v>
      </c>
      <c r="B2938" s="6">
        <v>6.0</v>
      </c>
      <c r="C2938" s="7">
        <v>183.0</v>
      </c>
      <c r="D2938" s="6" t="s">
        <v>3182</v>
      </c>
      <c r="E2938" s="21">
        <v>2.0</v>
      </c>
      <c r="F2938" s="22" t="s">
        <v>2869</v>
      </c>
    </row>
    <row r="2939">
      <c r="A2939" s="5" t="s">
        <v>3228</v>
      </c>
      <c r="B2939" s="6">
        <v>6.0</v>
      </c>
      <c r="C2939" s="7">
        <v>116.0</v>
      </c>
      <c r="D2939" s="6" t="s">
        <v>3169</v>
      </c>
      <c r="E2939" s="21">
        <v>2.0</v>
      </c>
      <c r="F2939" s="22" t="s">
        <v>2870</v>
      </c>
    </row>
    <row r="2940">
      <c r="A2940" s="5" t="s">
        <v>3230</v>
      </c>
      <c r="B2940" s="6">
        <v>1.0</v>
      </c>
      <c r="C2940" s="7">
        <v>196.0</v>
      </c>
      <c r="D2940" s="6" t="s">
        <v>3169</v>
      </c>
      <c r="E2940" s="21">
        <v>2.0</v>
      </c>
      <c r="F2940" s="22" t="s">
        <v>2871</v>
      </c>
    </row>
    <row r="2941">
      <c r="A2941" s="5" t="s">
        <v>3172</v>
      </c>
      <c r="B2941" s="6">
        <v>1.0</v>
      </c>
      <c r="C2941" s="7">
        <v>157.0</v>
      </c>
      <c r="D2941" s="6" t="s">
        <v>3219</v>
      </c>
      <c r="E2941" s="21">
        <v>2.0</v>
      </c>
      <c r="F2941" s="22" t="s">
        <v>2872</v>
      </c>
    </row>
    <row r="2942">
      <c r="A2942" s="5" t="s">
        <v>3204</v>
      </c>
      <c r="B2942" s="6">
        <v>1.0</v>
      </c>
      <c r="C2942" s="7">
        <v>148.0</v>
      </c>
      <c r="D2942" s="6" t="s">
        <v>3262</v>
      </c>
      <c r="E2942" s="21">
        <v>2.0</v>
      </c>
      <c r="F2942" s="22" t="s">
        <v>2873</v>
      </c>
    </row>
    <row r="2943">
      <c r="A2943" s="5" t="s">
        <v>3264</v>
      </c>
      <c r="B2943" s="6">
        <v>4.0</v>
      </c>
      <c r="C2943" s="7">
        <v>89.0</v>
      </c>
      <c r="D2943" s="6" t="s">
        <v>3262</v>
      </c>
      <c r="E2943" s="21">
        <v>2.0</v>
      </c>
      <c r="F2943" s="22" t="s">
        <v>2874</v>
      </c>
    </row>
    <row r="2944">
      <c r="A2944" s="5" t="s">
        <v>3187</v>
      </c>
      <c r="B2944" s="6">
        <v>4.0</v>
      </c>
      <c r="C2944" s="7">
        <v>104.0</v>
      </c>
      <c r="D2944" s="6" t="s">
        <v>3257</v>
      </c>
      <c r="E2944" s="21">
        <v>2.0</v>
      </c>
      <c r="F2944" s="22" t="s">
        <v>2875</v>
      </c>
    </row>
    <row r="2945">
      <c r="A2945" s="5" t="s">
        <v>3247</v>
      </c>
      <c r="B2945" s="6">
        <v>6.0</v>
      </c>
      <c r="C2945" s="7">
        <v>84.0</v>
      </c>
      <c r="D2945" s="6" t="s">
        <v>3203</v>
      </c>
      <c r="E2945" s="21">
        <v>2.0</v>
      </c>
      <c r="F2945" s="22" t="s">
        <v>2876</v>
      </c>
    </row>
    <row r="2946">
      <c r="A2946" s="5" t="s">
        <v>3220</v>
      </c>
      <c r="B2946" s="6">
        <v>6.0</v>
      </c>
      <c r="C2946" s="7">
        <v>163.0</v>
      </c>
      <c r="D2946" s="6" t="s">
        <v>3173</v>
      </c>
      <c r="E2946" s="21">
        <v>2.0</v>
      </c>
      <c r="F2946" s="22" t="s">
        <v>2877</v>
      </c>
    </row>
    <row r="2947">
      <c r="A2947" s="5" t="s">
        <v>3246</v>
      </c>
      <c r="B2947" s="6">
        <v>4.0</v>
      </c>
      <c r="C2947" s="7">
        <v>162.0</v>
      </c>
      <c r="D2947" s="6" t="s">
        <v>3257</v>
      </c>
      <c r="E2947" s="21">
        <v>2.0</v>
      </c>
      <c r="F2947" s="22" t="s">
        <v>2878</v>
      </c>
    </row>
    <row r="2948">
      <c r="A2948" s="5" t="s">
        <v>3189</v>
      </c>
      <c r="B2948" s="6">
        <v>6.0</v>
      </c>
      <c r="C2948" s="7">
        <v>9.0</v>
      </c>
      <c r="D2948" s="6" t="s">
        <v>3232</v>
      </c>
      <c r="E2948" s="21">
        <v>2.0</v>
      </c>
      <c r="F2948" s="22" t="s">
        <v>2879</v>
      </c>
    </row>
    <row r="2949">
      <c r="A2949" s="5" t="s">
        <v>3263</v>
      </c>
      <c r="B2949" s="6">
        <v>1.0</v>
      </c>
      <c r="C2949" s="7">
        <v>24.0</v>
      </c>
      <c r="D2949" s="6" t="s">
        <v>3194</v>
      </c>
      <c r="E2949" s="21">
        <v>2.0</v>
      </c>
      <c r="F2949" s="22" t="s">
        <v>2880</v>
      </c>
    </row>
    <row r="2950">
      <c r="A2950" s="5" t="s">
        <v>3218</v>
      </c>
      <c r="B2950" s="6">
        <v>5.0</v>
      </c>
      <c r="C2950" s="7">
        <v>167.0</v>
      </c>
      <c r="D2950" s="6" t="s">
        <v>3254</v>
      </c>
      <c r="E2950" s="21">
        <v>1.0</v>
      </c>
      <c r="F2950" s="22" t="s">
        <v>2881</v>
      </c>
    </row>
    <row r="2951">
      <c r="A2951" s="5" t="s">
        <v>3177</v>
      </c>
      <c r="B2951" s="6">
        <v>5.0</v>
      </c>
      <c r="C2951" s="7">
        <v>57.0</v>
      </c>
      <c r="D2951" s="6" t="s">
        <v>3239</v>
      </c>
      <c r="E2951" s="21">
        <v>1.0</v>
      </c>
      <c r="F2951" s="22" t="s">
        <v>2882</v>
      </c>
    </row>
    <row r="2952">
      <c r="A2952" s="5" t="s">
        <v>3253</v>
      </c>
      <c r="B2952" s="6">
        <v>1.0</v>
      </c>
      <c r="C2952" s="7">
        <v>42.0</v>
      </c>
      <c r="D2952" s="6" t="s">
        <v>3182</v>
      </c>
      <c r="E2952" s="21">
        <v>1.0</v>
      </c>
      <c r="F2952" s="22" t="s">
        <v>2883</v>
      </c>
    </row>
    <row r="2953">
      <c r="A2953" s="5" t="s">
        <v>3193</v>
      </c>
      <c r="B2953" s="6">
        <v>5.0</v>
      </c>
      <c r="C2953" s="7">
        <v>45.0</v>
      </c>
      <c r="D2953" s="6" t="s">
        <v>3241</v>
      </c>
      <c r="E2953" s="21">
        <v>1.0</v>
      </c>
      <c r="F2953" s="22" t="s">
        <v>2884</v>
      </c>
    </row>
    <row r="2954">
      <c r="A2954" s="5" t="s">
        <v>3209</v>
      </c>
      <c r="B2954" s="6">
        <v>4.0</v>
      </c>
      <c r="C2954" s="7">
        <v>121.0</v>
      </c>
      <c r="D2954" s="6" t="s">
        <v>3173</v>
      </c>
      <c r="E2954" s="21">
        <v>1.0</v>
      </c>
      <c r="F2954" s="22" t="s">
        <v>2885</v>
      </c>
    </row>
    <row r="2955">
      <c r="A2955" s="5" t="s">
        <v>3191</v>
      </c>
      <c r="B2955" s="6">
        <v>5.0</v>
      </c>
      <c r="C2955" s="7">
        <v>28.0</v>
      </c>
      <c r="D2955" s="6" t="s">
        <v>3188</v>
      </c>
      <c r="E2955" s="21">
        <v>5.0</v>
      </c>
      <c r="F2955" s="22" t="s">
        <v>2886</v>
      </c>
    </row>
    <row r="2956">
      <c r="A2956" s="5" t="s">
        <v>3265</v>
      </c>
      <c r="B2956" s="6">
        <v>1.0</v>
      </c>
      <c r="C2956" s="7">
        <v>45.0</v>
      </c>
      <c r="D2956" s="6" t="s">
        <v>3241</v>
      </c>
      <c r="E2956" s="21">
        <v>5.0</v>
      </c>
      <c r="F2956" s="22" t="s">
        <v>2887</v>
      </c>
    </row>
    <row r="2957">
      <c r="A2957" s="5" t="s">
        <v>3253</v>
      </c>
      <c r="B2957" s="6">
        <v>1.0</v>
      </c>
      <c r="C2957" s="7">
        <v>159.0</v>
      </c>
      <c r="D2957" s="6" t="s">
        <v>3188</v>
      </c>
      <c r="E2957" s="21">
        <v>5.0</v>
      </c>
      <c r="F2957" s="22" t="s">
        <v>2888</v>
      </c>
    </row>
    <row r="2958">
      <c r="A2958" s="5" t="s">
        <v>3183</v>
      </c>
      <c r="B2958" s="6">
        <v>6.0</v>
      </c>
      <c r="C2958" s="7">
        <v>140.0</v>
      </c>
      <c r="D2958" s="6" t="s">
        <v>3190</v>
      </c>
      <c r="E2958" s="21">
        <v>5.0</v>
      </c>
      <c r="F2958" s="22" t="s">
        <v>2889</v>
      </c>
    </row>
    <row r="2959">
      <c r="A2959" s="5" t="s">
        <v>3166</v>
      </c>
      <c r="B2959" s="6">
        <v>6.0</v>
      </c>
      <c r="C2959" s="7">
        <v>103.0</v>
      </c>
      <c r="D2959" s="6" t="s">
        <v>3254</v>
      </c>
      <c r="E2959" s="21">
        <v>5.0</v>
      </c>
      <c r="F2959" s="22" t="s">
        <v>2890</v>
      </c>
    </row>
    <row r="2960">
      <c r="A2960" s="5" t="s">
        <v>3230</v>
      </c>
      <c r="B2960" s="6">
        <v>1.0</v>
      </c>
      <c r="C2960" s="7">
        <v>161.0</v>
      </c>
      <c r="D2960" s="6" t="s">
        <v>3192</v>
      </c>
      <c r="E2960" s="21">
        <v>5.0</v>
      </c>
      <c r="F2960" s="22" t="s">
        <v>2891</v>
      </c>
    </row>
    <row r="2961">
      <c r="A2961" s="5" t="s">
        <v>3168</v>
      </c>
      <c r="B2961" s="6">
        <v>1.0</v>
      </c>
      <c r="C2961" s="7">
        <v>197.0</v>
      </c>
      <c r="D2961" s="6" t="s">
        <v>3173</v>
      </c>
      <c r="E2961" s="21">
        <v>5.0</v>
      </c>
      <c r="F2961" s="22" t="s">
        <v>2892</v>
      </c>
    </row>
    <row r="2962">
      <c r="A2962" s="5" t="s">
        <v>3270</v>
      </c>
      <c r="B2962" s="6">
        <v>3.0</v>
      </c>
      <c r="C2962" s="7">
        <v>43.0</v>
      </c>
      <c r="D2962" s="6" t="s">
        <v>3214</v>
      </c>
      <c r="E2962" s="21">
        <v>5.0</v>
      </c>
      <c r="F2962" s="22" t="s">
        <v>2893</v>
      </c>
    </row>
    <row r="2963">
      <c r="A2963" s="5" t="s">
        <v>3202</v>
      </c>
      <c r="B2963" s="6">
        <v>4.0</v>
      </c>
      <c r="C2963" s="7">
        <v>25.0</v>
      </c>
      <c r="D2963" s="6" t="s">
        <v>3173</v>
      </c>
      <c r="E2963" s="21">
        <v>5.0</v>
      </c>
      <c r="F2963" s="22" t="s">
        <v>2894</v>
      </c>
    </row>
    <row r="2964">
      <c r="A2964" s="5" t="s">
        <v>3193</v>
      </c>
      <c r="B2964" s="6">
        <v>5.0</v>
      </c>
      <c r="C2964" s="7">
        <v>8.0</v>
      </c>
      <c r="D2964" s="6" t="s">
        <v>3169</v>
      </c>
      <c r="E2964" s="21">
        <v>5.0</v>
      </c>
      <c r="F2964" s="22" t="s">
        <v>2895</v>
      </c>
    </row>
    <row r="2965">
      <c r="A2965" s="5" t="s">
        <v>3246</v>
      </c>
      <c r="B2965" s="6">
        <v>4.0</v>
      </c>
      <c r="C2965" s="7">
        <v>163.0</v>
      </c>
      <c r="D2965" s="6" t="s">
        <v>3173</v>
      </c>
      <c r="E2965" s="21">
        <v>5.0</v>
      </c>
      <c r="F2965" s="22" t="s">
        <v>2896</v>
      </c>
    </row>
    <row r="2966">
      <c r="A2966" s="5" t="s">
        <v>3208</v>
      </c>
      <c r="B2966" s="6">
        <v>4.0</v>
      </c>
      <c r="C2966" s="7">
        <v>107.0</v>
      </c>
      <c r="D2966" s="6" t="s">
        <v>3207</v>
      </c>
      <c r="E2966" s="21">
        <v>5.0</v>
      </c>
      <c r="F2966" s="22" t="s">
        <v>2897</v>
      </c>
    </row>
    <row r="2967">
      <c r="A2967" s="5" t="s">
        <v>3220</v>
      </c>
      <c r="B2967" s="6">
        <v>6.0</v>
      </c>
      <c r="C2967" s="7">
        <v>27.0</v>
      </c>
      <c r="D2967" s="6" t="s">
        <v>3182</v>
      </c>
      <c r="E2967" s="21">
        <v>4.0</v>
      </c>
      <c r="F2967" s="22" t="s">
        <v>2898</v>
      </c>
    </row>
    <row r="2968">
      <c r="A2968" s="5" t="s">
        <v>3216</v>
      </c>
      <c r="B2968" s="6">
        <v>6.0</v>
      </c>
      <c r="C2968" s="7">
        <v>21.0</v>
      </c>
      <c r="D2968" s="6" t="s">
        <v>3200</v>
      </c>
      <c r="E2968" s="21">
        <v>4.0</v>
      </c>
      <c r="F2968" s="22" t="s">
        <v>2899</v>
      </c>
    </row>
    <row r="2969">
      <c r="A2969" s="5" t="s">
        <v>3248</v>
      </c>
      <c r="B2969" s="6">
        <v>3.0</v>
      </c>
      <c r="C2969" s="7">
        <v>110.0</v>
      </c>
      <c r="D2969" s="6" t="s">
        <v>3211</v>
      </c>
      <c r="E2969" s="21">
        <v>4.0</v>
      </c>
      <c r="F2969" s="22" t="s">
        <v>2900</v>
      </c>
    </row>
    <row r="2970">
      <c r="A2970" s="5" t="s">
        <v>3247</v>
      </c>
      <c r="B2970" s="6">
        <v>6.0</v>
      </c>
      <c r="C2970" s="7">
        <v>159.0</v>
      </c>
      <c r="D2970" s="6" t="s">
        <v>3188</v>
      </c>
      <c r="E2970" s="21">
        <v>4.0</v>
      </c>
      <c r="F2970" s="22" t="s">
        <v>2901</v>
      </c>
    </row>
    <row r="2971">
      <c r="A2971" s="5" t="s">
        <v>3172</v>
      </c>
      <c r="B2971" s="6">
        <v>1.0</v>
      </c>
      <c r="C2971" s="7">
        <v>188.0</v>
      </c>
      <c r="D2971" s="6" t="s">
        <v>3198</v>
      </c>
      <c r="E2971" s="21">
        <v>4.0</v>
      </c>
      <c r="F2971" s="22" t="s">
        <v>2902</v>
      </c>
    </row>
    <row r="2972">
      <c r="A2972" s="5" t="s">
        <v>3224</v>
      </c>
      <c r="B2972" s="6">
        <v>6.0</v>
      </c>
      <c r="C2972" s="7">
        <v>12.0</v>
      </c>
      <c r="D2972" s="6" t="s">
        <v>3225</v>
      </c>
      <c r="E2972" s="21">
        <v>4.0</v>
      </c>
      <c r="F2972" s="22" t="s">
        <v>2903</v>
      </c>
    </row>
    <row r="2973">
      <c r="A2973" s="5" t="s">
        <v>3205</v>
      </c>
      <c r="B2973" s="6">
        <v>1.0</v>
      </c>
      <c r="C2973" s="7">
        <v>197.0</v>
      </c>
      <c r="D2973" s="6" t="s">
        <v>3173</v>
      </c>
      <c r="E2973" s="21">
        <v>4.0</v>
      </c>
      <c r="F2973" s="22" t="s">
        <v>2904</v>
      </c>
    </row>
    <row r="2974">
      <c r="A2974" s="5" t="s">
        <v>3187</v>
      </c>
      <c r="B2974" s="6">
        <v>4.0</v>
      </c>
      <c r="C2974" s="7">
        <v>22.0</v>
      </c>
      <c r="D2974" s="6" t="s">
        <v>3167</v>
      </c>
      <c r="E2974" s="21">
        <v>4.0</v>
      </c>
      <c r="F2974" s="22" t="s">
        <v>2905</v>
      </c>
    </row>
    <row r="2975">
      <c r="A2975" s="5" t="s">
        <v>3260</v>
      </c>
      <c r="B2975" s="6">
        <v>1.0</v>
      </c>
      <c r="C2975" s="7">
        <v>30.0</v>
      </c>
      <c r="D2975" s="6" t="s">
        <v>3171</v>
      </c>
      <c r="E2975" s="21">
        <v>4.0</v>
      </c>
      <c r="F2975" s="22" t="s">
        <v>2906</v>
      </c>
    </row>
    <row r="2976">
      <c r="A2976" s="5" t="s">
        <v>3209</v>
      </c>
      <c r="B2976" s="6">
        <v>4.0</v>
      </c>
      <c r="C2976" s="7">
        <v>185.0</v>
      </c>
      <c r="D2976" s="6" t="s">
        <v>3173</v>
      </c>
      <c r="E2976" s="21">
        <v>4.0</v>
      </c>
      <c r="F2976" s="22" t="s">
        <v>2907</v>
      </c>
    </row>
    <row r="2977">
      <c r="A2977" s="5" t="s">
        <v>3166</v>
      </c>
      <c r="B2977" s="6">
        <v>6.0</v>
      </c>
      <c r="C2977" s="7">
        <v>134.0</v>
      </c>
      <c r="D2977" s="6" t="s">
        <v>3239</v>
      </c>
      <c r="E2977" s="21">
        <v>4.0</v>
      </c>
      <c r="F2977" s="22" t="s">
        <v>2908</v>
      </c>
    </row>
    <row r="2978">
      <c r="A2978" s="5" t="s">
        <v>3270</v>
      </c>
      <c r="B2978" s="6">
        <v>3.0</v>
      </c>
      <c r="C2978" s="7">
        <v>194.0</v>
      </c>
      <c r="D2978" s="6" t="s">
        <v>3215</v>
      </c>
      <c r="E2978" s="21">
        <v>3.0</v>
      </c>
      <c r="F2978" s="22" t="s">
        <v>2909</v>
      </c>
    </row>
    <row r="2979">
      <c r="A2979" s="5" t="s">
        <v>3242</v>
      </c>
      <c r="B2979" s="6">
        <v>1.0</v>
      </c>
      <c r="C2979" s="7">
        <v>25.0</v>
      </c>
      <c r="D2979" s="6" t="s">
        <v>3173</v>
      </c>
      <c r="E2979" s="21">
        <v>3.0</v>
      </c>
      <c r="F2979" s="22" t="s">
        <v>2910</v>
      </c>
    </row>
    <row r="2980">
      <c r="A2980" s="5" t="s">
        <v>3240</v>
      </c>
      <c r="B2980" s="6">
        <v>2.0</v>
      </c>
      <c r="C2980" s="7">
        <v>6.0</v>
      </c>
      <c r="D2980" s="6" t="s">
        <v>3180</v>
      </c>
      <c r="E2980" s="21">
        <v>3.0</v>
      </c>
      <c r="F2980" s="22" t="s">
        <v>2911</v>
      </c>
    </row>
    <row r="2981">
      <c r="A2981" s="5" t="s">
        <v>3224</v>
      </c>
      <c r="B2981" s="6">
        <v>6.0</v>
      </c>
      <c r="C2981" s="7">
        <v>65.0</v>
      </c>
      <c r="D2981" s="6" t="s">
        <v>3221</v>
      </c>
      <c r="E2981" s="21">
        <v>3.0</v>
      </c>
      <c r="F2981" s="22" t="s">
        <v>2912</v>
      </c>
    </row>
    <row r="2982">
      <c r="A2982" s="5" t="s">
        <v>3199</v>
      </c>
      <c r="B2982" s="6">
        <v>3.0</v>
      </c>
      <c r="C2982" s="7">
        <v>33.0</v>
      </c>
      <c r="D2982" s="6" t="s">
        <v>3225</v>
      </c>
      <c r="E2982" s="21">
        <v>3.0</v>
      </c>
      <c r="F2982" s="22" t="s">
        <v>2913</v>
      </c>
    </row>
    <row r="2983">
      <c r="A2983" s="5" t="s">
        <v>3216</v>
      </c>
      <c r="B2983" s="6">
        <v>6.0</v>
      </c>
      <c r="C2983" s="7">
        <v>45.0</v>
      </c>
      <c r="D2983" s="6" t="s">
        <v>3241</v>
      </c>
      <c r="E2983" s="21">
        <v>3.0</v>
      </c>
      <c r="F2983" s="22" t="s">
        <v>2914</v>
      </c>
    </row>
    <row r="2984">
      <c r="A2984" s="5" t="s">
        <v>3202</v>
      </c>
      <c r="B2984" s="6">
        <v>4.0</v>
      </c>
      <c r="C2984" s="7">
        <v>25.0</v>
      </c>
      <c r="D2984" s="6" t="s">
        <v>3173</v>
      </c>
      <c r="E2984" s="21">
        <v>2.0</v>
      </c>
      <c r="F2984" s="22" t="s">
        <v>2915</v>
      </c>
    </row>
    <row r="2985">
      <c r="A2985" s="5" t="s">
        <v>3246</v>
      </c>
      <c r="B2985" s="6">
        <v>4.0</v>
      </c>
      <c r="C2985" s="7">
        <v>109.0</v>
      </c>
      <c r="D2985" s="6" t="s">
        <v>3249</v>
      </c>
      <c r="E2985" s="21">
        <v>2.0</v>
      </c>
      <c r="F2985" s="22" t="s">
        <v>2916</v>
      </c>
    </row>
    <row r="2986">
      <c r="A2986" s="5" t="s">
        <v>3258</v>
      </c>
      <c r="B2986" s="6">
        <v>6.0</v>
      </c>
      <c r="C2986" s="7">
        <v>95.0</v>
      </c>
      <c r="D2986" s="6" t="s">
        <v>3227</v>
      </c>
      <c r="E2986" s="21">
        <v>2.0</v>
      </c>
      <c r="F2986" s="22" t="s">
        <v>2917</v>
      </c>
    </row>
    <row r="2987">
      <c r="A2987" s="5" t="s">
        <v>3197</v>
      </c>
      <c r="B2987" s="6">
        <v>1.0</v>
      </c>
      <c r="C2987" s="7">
        <v>155.0</v>
      </c>
      <c r="D2987" s="6" t="s">
        <v>3180</v>
      </c>
      <c r="E2987" s="21">
        <v>2.0</v>
      </c>
      <c r="F2987" s="22" t="s">
        <v>2918</v>
      </c>
    </row>
    <row r="2988">
      <c r="A2988" s="5" t="s">
        <v>3259</v>
      </c>
      <c r="B2988" s="6">
        <v>6.0</v>
      </c>
      <c r="C2988" s="7">
        <v>24.0</v>
      </c>
      <c r="D2988" s="6" t="s">
        <v>3194</v>
      </c>
      <c r="E2988" s="21">
        <v>2.0</v>
      </c>
      <c r="F2988" s="22" t="s">
        <v>2919</v>
      </c>
    </row>
    <row r="2989">
      <c r="A2989" s="5" t="s">
        <v>3193</v>
      </c>
      <c r="B2989" s="6">
        <v>5.0</v>
      </c>
      <c r="C2989" s="7">
        <v>14.0</v>
      </c>
      <c r="D2989" s="6" t="s">
        <v>3196</v>
      </c>
      <c r="E2989" s="21">
        <v>2.0</v>
      </c>
      <c r="F2989" s="22" t="s">
        <v>2920</v>
      </c>
    </row>
    <row r="2990">
      <c r="A2990" s="5" t="s">
        <v>3223</v>
      </c>
      <c r="B2990" s="6">
        <v>3.0</v>
      </c>
      <c r="C2990" s="7">
        <v>184.0</v>
      </c>
      <c r="D2990" s="6" t="s">
        <v>3169</v>
      </c>
      <c r="E2990" s="21">
        <v>2.0</v>
      </c>
      <c r="F2990" s="22" t="s">
        <v>2921</v>
      </c>
    </row>
    <row r="2991">
      <c r="A2991" s="5" t="s">
        <v>3267</v>
      </c>
      <c r="B2991" s="6">
        <v>3.0</v>
      </c>
      <c r="C2991" s="7">
        <v>173.0</v>
      </c>
      <c r="D2991" s="6" t="s">
        <v>3167</v>
      </c>
      <c r="E2991" s="21">
        <v>1.0</v>
      </c>
      <c r="F2991" s="22" t="s">
        <v>2922</v>
      </c>
    </row>
    <row r="2992">
      <c r="A2992" s="5" t="s">
        <v>3265</v>
      </c>
      <c r="B2992" s="6">
        <v>1.0</v>
      </c>
      <c r="C2992" s="7">
        <v>72.0</v>
      </c>
      <c r="D2992" s="6" t="s">
        <v>3171</v>
      </c>
      <c r="E2992" s="21">
        <v>1.0</v>
      </c>
      <c r="F2992" s="22" t="s">
        <v>2923</v>
      </c>
    </row>
    <row r="2993">
      <c r="A2993" s="5" t="s">
        <v>3268</v>
      </c>
      <c r="B2993" s="6">
        <v>1.0</v>
      </c>
      <c r="C2993" s="7">
        <v>187.0</v>
      </c>
      <c r="D2993" s="6" t="s">
        <v>3254</v>
      </c>
      <c r="E2993" s="21">
        <v>1.0</v>
      </c>
      <c r="F2993" s="22" t="s">
        <v>2924</v>
      </c>
    </row>
    <row r="2994">
      <c r="A2994" s="5" t="s">
        <v>3177</v>
      </c>
      <c r="B2994" s="6">
        <v>5.0</v>
      </c>
      <c r="C2994" s="7">
        <v>147.0</v>
      </c>
      <c r="D2994" s="6" t="s">
        <v>3196</v>
      </c>
      <c r="E2994" s="21">
        <v>1.0</v>
      </c>
      <c r="F2994" s="22" t="s">
        <v>2925</v>
      </c>
    </row>
    <row r="2995">
      <c r="A2995" s="5" t="s">
        <v>3212</v>
      </c>
      <c r="B2995" s="6">
        <v>6.0</v>
      </c>
      <c r="C2995" s="7">
        <v>177.0</v>
      </c>
      <c r="D2995" s="6" t="s">
        <v>3167</v>
      </c>
      <c r="E2995" s="21">
        <v>1.0</v>
      </c>
      <c r="F2995" s="22" t="s">
        <v>2926</v>
      </c>
    </row>
    <row r="2996">
      <c r="A2996" s="5" t="s">
        <v>3242</v>
      </c>
      <c r="B2996" s="6">
        <v>1.0</v>
      </c>
      <c r="C2996" s="7">
        <v>78.0</v>
      </c>
      <c r="D2996" s="6" t="s">
        <v>3176</v>
      </c>
      <c r="E2996" s="21">
        <v>1.0</v>
      </c>
      <c r="F2996" s="22" t="s">
        <v>2927</v>
      </c>
    </row>
    <row r="2997">
      <c r="A2997" s="5" t="s">
        <v>3240</v>
      </c>
      <c r="B2997" s="6">
        <v>2.0</v>
      </c>
      <c r="C2997" s="7">
        <v>181.0</v>
      </c>
      <c r="D2997" s="6" t="s">
        <v>3190</v>
      </c>
      <c r="E2997" s="21">
        <v>1.0</v>
      </c>
      <c r="F2997" s="22" t="s">
        <v>2928</v>
      </c>
    </row>
    <row r="2998">
      <c r="A2998" s="5" t="s">
        <v>3265</v>
      </c>
      <c r="B2998" s="6">
        <v>1.0</v>
      </c>
      <c r="C2998" s="7">
        <v>80.0</v>
      </c>
      <c r="D2998" s="6" t="s">
        <v>3180</v>
      </c>
      <c r="E2998" s="21">
        <v>1.0</v>
      </c>
      <c r="F2998" s="22" t="s">
        <v>2929</v>
      </c>
    </row>
    <row r="2999">
      <c r="A2999" s="5" t="s">
        <v>3168</v>
      </c>
      <c r="B2999" s="6">
        <v>1.0</v>
      </c>
      <c r="C2999" s="7">
        <v>174.0</v>
      </c>
      <c r="D2999" s="6" t="s">
        <v>3188</v>
      </c>
      <c r="E2999" s="21">
        <v>1.0</v>
      </c>
      <c r="F2999" s="22" t="s">
        <v>2930</v>
      </c>
    </row>
    <row r="3000">
      <c r="A3000" s="5" t="s">
        <v>3216</v>
      </c>
      <c r="B3000" s="6">
        <v>6.0</v>
      </c>
      <c r="C3000" s="7">
        <v>116.0</v>
      </c>
      <c r="D3000" s="6" t="s">
        <v>3169</v>
      </c>
      <c r="E3000" s="21">
        <v>1.0</v>
      </c>
      <c r="F3000" s="22" t="s">
        <v>2931</v>
      </c>
    </row>
    <row r="3001">
      <c r="A3001" s="5" t="s">
        <v>3231</v>
      </c>
      <c r="B3001" s="6">
        <v>4.0</v>
      </c>
      <c r="C3001" s="7">
        <v>157.0</v>
      </c>
      <c r="D3001" s="6" t="s">
        <v>3219</v>
      </c>
      <c r="E3001" s="21">
        <v>1.0</v>
      </c>
      <c r="F3001" s="22" t="s">
        <v>2932</v>
      </c>
    </row>
    <row r="3002">
      <c r="A3002" s="5" t="s">
        <v>3220</v>
      </c>
      <c r="B3002" s="6">
        <v>6.0</v>
      </c>
      <c r="C3002" s="7">
        <v>14.0</v>
      </c>
      <c r="D3002" s="6" t="s">
        <v>3196</v>
      </c>
      <c r="E3002" s="21">
        <v>1.0</v>
      </c>
      <c r="F3002" s="22" t="s">
        <v>2933</v>
      </c>
    </row>
    <row r="3003">
      <c r="A3003" s="5" t="s">
        <v>3170</v>
      </c>
      <c r="B3003" s="6">
        <v>1.0</v>
      </c>
      <c r="C3003" s="7">
        <v>135.0</v>
      </c>
      <c r="D3003" s="6" t="s">
        <v>3207</v>
      </c>
      <c r="E3003" s="21">
        <v>1.0</v>
      </c>
      <c r="F3003" s="22" t="s">
        <v>2934</v>
      </c>
    </row>
    <row r="3004">
      <c r="A3004" s="5" t="s">
        <v>3253</v>
      </c>
      <c r="B3004" s="6">
        <v>1.0</v>
      </c>
      <c r="C3004" s="7">
        <v>145.0</v>
      </c>
      <c r="D3004" s="6" t="s">
        <v>3222</v>
      </c>
      <c r="E3004" s="21">
        <v>1.0</v>
      </c>
      <c r="F3004" s="22" t="s">
        <v>2935</v>
      </c>
    </row>
    <row r="3005">
      <c r="A3005" s="5" t="s">
        <v>3189</v>
      </c>
      <c r="B3005" s="6">
        <v>6.0</v>
      </c>
      <c r="C3005" s="7">
        <v>88.0</v>
      </c>
      <c r="D3005" s="6" t="s">
        <v>3167</v>
      </c>
      <c r="E3005" s="21">
        <v>5.0</v>
      </c>
      <c r="F3005" s="22" t="s">
        <v>2936</v>
      </c>
    </row>
    <row r="3006">
      <c r="A3006" s="5" t="s">
        <v>3230</v>
      </c>
      <c r="B3006" s="6">
        <v>1.0</v>
      </c>
      <c r="C3006" s="7">
        <v>53.0</v>
      </c>
      <c r="D3006" s="6" t="s">
        <v>3249</v>
      </c>
      <c r="E3006" s="21">
        <v>5.0</v>
      </c>
      <c r="F3006" s="22" t="s">
        <v>2937</v>
      </c>
    </row>
    <row r="3007">
      <c r="A3007" s="5" t="s">
        <v>3174</v>
      </c>
      <c r="B3007" s="6">
        <v>1.0</v>
      </c>
      <c r="C3007" s="7">
        <v>18.0</v>
      </c>
      <c r="D3007" s="6" t="s">
        <v>3225</v>
      </c>
      <c r="E3007" s="21">
        <v>5.0</v>
      </c>
      <c r="F3007" s="22" t="s">
        <v>2938</v>
      </c>
    </row>
    <row r="3008">
      <c r="A3008" s="5" t="s">
        <v>3220</v>
      </c>
      <c r="B3008" s="6">
        <v>6.0</v>
      </c>
      <c r="C3008" s="7">
        <v>150.0</v>
      </c>
      <c r="D3008" s="6" t="s">
        <v>3167</v>
      </c>
      <c r="E3008" s="21">
        <v>5.0</v>
      </c>
      <c r="F3008" s="22" t="s">
        <v>2939</v>
      </c>
    </row>
    <row r="3009">
      <c r="A3009" s="5" t="s">
        <v>3195</v>
      </c>
      <c r="B3009" s="6">
        <v>4.0</v>
      </c>
      <c r="C3009" s="7">
        <v>67.0</v>
      </c>
      <c r="D3009" s="6" t="s">
        <v>3186</v>
      </c>
      <c r="E3009" s="21">
        <v>5.0</v>
      </c>
      <c r="F3009" s="22" t="s">
        <v>2940</v>
      </c>
    </row>
    <row r="3010">
      <c r="A3010" s="5" t="s">
        <v>3269</v>
      </c>
      <c r="B3010" s="6">
        <v>6.0</v>
      </c>
      <c r="C3010" s="7">
        <v>98.0</v>
      </c>
      <c r="D3010" s="6" t="s">
        <v>3211</v>
      </c>
      <c r="E3010" s="21">
        <v>5.0</v>
      </c>
      <c r="F3010" s="22" t="s">
        <v>2048</v>
      </c>
    </row>
    <row r="3011">
      <c r="A3011" s="5" t="s">
        <v>3261</v>
      </c>
      <c r="B3011" s="6">
        <v>4.0</v>
      </c>
      <c r="C3011" s="7">
        <v>20.0</v>
      </c>
      <c r="D3011" s="6" t="s">
        <v>3173</v>
      </c>
      <c r="E3011" s="21">
        <v>5.0</v>
      </c>
      <c r="F3011" s="22" t="s">
        <v>2941</v>
      </c>
    </row>
    <row r="3012">
      <c r="A3012" s="5" t="s">
        <v>3261</v>
      </c>
      <c r="B3012" s="6">
        <v>4.0</v>
      </c>
      <c r="C3012" s="7">
        <v>154.0</v>
      </c>
      <c r="D3012" s="6" t="s">
        <v>3171</v>
      </c>
      <c r="E3012" s="21">
        <v>5.0</v>
      </c>
      <c r="F3012" s="22" t="s">
        <v>2942</v>
      </c>
    </row>
    <row r="3013">
      <c r="A3013" s="5" t="s">
        <v>3226</v>
      </c>
      <c r="B3013" s="6">
        <v>1.0</v>
      </c>
      <c r="C3013" s="7">
        <v>10.0</v>
      </c>
      <c r="D3013" s="6" t="s">
        <v>3249</v>
      </c>
      <c r="E3013" s="21">
        <v>5.0</v>
      </c>
      <c r="F3013" s="22" t="s">
        <v>2943</v>
      </c>
    </row>
    <row r="3014">
      <c r="A3014" s="5" t="s">
        <v>3253</v>
      </c>
      <c r="B3014" s="6">
        <v>1.0</v>
      </c>
      <c r="C3014" s="7">
        <v>76.0</v>
      </c>
      <c r="D3014" s="6" t="s">
        <v>3190</v>
      </c>
      <c r="E3014" s="21">
        <v>5.0</v>
      </c>
      <c r="F3014" s="22" t="s">
        <v>2944</v>
      </c>
    </row>
    <row r="3015">
      <c r="A3015" s="5" t="s">
        <v>3170</v>
      </c>
      <c r="B3015" s="6">
        <v>1.0</v>
      </c>
      <c r="C3015" s="7">
        <v>144.0</v>
      </c>
      <c r="D3015" s="6" t="s">
        <v>3173</v>
      </c>
      <c r="E3015" s="21">
        <v>5.0</v>
      </c>
      <c r="F3015" s="22" t="s">
        <v>990</v>
      </c>
    </row>
    <row r="3016">
      <c r="A3016" s="5" t="s">
        <v>3246</v>
      </c>
      <c r="B3016" s="6">
        <v>4.0</v>
      </c>
      <c r="C3016" s="7">
        <v>98.0</v>
      </c>
      <c r="D3016" s="6" t="s">
        <v>3211</v>
      </c>
      <c r="E3016" s="21">
        <v>5.0</v>
      </c>
      <c r="F3016" s="22" t="s">
        <v>2945</v>
      </c>
    </row>
    <row r="3017">
      <c r="A3017" s="5" t="s">
        <v>3183</v>
      </c>
      <c r="B3017" s="6">
        <v>6.0</v>
      </c>
      <c r="C3017" s="7">
        <v>7.0</v>
      </c>
      <c r="D3017" s="6" t="s">
        <v>3180</v>
      </c>
      <c r="E3017" s="21">
        <v>5.0</v>
      </c>
      <c r="F3017" s="22" t="s">
        <v>2946</v>
      </c>
    </row>
    <row r="3018">
      <c r="A3018" s="5" t="s">
        <v>3208</v>
      </c>
      <c r="B3018" s="6">
        <v>4.0</v>
      </c>
      <c r="C3018" s="7">
        <v>70.0</v>
      </c>
      <c r="D3018" s="6" t="s">
        <v>3222</v>
      </c>
      <c r="E3018" s="21">
        <v>5.0</v>
      </c>
      <c r="F3018" s="22" t="s">
        <v>2947</v>
      </c>
    </row>
    <row r="3019">
      <c r="A3019" s="5" t="s">
        <v>3229</v>
      </c>
      <c r="B3019" s="6">
        <v>4.0</v>
      </c>
      <c r="C3019" s="7">
        <v>161.0</v>
      </c>
      <c r="D3019" s="6" t="s">
        <v>3192</v>
      </c>
      <c r="E3019" s="21">
        <v>5.0</v>
      </c>
      <c r="F3019" s="22" t="s">
        <v>2948</v>
      </c>
    </row>
    <row r="3020">
      <c r="A3020" s="5" t="s">
        <v>3234</v>
      </c>
      <c r="B3020" s="6">
        <v>6.0</v>
      </c>
      <c r="C3020" s="7">
        <v>133.0</v>
      </c>
      <c r="D3020" s="6" t="s">
        <v>3192</v>
      </c>
      <c r="E3020" s="21">
        <v>5.0</v>
      </c>
      <c r="F3020" s="22" t="s">
        <v>2949</v>
      </c>
    </row>
    <row r="3021">
      <c r="A3021" s="5" t="s">
        <v>3210</v>
      </c>
      <c r="B3021" s="6">
        <v>1.0</v>
      </c>
      <c r="C3021" s="7">
        <v>112.0</v>
      </c>
      <c r="D3021" s="6" t="s">
        <v>3227</v>
      </c>
      <c r="E3021" s="21">
        <v>5.0</v>
      </c>
      <c r="F3021" s="22" t="s">
        <v>2950</v>
      </c>
    </row>
    <row r="3022">
      <c r="A3022" s="5" t="s">
        <v>3212</v>
      </c>
      <c r="B3022" s="6">
        <v>6.0</v>
      </c>
      <c r="C3022" s="7">
        <v>77.0</v>
      </c>
      <c r="D3022" s="6" t="s">
        <v>3254</v>
      </c>
      <c r="E3022" s="21">
        <v>5.0</v>
      </c>
      <c r="F3022" s="22" t="s">
        <v>2951</v>
      </c>
    </row>
    <row r="3023">
      <c r="A3023" s="5" t="s">
        <v>3209</v>
      </c>
      <c r="B3023" s="6">
        <v>4.0</v>
      </c>
      <c r="C3023" s="7">
        <v>130.0</v>
      </c>
      <c r="D3023" s="6" t="s">
        <v>3232</v>
      </c>
      <c r="E3023" s="21">
        <v>4.0</v>
      </c>
      <c r="F3023" s="22" t="s">
        <v>2952</v>
      </c>
    </row>
    <row r="3024">
      <c r="A3024" s="5" t="s">
        <v>3234</v>
      </c>
      <c r="B3024" s="6">
        <v>6.0</v>
      </c>
      <c r="C3024" s="7">
        <v>83.0</v>
      </c>
      <c r="D3024" s="6" t="s">
        <v>3203</v>
      </c>
      <c r="E3024" s="21">
        <v>4.0</v>
      </c>
      <c r="F3024" s="22" t="s">
        <v>2953</v>
      </c>
    </row>
    <row r="3025">
      <c r="A3025" s="5" t="s">
        <v>3174</v>
      </c>
      <c r="B3025" s="6">
        <v>1.0</v>
      </c>
      <c r="C3025" s="7">
        <v>185.0</v>
      </c>
      <c r="D3025" s="6" t="s">
        <v>3173</v>
      </c>
      <c r="E3025" s="21">
        <v>4.0</v>
      </c>
      <c r="F3025" s="22" t="s">
        <v>2954</v>
      </c>
    </row>
    <row r="3026">
      <c r="A3026" s="5" t="s">
        <v>3228</v>
      </c>
      <c r="B3026" s="6">
        <v>6.0</v>
      </c>
      <c r="C3026" s="7">
        <v>52.0</v>
      </c>
      <c r="D3026" s="6" t="s">
        <v>3194</v>
      </c>
      <c r="E3026" s="21">
        <v>4.0</v>
      </c>
      <c r="F3026" s="22" t="s">
        <v>2955</v>
      </c>
    </row>
    <row r="3027">
      <c r="A3027" s="5" t="s">
        <v>3189</v>
      </c>
      <c r="B3027" s="6">
        <v>6.0</v>
      </c>
      <c r="C3027" s="7">
        <v>55.0</v>
      </c>
      <c r="D3027" s="6" t="s">
        <v>3198</v>
      </c>
      <c r="E3027" s="21">
        <v>4.0</v>
      </c>
      <c r="F3027" s="22" t="s">
        <v>2956</v>
      </c>
    </row>
    <row r="3028">
      <c r="A3028" s="5" t="s">
        <v>3251</v>
      </c>
      <c r="B3028" s="6">
        <v>6.0</v>
      </c>
      <c r="C3028" s="7">
        <v>128.0</v>
      </c>
      <c r="D3028" s="6" t="s">
        <v>3211</v>
      </c>
      <c r="E3028" s="21">
        <v>4.0</v>
      </c>
      <c r="F3028" s="22" t="s">
        <v>2957</v>
      </c>
    </row>
    <row r="3029">
      <c r="A3029" s="5" t="s">
        <v>3179</v>
      </c>
      <c r="B3029" s="6">
        <v>1.0</v>
      </c>
      <c r="C3029" s="7">
        <v>91.0</v>
      </c>
      <c r="D3029" s="6" t="s">
        <v>3178</v>
      </c>
      <c r="E3029" s="21">
        <v>4.0</v>
      </c>
      <c r="F3029" s="22" t="s">
        <v>2958</v>
      </c>
    </row>
    <row r="3030">
      <c r="A3030" s="5" t="s">
        <v>3259</v>
      </c>
      <c r="B3030" s="6">
        <v>6.0</v>
      </c>
      <c r="C3030" s="7">
        <v>187.0</v>
      </c>
      <c r="D3030" s="6" t="s">
        <v>3254</v>
      </c>
      <c r="E3030" s="21">
        <v>3.0</v>
      </c>
      <c r="F3030" s="22" t="s">
        <v>2959</v>
      </c>
    </row>
    <row r="3031">
      <c r="A3031" s="5" t="s">
        <v>3267</v>
      </c>
      <c r="B3031" s="6">
        <v>3.0</v>
      </c>
      <c r="C3031" s="7">
        <v>119.0</v>
      </c>
      <c r="D3031" s="6" t="s">
        <v>3178</v>
      </c>
      <c r="E3031" s="21">
        <v>3.0</v>
      </c>
      <c r="F3031" s="22" t="s">
        <v>2960</v>
      </c>
    </row>
    <row r="3032">
      <c r="A3032" s="5" t="s">
        <v>3185</v>
      </c>
      <c r="B3032" s="6">
        <v>1.0</v>
      </c>
      <c r="C3032" s="7">
        <v>99.0</v>
      </c>
      <c r="D3032" s="6" t="s">
        <v>3200</v>
      </c>
      <c r="E3032" s="21">
        <v>3.0</v>
      </c>
      <c r="F3032" s="22" t="s">
        <v>2961</v>
      </c>
    </row>
    <row r="3033">
      <c r="A3033" s="5" t="s">
        <v>3229</v>
      </c>
      <c r="B3033" s="6">
        <v>4.0</v>
      </c>
      <c r="C3033" s="7">
        <v>35.0</v>
      </c>
      <c r="D3033" s="6" t="s">
        <v>3196</v>
      </c>
      <c r="E3033" s="21">
        <v>3.0</v>
      </c>
      <c r="F3033" s="22" t="s">
        <v>2962</v>
      </c>
    </row>
    <row r="3034">
      <c r="A3034" s="5" t="s">
        <v>3269</v>
      </c>
      <c r="B3034" s="6">
        <v>6.0</v>
      </c>
      <c r="C3034" s="7">
        <v>11.0</v>
      </c>
      <c r="D3034" s="6" t="s">
        <v>3180</v>
      </c>
      <c r="E3034" s="21">
        <v>3.0</v>
      </c>
      <c r="F3034" s="22" t="s">
        <v>2963</v>
      </c>
    </row>
    <row r="3035">
      <c r="A3035" s="5" t="s">
        <v>3179</v>
      </c>
      <c r="B3035" s="6">
        <v>1.0</v>
      </c>
      <c r="C3035" s="7">
        <v>198.0</v>
      </c>
      <c r="D3035" s="6" t="s">
        <v>3180</v>
      </c>
      <c r="E3035" s="21">
        <v>3.0</v>
      </c>
      <c r="F3035" s="22" t="s">
        <v>2964</v>
      </c>
    </row>
    <row r="3036">
      <c r="A3036" s="5" t="s">
        <v>3209</v>
      </c>
      <c r="B3036" s="6">
        <v>4.0</v>
      </c>
      <c r="C3036" s="7">
        <v>136.0</v>
      </c>
      <c r="D3036" s="6" t="s">
        <v>3221</v>
      </c>
      <c r="E3036" s="21">
        <v>3.0</v>
      </c>
      <c r="F3036" s="22" t="s">
        <v>2965</v>
      </c>
    </row>
    <row r="3037">
      <c r="A3037" s="5" t="s">
        <v>3220</v>
      </c>
      <c r="B3037" s="6">
        <v>6.0</v>
      </c>
      <c r="C3037" s="7">
        <v>108.0</v>
      </c>
      <c r="D3037" s="6" t="s">
        <v>3198</v>
      </c>
      <c r="E3037" s="21">
        <v>2.0</v>
      </c>
      <c r="F3037" s="22" t="s">
        <v>2966</v>
      </c>
    </row>
    <row r="3038">
      <c r="A3038" s="5" t="s">
        <v>3208</v>
      </c>
      <c r="B3038" s="6">
        <v>4.0</v>
      </c>
      <c r="C3038" s="7">
        <v>73.0</v>
      </c>
      <c r="D3038" s="6" t="s">
        <v>3173</v>
      </c>
      <c r="E3038" s="21">
        <v>2.0</v>
      </c>
      <c r="F3038" s="22" t="s">
        <v>2967</v>
      </c>
    </row>
    <row r="3039">
      <c r="A3039" s="5" t="s">
        <v>3212</v>
      </c>
      <c r="B3039" s="6">
        <v>6.0</v>
      </c>
      <c r="C3039" s="7">
        <v>9.0</v>
      </c>
      <c r="D3039" s="6" t="s">
        <v>3232</v>
      </c>
      <c r="E3039" s="21">
        <v>2.0</v>
      </c>
      <c r="F3039" s="22" t="s">
        <v>2968</v>
      </c>
    </row>
    <row r="3040">
      <c r="A3040" s="5" t="s">
        <v>3231</v>
      </c>
      <c r="B3040" s="6">
        <v>4.0</v>
      </c>
      <c r="C3040" s="7">
        <v>148.0</v>
      </c>
      <c r="D3040" s="6" t="s">
        <v>3262</v>
      </c>
      <c r="E3040" s="21">
        <v>2.0</v>
      </c>
      <c r="F3040" s="22" t="s">
        <v>2969</v>
      </c>
    </row>
    <row r="3041">
      <c r="A3041" s="5" t="s">
        <v>3240</v>
      </c>
      <c r="B3041" s="6">
        <v>2.0</v>
      </c>
      <c r="C3041" s="7">
        <v>185.0</v>
      </c>
      <c r="D3041" s="6" t="s">
        <v>3173</v>
      </c>
      <c r="E3041" s="21">
        <v>2.0</v>
      </c>
      <c r="F3041" s="22" t="s">
        <v>2970</v>
      </c>
    </row>
    <row r="3042">
      <c r="A3042" s="5" t="s">
        <v>3247</v>
      </c>
      <c r="B3042" s="6">
        <v>6.0</v>
      </c>
      <c r="C3042" s="7">
        <v>149.0</v>
      </c>
      <c r="D3042" s="6" t="s">
        <v>3239</v>
      </c>
      <c r="E3042" s="21">
        <v>2.0</v>
      </c>
      <c r="F3042" s="22" t="s">
        <v>2971</v>
      </c>
    </row>
    <row r="3043">
      <c r="A3043" s="5" t="s">
        <v>3267</v>
      </c>
      <c r="B3043" s="6">
        <v>3.0</v>
      </c>
      <c r="C3043" s="7">
        <v>140.0</v>
      </c>
      <c r="D3043" s="6" t="s">
        <v>3190</v>
      </c>
      <c r="E3043" s="21">
        <v>2.0</v>
      </c>
      <c r="F3043" s="22" t="s">
        <v>2972</v>
      </c>
    </row>
    <row r="3044">
      <c r="A3044" s="5" t="s">
        <v>3208</v>
      </c>
      <c r="B3044" s="6">
        <v>4.0</v>
      </c>
      <c r="C3044" s="7">
        <v>178.0</v>
      </c>
      <c r="D3044" s="6" t="s">
        <v>3190</v>
      </c>
      <c r="E3044" s="21">
        <v>2.0</v>
      </c>
      <c r="F3044" s="22" t="s">
        <v>2973</v>
      </c>
    </row>
    <row r="3045">
      <c r="A3045" s="5" t="s">
        <v>3242</v>
      </c>
      <c r="B3045" s="6">
        <v>1.0</v>
      </c>
      <c r="C3045" s="7">
        <v>61.0</v>
      </c>
      <c r="D3045" s="6" t="s">
        <v>3249</v>
      </c>
      <c r="E3045" s="21">
        <v>2.0</v>
      </c>
      <c r="F3045" s="22" t="s">
        <v>2974</v>
      </c>
    </row>
    <row r="3046">
      <c r="A3046" s="5" t="s">
        <v>3253</v>
      </c>
      <c r="B3046" s="6">
        <v>1.0</v>
      </c>
      <c r="C3046" s="7">
        <v>194.0</v>
      </c>
      <c r="D3046" s="6" t="s">
        <v>3215</v>
      </c>
      <c r="E3046" s="21">
        <v>2.0</v>
      </c>
      <c r="F3046" s="22" t="s">
        <v>2975</v>
      </c>
    </row>
    <row r="3047">
      <c r="A3047" s="5" t="s">
        <v>3237</v>
      </c>
      <c r="B3047" s="6">
        <v>2.0</v>
      </c>
      <c r="C3047" s="7">
        <v>53.0</v>
      </c>
      <c r="D3047" s="6" t="s">
        <v>3249</v>
      </c>
      <c r="E3047" s="21">
        <v>2.0</v>
      </c>
      <c r="F3047" s="22" t="s">
        <v>2976</v>
      </c>
    </row>
    <row r="3048">
      <c r="A3048" s="5" t="s">
        <v>3269</v>
      </c>
      <c r="B3048" s="6">
        <v>6.0</v>
      </c>
      <c r="C3048" s="7">
        <v>175.0</v>
      </c>
      <c r="D3048" s="6" t="s">
        <v>3257</v>
      </c>
      <c r="E3048" s="21">
        <v>1.0</v>
      </c>
      <c r="F3048" s="22" t="s">
        <v>2977</v>
      </c>
    </row>
    <row r="3049">
      <c r="A3049" s="5" t="s">
        <v>3197</v>
      </c>
      <c r="B3049" s="6">
        <v>1.0</v>
      </c>
      <c r="C3049" s="7">
        <v>149.0</v>
      </c>
      <c r="D3049" s="6" t="s">
        <v>3239</v>
      </c>
      <c r="E3049" s="21">
        <v>1.0</v>
      </c>
      <c r="F3049" s="22" t="s">
        <v>2978</v>
      </c>
    </row>
    <row r="3050">
      <c r="A3050" s="5" t="s">
        <v>3229</v>
      </c>
      <c r="B3050" s="6">
        <v>4.0</v>
      </c>
      <c r="C3050" s="7">
        <v>136.0</v>
      </c>
      <c r="D3050" s="6" t="s">
        <v>3221</v>
      </c>
      <c r="E3050" s="21">
        <v>1.0</v>
      </c>
      <c r="F3050" s="22" t="s">
        <v>2979</v>
      </c>
    </row>
    <row r="3051">
      <c r="A3051" s="5" t="s">
        <v>3267</v>
      </c>
      <c r="B3051" s="6">
        <v>3.0</v>
      </c>
      <c r="C3051" s="7">
        <v>62.0</v>
      </c>
      <c r="D3051" s="6" t="s">
        <v>3200</v>
      </c>
      <c r="E3051" s="21">
        <v>1.0</v>
      </c>
      <c r="F3051" s="22" t="s">
        <v>2980</v>
      </c>
    </row>
    <row r="3052">
      <c r="A3052" s="5" t="s">
        <v>3264</v>
      </c>
      <c r="B3052" s="6">
        <v>4.0</v>
      </c>
      <c r="C3052" s="7">
        <v>49.0</v>
      </c>
      <c r="D3052" s="6" t="s">
        <v>3254</v>
      </c>
      <c r="E3052" s="21">
        <v>1.0</v>
      </c>
      <c r="F3052" s="22" t="s">
        <v>2981</v>
      </c>
    </row>
    <row r="3053">
      <c r="A3053" s="5" t="s">
        <v>3223</v>
      </c>
      <c r="B3053" s="6">
        <v>3.0</v>
      </c>
      <c r="C3053" s="7">
        <v>66.0</v>
      </c>
      <c r="D3053" s="6" t="s">
        <v>3171</v>
      </c>
      <c r="E3053" s="21">
        <v>1.0</v>
      </c>
      <c r="F3053" s="22" t="s">
        <v>2982</v>
      </c>
    </row>
    <row r="3054">
      <c r="A3054" s="5" t="s">
        <v>3201</v>
      </c>
      <c r="B3054" s="6">
        <v>5.0</v>
      </c>
      <c r="C3054" s="7">
        <v>37.0</v>
      </c>
      <c r="D3054" s="6" t="s">
        <v>3194</v>
      </c>
      <c r="E3054" s="21">
        <v>1.0</v>
      </c>
      <c r="F3054" s="22" t="s">
        <v>2983</v>
      </c>
    </row>
    <row r="3055">
      <c r="A3055" s="5" t="s">
        <v>3212</v>
      </c>
      <c r="B3055" s="6">
        <v>6.0</v>
      </c>
      <c r="C3055" s="7">
        <v>174.0</v>
      </c>
      <c r="D3055" s="6" t="s">
        <v>3188</v>
      </c>
      <c r="E3055" s="21">
        <v>1.0</v>
      </c>
      <c r="F3055" s="22" t="s">
        <v>2984</v>
      </c>
    </row>
    <row r="3056">
      <c r="A3056" s="5" t="s">
        <v>3175</v>
      </c>
      <c r="B3056" s="6">
        <v>5.0</v>
      </c>
      <c r="C3056" s="7">
        <v>196.0</v>
      </c>
      <c r="D3056" s="6" t="s">
        <v>3169</v>
      </c>
      <c r="E3056" s="21">
        <v>5.0</v>
      </c>
      <c r="F3056" s="22" t="s">
        <v>2985</v>
      </c>
    </row>
    <row r="3057">
      <c r="A3057" s="5" t="s">
        <v>3220</v>
      </c>
      <c r="B3057" s="6">
        <v>6.0</v>
      </c>
      <c r="C3057" s="7">
        <v>40.0</v>
      </c>
      <c r="D3057" s="6" t="s">
        <v>3221</v>
      </c>
      <c r="E3057" s="21">
        <v>5.0</v>
      </c>
      <c r="F3057" s="22" t="s">
        <v>2986</v>
      </c>
    </row>
    <row r="3058">
      <c r="A3058" s="5" t="s">
        <v>3181</v>
      </c>
      <c r="B3058" s="6">
        <v>1.0</v>
      </c>
      <c r="C3058" s="7">
        <v>83.0</v>
      </c>
      <c r="D3058" s="6" t="s">
        <v>3203</v>
      </c>
      <c r="E3058" s="21">
        <v>5.0</v>
      </c>
      <c r="F3058" s="22" t="s">
        <v>2987</v>
      </c>
    </row>
    <row r="3059">
      <c r="A3059" s="5" t="s">
        <v>3226</v>
      </c>
      <c r="B3059" s="6">
        <v>1.0</v>
      </c>
      <c r="C3059" s="7">
        <v>160.0</v>
      </c>
      <c r="D3059" s="6" t="s">
        <v>3239</v>
      </c>
      <c r="E3059" s="21">
        <v>5.0</v>
      </c>
      <c r="F3059" s="22" t="s">
        <v>2988</v>
      </c>
    </row>
    <row r="3060">
      <c r="A3060" s="5" t="s">
        <v>3181</v>
      </c>
      <c r="B3060" s="6">
        <v>1.0</v>
      </c>
      <c r="C3060" s="7">
        <v>177.0</v>
      </c>
      <c r="D3060" s="6" t="s">
        <v>3167</v>
      </c>
      <c r="E3060" s="21">
        <v>5.0</v>
      </c>
      <c r="F3060" s="22" t="s">
        <v>2989</v>
      </c>
    </row>
    <row r="3061">
      <c r="A3061" s="5" t="s">
        <v>3270</v>
      </c>
      <c r="B3061" s="6">
        <v>3.0</v>
      </c>
      <c r="C3061" s="7">
        <v>106.0</v>
      </c>
      <c r="D3061" s="6" t="s">
        <v>3167</v>
      </c>
      <c r="E3061" s="21">
        <v>5.0</v>
      </c>
      <c r="F3061" s="22" t="s">
        <v>2990</v>
      </c>
    </row>
    <row r="3062">
      <c r="A3062" s="5" t="s">
        <v>3226</v>
      </c>
      <c r="B3062" s="6">
        <v>1.0</v>
      </c>
      <c r="C3062" s="7">
        <v>61.0</v>
      </c>
      <c r="D3062" s="6" t="s">
        <v>3249</v>
      </c>
      <c r="E3062" s="21">
        <v>5.0</v>
      </c>
      <c r="F3062" s="22" t="s">
        <v>2991</v>
      </c>
    </row>
    <row r="3063">
      <c r="A3063" s="5" t="s">
        <v>3268</v>
      </c>
      <c r="B3063" s="6">
        <v>1.0</v>
      </c>
      <c r="C3063" s="7">
        <v>140.0</v>
      </c>
      <c r="D3063" s="6" t="s">
        <v>3190</v>
      </c>
      <c r="E3063" s="21">
        <v>5.0</v>
      </c>
      <c r="F3063" s="22" t="s">
        <v>2992</v>
      </c>
    </row>
    <row r="3064">
      <c r="A3064" s="5" t="s">
        <v>3229</v>
      </c>
      <c r="B3064" s="6">
        <v>4.0</v>
      </c>
      <c r="C3064" s="7">
        <v>40.0</v>
      </c>
      <c r="D3064" s="6" t="s">
        <v>3221</v>
      </c>
      <c r="E3064" s="21">
        <v>5.0</v>
      </c>
      <c r="F3064" s="22" t="s">
        <v>2993</v>
      </c>
    </row>
    <row r="3065">
      <c r="A3065" s="5" t="s">
        <v>3252</v>
      </c>
      <c r="B3065" s="6">
        <v>6.0</v>
      </c>
      <c r="C3065" s="7">
        <v>94.0</v>
      </c>
      <c r="D3065" s="6" t="s">
        <v>3239</v>
      </c>
      <c r="E3065" s="21">
        <v>5.0</v>
      </c>
      <c r="F3065" s="22" t="s">
        <v>2994</v>
      </c>
    </row>
    <row r="3066">
      <c r="A3066" s="5" t="s">
        <v>3253</v>
      </c>
      <c r="B3066" s="6">
        <v>1.0</v>
      </c>
      <c r="C3066" s="7">
        <v>194.0</v>
      </c>
      <c r="D3066" s="6" t="s">
        <v>3215</v>
      </c>
      <c r="E3066" s="21">
        <v>5.0</v>
      </c>
      <c r="F3066" s="22" t="s">
        <v>2995</v>
      </c>
    </row>
    <row r="3067">
      <c r="A3067" s="5" t="s">
        <v>3260</v>
      </c>
      <c r="B3067" s="6">
        <v>1.0</v>
      </c>
      <c r="C3067" s="7">
        <v>64.0</v>
      </c>
      <c r="D3067" s="6" t="s">
        <v>3180</v>
      </c>
      <c r="E3067" s="21">
        <v>5.0</v>
      </c>
      <c r="F3067" s="22" t="s">
        <v>666</v>
      </c>
    </row>
    <row r="3068">
      <c r="A3068" s="5" t="s">
        <v>3240</v>
      </c>
      <c r="B3068" s="6">
        <v>2.0</v>
      </c>
      <c r="C3068" s="7">
        <v>15.0</v>
      </c>
      <c r="D3068" s="6" t="s">
        <v>3254</v>
      </c>
      <c r="E3068" s="21">
        <v>5.0</v>
      </c>
      <c r="F3068" s="22" t="s">
        <v>2996</v>
      </c>
    </row>
    <row r="3069">
      <c r="A3069" s="5" t="s">
        <v>3226</v>
      </c>
      <c r="B3069" s="6">
        <v>1.0</v>
      </c>
      <c r="C3069" s="7">
        <v>23.0</v>
      </c>
      <c r="D3069" s="6" t="s">
        <v>3219</v>
      </c>
      <c r="E3069" s="21">
        <v>5.0</v>
      </c>
      <c r="F3069" s="22" t="s">
        <v>2997</v>
      </c>
    </row>
    <row r="3070">
      <c r="A3070" s="5" t="s">
        <v>3251</v>
      </c>
      <c r="B3070" s="6">
        <v>6.0</v>
      </c>
      <c r="C3070" s="7">
        <v>113.0</v>
      </c>
      <c r="D3070" s="6" t="s">
        <v>3207</v>
      </c>
      <c r="E3070" s="21">
        <v>5.0</v>
      </c>
      <c r="F3070" s="22" t="s">
        <v>2998</v>
      </c>
    </row>
    <row r="3071">
      <c r="A3071" s="5" t="s">
        <v>3189</v>
      </c>
      <c r="B3071" s="6">
        <v>6.0</v>
      </c>
      <c r="C3071" s="7">
        <v>5.0</v>
      </c>
      <c r="D3071" s="6" t="s">
        <v>3207</v>
      </c>
      <c r="E3071" s="21">
        <v>5.0</v>
      </c>
      <c r="F3071" s="22" t="s">
        <v>2999</v>
      </c>
    </row>
    <row r="3072">
      <c r="A3072" s="5" t="s">
        <v>3247</v>
      </c>
      <c r="B3072" s="6">
        <v>6.0</v>
      </c>
      <c r="C3072" s="7">
        <v>184.0</v>
      </c>
      <c r="D3072" s="6" t="s">
        <v>3169</v>
      </c>
      <c r="E3072" s="21">
        <v>5.0</v>
      </c>
      <c r="F3072" s="22" t="s">
        <v>3000</v>
      </c>
    </row>
    <row r="3073">
      <c r="A3073" s="5" t="s">
        <v>3253</v>
      </c>
      <c r="B3073" s="6">
        <v>1.0</v>
      </c>
      <c r="C3073" s="7">
        <v>195.0</v>
      </c>
      <c r="D3073" s="6" t="s">
        <v>3239</v>
      </c>
      <c r="E3073" s="21">
        <v>5.0</v>
      </c>
      <c r="F3073" s="22" t="s">
        <v>3001</v>
      </c>
    </row>
    <row r="3074">
      <c r="A3074" s="5" t="s">
        <v>3179</v>
      </c>
      <c r="B3074" s="6">
        <v>1.0</v>
      </c>
      <c r="C3074" s="7">
        <v>103.0</v>
      </c>
      <c r="D3074" s="6" t="s">
        <v>3254</v>
      </c>
      <c r="E3074" s="21">
        <v>5.0</v>
      </c>
      <c r="F3074" s="22" t="s">
        <v>3002</v>
      </c>
    </row>
    <row r="3075">
      <c r="A3075" s="5" t="s">
        <v>3243</v>
      </c>
      <c r="B3075" s="6">
        <v>4.0</v>
      </c>
      <c r="C3075" s="7">
        <v>66.0</v>
      </c>
      <c r="D3075" s="6" t="s">
        <v>3171</v>
      </c>
      <c r="E3075" s="21">
        <v>4.0</v>
      </c>
      <c r="F3075" s="22" t="s">
        <v>3003</v>
      </c>
    </row>
    <row r="3076">
      <c r="A3076" s="5" t="s">
        <v>3244</v>
      </c>
      <c r="B3076" s="6">
        <v>1.0</v>
      </c>
      <c r="C3076" s="7">
        <v>112.0</v>
      </c>
      <c r="D3076" s="6" t="s">
        <v>3227</v>
      </c>
      <c r="E3076" s="21">
        <v>4.0</v>
      </c>
      <c r="F3076" s="22" t="s">
        <v>3004</v>
      </c>
    </row>
    <row r="3077">
      <c r="A3077" s="5" t="s">
        <v>3231</v>
      </c>
      <c r="B3077" s="6">
        <v>4.0</v>
      </c>
      <c r="C3077" s="7">
        <v>92.0</v>
      </c>
      <c r="D3077" s="6" t="s">
        <v>3215</v>
      </c>
      <c r="E3077" s="21">
        <v>4.0</v>
      </c>
      <c r="F3077" s="22" t="s">
        <v>3005</v>
      </c>
    </row>
    <row r="3078">
      <c r="A3078" s="5" t="s">
        <v>3206</v>
      </c>
      <c r="B3078" s="6">
        <v>6.0</v>
      </c>
      <c r="C3078" s="7">
        <v>136.0</v>
      </c>
      <c r="D3078" s="6" t="s">
        <v>3221</v>
      </c>
      <c r="E3078" s="21">
        <v>4.0</v>
      </c>
      <c r="F3078" s="22" t="s">
        <v>3006</v>
      </c>
    </row>
    <row r="3079">
      <c r="A3079" s="5" t="s">
        <v>3233</v>
      </c>
      <c r="B3079" s="6">
        <v>6.0</v>
      </c>
      <c r="C3079" s="7">
        <v>64.0</v>
      </c>
      <c r="D3079" s="6" t="s">
        <v>3180</v>
      </c>
      <c r="E3079" s="21">
        <v>4.0</v>
      </c>
      <c r="F3079" s="22" t="s">
        <v>3007</v>
      </c>
    </row>
    <row r="3080">
      <c r="A3080" s="5" t="s">
        <v>3252</v>
      </c>
      <c r="B3080" s="6">
        <v>6.0</v>
      </c>
      <c r="C3080" s="7">
        <v>27.0</v>
      </c>
      <c r="D3080" s="6" t="s">
        <v>3182</v>
      </c>
      <c r="E3080" s="21">
        <v>4.0</v>
      </c>
      <c r="F3080" s="22" t="s">
        <v>3008</v>
      </c>
    </row>
    <row r="3081">
      <c r="A3081" s="5" t="s">
        <v>3179</v>
      </c>
      <c r="B3081" s="6">
        <v>1.0</v>
      </c>
      <c r="C3081" s="7">
        <v>70.0</v>
      </c>
      <c r="D3081" s="6" t="s">
        <v>3222</v>
      </c>
      <c r="E3081" s="21">
        <v>4.0</v>
      </c>
      <c r="F3081" s="22" t="s">
        <v>3009</v>
      </c>
    </row>
    <row r="3082">
      <c r="A3082" s="5" t="s">
        <v>3217</v>
      </c>
      <c r="B3082" s="6">
        <v>5.0</v>
      </c>
      <c r="C3082" s="7">
        <v>120.0</v>
      </c>
      <c r="D3082" s="6" t="s">
        <v>3171</v>
      </c>
      <c r="E3082" s="21">
        <v>4.0</v>
      </c>
      <c r="F3082" s="22" t="s">
        <v>3010</v>
      </c>
    </row>
    <row r="3083">
      <c r="A3083" s="5" t="s">
        <v>3197</v>
      </c>
      <c r="B3083" s="6">
        <v>1.0</v>
      </c>
      <c r="C3083" s="7">
        <v>71.0</v>
      </c>
      <c r="D3083" s="6" t="s">
        <v>3176</v>
      </c>
      <c r="E3083" s="21">
        <v>4.0</v>
      </c>
      <c r="F3083" s="22" t="s">
        <v>3011</v>
      </c>
    </row>
    <row r="3084">
      <c r="A3084" s="5" t="s">
        <v>3258</v>
      </c>
      <c r="B3084" s="6">
        <v>6.0</v>
      </c>
      <c r="C3084" s="7">
        <v>181.0</v>
      </c>
      <c r="D3084" s="6" t="s">
        <v>3190</v>
      </c>
      <c r="E3084" s="21">
        <v>4.0</v>
      </c>
      <c r="F3084" s="22" t="s">
        <v>3012</v>
      </c>
    </row>
    <row r="3085">
      <c r="A3085" s="5" t="s">
        <v>3260</v>
      </c>
      <c r="B3085" s="6">
        <v>1.0</v>
      </c>
      <c r="C3085" s="7">
        <v>73.0</v>
      </c>
      <c r="D3085" s="6" t="s">
        <v>3173</v>
      </c>
      <c r="E3085" s="21">
        <v>3.0</v>
      </c>
      <c r="F3085" s="22" t="s">
        <v>3013</v>
      </c>
    </row>
    <row r="3086">
      <c r="A3086" s="5" t="s">
        <v>3268</v>
      </c>
      <c r="B3086" s="6">
        <v>1.0</v>
      </c>
      <c r="C3086" s="7">
        <v>39.0</v>
      </c>
      <c r="D3086" s="6" t="s">
        <v>3254</v>
      </c>
      <c r="E3086" s="21">
        <v>3.0</v>
      </c>
      <c r="F3086" s="22" t="s">
        <v>3014</v>
      </c>
    </row>
    <row r="3087">
      <c r="A3087" s="5" t="s">
        <v>3223</v>
      </c>
      <c r="B3087" s="6">
        <v>3.0</v>
      </c>
      <c r="C3087" s="7">
        <v>24.0</v>
      </c>
      <c r="D3087" s="6" t="s">
        <v>3194</v>
      </c>
      <c r="E3087" s="21">
        <v>3.0</v>
      </c>
      <c r="F3087" s="22" t="s">
        <v>3015</v>
      </c>
    </row>
    <row r="3088">
      <c r="A3088" s="5" t="s">
        <v>3210</v>
      </c>
      <c r="B3088" s="6">
        <v>1.0</v>
      </c>
      <c r="C3088" s="7">
        <v>176.0</v>
      </c>
      <c r="D3088" s="6" t="s">
        <v>3232</v>
      </c>
      <c r="E3088" s="21">
        <v>3.0</v>
      </c>
      <c r="F3088" s="22" t="s">
        <v>3016</v>
      </c>
    </row>
    <row r="3089">
      <c r="A3089" s="5" t="s">
        <v>3205</v>
      </c>
      <c r="B3089" s="6">
        <v>1.0</v>
      </c>
      <c r="C3089" s="7">
        <v>80.0</v>
      </c>
      <c r="D3089" s="6" t="s">
        <v>3180</v>
      </c>
      <c r="E3089" s="21">
        <v>2.0</v>
      </c>
      <c r="F3089" s="22" t="s">
        <v>3017</v>
      </c>
    </row>
    <row r="3090">
      <c r="A3090" s="5" t="s">
        <v>3168</v>
      </c>
      <c r="B3090" s="6">
        <v>1.0</v>
      </c>
      <c r="C3090" s="7">
        <v>109.0</v>
      </c>
      <c r="D3090" s="6" t="s">
        <v>3249</v>
      </c>
      <c r="E3090" s="21">
        <v>2.0</v>
      </c>
      <c r="F3090" s="22" t="s">
        <v>3018</v>
      </c>
    </row>
    <row r="3091">
      <c r="A3091" s="5" t="s">
        <v>3251</v>
      </c>
      <c r="B3091" s="6">
        <v>6.0</v>
      </c>
      <c r="C3091" s="7">
        <v>181.0</v>
      </c>
      <c r="D3091" s="6" t="s">
        <v>3190</v>
      </c>
      <c r="E3091" s="21">
        <v>2.0</v>
      </c>
      <c r="F3091" s="22" t="s">
        <v>3019</v>
      </c>
    </row>
    <row r="3092">
      <c r="A3092" s="5" t="s">
        <v>3228</v>
      </c>
      <c r="B3092" s="6">
        <v>6.0</v>
      </c>
      <c r="C3092" s="7">
        <v>3.0</v>
      </c>
      <c r="D3092" s="6" t="s">
        <v>3200</v>
      </c>
      <c r="E3092" s="21">
        <v>2.0</v>
      </c>
      <c r="F3092" s="22" t="s">
        <v>3020</v>
      </c>
    </row>
    <row r="3093">
      <c r="A3093" s="5" t="s">
        <v>3240</v>
      </c>
      <c r="B3093" s="6">
        <v>2.0</v>
      </c>
      <c r="C3093" s="7">
        <v>71.0</v>
      </c>
      <c r="D3093" s="6" t="s">
        <v>3176</v>
      </c>
      <c r="E3093" s="21">
        <v>2.0</v>
      </c>
      <c r="F3093" s="22" t="s">
        <v>3021</v>
      </c>
    </row>
    <row r="3094">
      <c r="A3094" s="5" t="s">
        <v>3226</v>
      </c>
      <c r="B3094" s="6">
        <v>1.0</v>
      </c>
      <c r="C3094" s="7">
        <v>52.0</v>
      </c>
      <c r="D3094" s="6" t="s">
        <v>3194</v>
      </c>
      <c r="E3094" s="21">
        <v>2.0</v>
      </c>
      <c r="F3094" s="22" t="s">
        <v>3022</v>
      </c>
    </row>
    <row r="3095">
      <c r="A3095" s="5" t="s">
        <v>3269</v>
      </c>
      <c r="B3095" s="6">
        <v>6.0</v>
      </c>
      <c r="C3095" s="7">
        <v>140.0</v>
      </c>
      <c r="D3095" s="6" t="s">
        <v>3190</v>
      </c>
      <c r="E3095" s="21">
        <v>2.0</v>
      </c>
      <c r="F3095" s="22" t="s">
        <v>3023</v>
      </c>
    </row>
    <row r="3096">
      <c r="A3096" s="5" t="s">
        <v>3175</v>
      </c>
      <c r="B3096" s="6">
        <v>5.0</v>
      </c>
      <c r="C3096" s="7">
        <v>170.0</v>
      </c>
      <c r="D3096" s="6" t="s">
        <v>3182</v>
      </c>
      <c r="E3096" s="21">
        <v>2.0</v>
      </c>
      <c r="F3096" s="22" t="s">
        <v>3024</v>
      </c>
    </row>
    <row r="3097">
      <c r="A3097" s="5" t="s">
        <v>3218</v>
      </c>
      <c r="B3097" s="6">
        <v>5.0</v>
      </c>
      <c r="C3097" s="7">
        <v>151.0</v>
      </c>
      <c r="D3097" s="6" t="s">
        <v>3232</v>
      </c>
      <c r="E3097" s="21">
        <v>2.0</v>
      </c>
      <c r="F3097" s="22" t="s">
        <v>3025</v>
      </c>
    </row>
    <row r="3098">
      <c r="A3098" s="5" t="s">
        <v>3260</v>
      </c>
      <c r="B3098" s="6">
        <v>1.0</v>
      </c>
      <c r="C3098" s="7">
        <v>110.0</v>
      </c>
      <c r="D3098" s="6" t="s">
        <v>3211</v>
      </c>
      <c r="E3098" s="21">
        <v>2.0</v>
      </c>
      <c r="F3098" s="22" t="s">
        <v>3026</v>
      </c>
    </row>
    <row r="3099">
      <c r="A3099" s="5" t="s">
        <v>3201</v>
      </c>
      <c r="B3099" s="6">
        <v>5.0</v>
      </c>
      <c r="C3099" s="7">
        <v>84.0</v>
      </c>
      <c r="D3099" s="6" t="s">
        <v>3203</v>
      </c>
      <c r="E3099" s="21">
        <v>2.0</v>
      </c>
      <c r="F3099" s="22" t="s">
        <v>3027</v>
      </c>
    </row>
    <row r="3100">
      <c r="A3100" s="5" t="s">
        <v>3264</v>
      </c>
      <c r="B3100" s="6">
        <v>4.0</v>
      </c>
      <c r="C3100" s="7">
        <v>3.0</v>
      </c>
      <c r="D3100" s="6" t="s">
        <v>3200</v>
      </c>
      <c r="E3100" s="21">
        <v>1.0</v>
      </c>
      <c r="F3100" s="22" t="s">
        <v>3028</v>
      </c>
    </row>
    <row r="3101">
      <c r="A3101" s="5" t="s">
        <v>3193</v>
      </c>
      <c r="B3101" s="6">
        <v>5.0</v>
      </c>
      <c r="C3101" s="7">
        <v>200.0</v>
      </c>
      <c r="D3101" s="6" t="s">
        <v>3238</v>
      </c>
      <c r="E3101" s="21">
        <v>1.0</v>
      </c>
      <c r="F3101" s="22" t="s">
        <v>3029</v>
      </c>
    </row>
    <row r="3102">
      <c r="A3102" s="5" t="s">
        <v>3166</v>
      </c>
      <c r="B3102" s="6">
        <v>6.0</v>
      </c>
      <c r="C3102" s="7">
        <v>135.0</v>
      </c>
      <c r="D3102" s="6" t="s">
        <v>3207</v>
      </c>
      <c r="E3102" s="21">
        <v>1.0</v>
      </c>
      <c r="F3102" s="22" t="s">
        <v>3030</v>
      </c>
    </row>
    <row r="3103">
      <c r="A3103" s="5" t="s">
        <v>3206</v>
      </c>
      <c r="B3103" s="6">
        <v>6.0</v>
      </c>
      <c r="C3103" s="7">
        <v>119.0</v>
      </c>
      <c r="D3103" s="6" t="s">
        <v>3178</v>
      </c>
      <c r="E3103" s="21">
        <v>1.0</v>
      </c>
      <c r="F3103" s="22" t="s">
        <v>3031</v>
      </c>
    </row>
    <row r="3104">
      <c r="A3104" s="5" t="s">
        <v>3195</v>
      </c>
      <c r="B3104" s="6">
        <v>4.0</v>
      </c>
      <c r="C3104" s="7">
        <v>137.0</v>
      </c>
      <c r="D3104" s="6" t="s">
        <v>3215</v>
      </c>
      <c r="E3104" s="21">
        <v>1.0</v>
      </c>
      <c r="F3104" s="22" t="s">
        <v>3032</v>
      </c>
    </row>
    <row r="3105">
      <c r="A3105" s="5" t="s">
        <v>3236</v>
      </c>
      <c r="B3105" s="6">
        <v>6.0</v>
      </c>
      <c r="C3105" s="7">
        <v>71.0</v>
      </c>
      <c r="D3105" s="6" t="s">
        <v>3176</v>
      </c>
      <c r="E3105" s="21">
        <v>1.0</v>
      </c>
      <c r="F3105" s="22" t="s">
        <v>3033</v>
      </c>
    </row>
    <row r="3106">
      <c r="A3106" s="5" t="s">
        <v>3268</v>
      </c>
      <c r="B3106" s="6">
        <v>1.0</v>
      </c>
      <c r="C3106" s="7">
        <v>133.0</v>
      </c>
      <c r="D3106" s="6" t="s">
        <v>3192</v>
      </c>
      <c r="E3106" s="21">
        <v>1.0</v>
      </c>
      <c r="F3106" s="22" t="s">
        <v>3034</v>
      </c>
    </row>
    <row r="3107">
      <c r="A3107" s="5" t="s">
        <v>3234</v>
      </c>
      <c r="B3107" s="6">
        <v>6.0</v>
      </c>
      <c r="C3107" s="7">
        <v>83.0</v>
      </c>
      <c r="D3107" s="6" t="s">
        <v>3203</v>
      </c>
      <c r="E3107" s="21">
        <v>1.0</v>
      </c>
      <c r="F3107" s="22" t="s">
        <v>3035</v>
      </c>
    </row>
    <row r="3108">
      <c r="A3108" s="5" t="s">
        <v>3183</v>
      </c>
      <c r="B3108" s="6">
        <v>6.0</v>
      </c>
      <c r="C3108" s="7">
        <v>18.0</v>
      </c>
      <c r="D3108" s="6" t="s">
        <v>3225</v>
      </c>
      <c r="E3108" s="21">
        <v>1.0</v>
      </c>
      <c r="F3108" s="22" t="s">
        <v>3036</v>
      </c>
    </row>
    <row r="3109">
      <c r="A3109" s="5" t="s">
        <v>3183</v>
      </c>
      <c r="B3109" s="6">
        <v>6.0</v>
      </c>
      <c r="C3109" s="7">
        <v>78.0</v>
      </c>
      <c r="D3109" s="6" t="s">
        <v>3176</v>
      </c>
      <c r="E3109" s="21">
        <v>5.0</v>
      </c>
      <c r="F3109" s="22" t="s">
        <v>3037</v>
      </c>
    </row>
    <row r="3110">
      <c r="A3110" s="5" t="s">
        <v>3247</v>
      </c>
      <c r="B3110" s="6">
        <v>6.0</v>
      </c>
      <c r="C3110" s="7">
        <v>48.0</v>
      </c>
      <c r="D3110" s="6" t="s">
        <v>3232</v>
      </c>
      <c r="E3110" s="21">
        <v>5.0</v>
      </c>
      <c r="F3110" s="22" t="s">
        <v>3038</v>
      </c>
    </row>
    <row r="3111">
      <c r="A3111" s="5" t="s">
        <v>3242</v>
      </c>
      <c r="B3111" s="6">
        <v>1.0</v>
      </c>
      <c r="C3111" s="7">
        <v>44.0</v>
      </c>
      <c r="D3111" s="6" t="s">
        <v>3239</v>
      </c>
      <c r="E3111" s="21">
        <v>5.0</v>
      </c>
      <c r="F3111" s="22" t="s">
        <v>3039</v>
      </c>
    </row>
    <row r="3112">
      <c r="A3112" s="5" t="s">
        <v>3244</v>
      </c>
      <c r="B3112" s="6">
        <v>1.0</v>
      </c>
      <c r="C3112" s="7">
        <v>110.0</v>
      </c>
      <c r="D3112" s="6" t="s">
        <v>3211</v>
      </c>
      <c r="E3112" s="21">
        <v>5.0</v>
      </c>
      <c r="F3112" s="22" t="s">
        <v>3040</v>
      </c>
    </row>
    <row r="3113">
      <c r="A3113" s="5" t="s">
        <v>3195</v>
      </c>
      <c r="B3113" s="6">
        <v>4.0</v>
      </c>
      <c r="C3113" s="7">
        <v>16.0</v>
      </c>
      <c r="D3113" s="6" t="s">
        <v>3178</v>
      </c>
      <c r="E3113" s="21">
        <v>5.0</v>
      </c>
      <c r="F3113" s="22" t="s">
        <v>3041</v>
      </c>
    </row>
    <row r="3114">
      <c r="A3114" s="5" t="s">
        <v>3234</v>
      </c>
      <c r="B3114" s="6">
        <v>6.0</v>
      </c>
      <c r="C3114" s="7">
        <v>135.0</v>
      </c>
      <c r="D3114" s="6" t="s">
        <v>3207</v>
      </c>
      <c r="E3114" s="21">
        <v>5.0</v>
      </c>
      <c r="F3114" s="22" t="s">
        <v>3042</v>
      </c>
    </row>
    <row r="3115">
      <c r="A3115" s="5" t="s">
        <v>3174</v>
      </c>
      <c r="B3115" s="6">
        <v>1.0</v>
      </c>
      <c r="C3115" s="7">
        <v>38.0</v>
      </c>
      <c r="D3115" s="6" t="s">
        <v>3169</v>
      </c>
      <c r="E3115" s="21">
        <v>5.0</v>
      </c>
      <c r="F3115" s="22" t="s">
        <v>3043</v>
      </c>
    </row>
    <row r="3116">
      <c r="A3116" s="5" t="s">
        <v>3251</v>
      </c>
      <c r="B3116" s="6">
        <v>6.0</v>
      </c>
      <c r="C3116" s="7">
        <v>2.0</v>
      </c>
      <c r="D3116" s="6" t="s">
        <v>3214</v>
      </c>
      <c r="E3116" s="21">
        <v>5.0</v>
      </c>
      <c r="F3116" s="22" t="s">
        <v>3044</v>
      </c>
    </row>
    <row r="3117">
      <c r="A3117" s="5" t="s">
        <v>3175</v>
      </c>
      <c r="B3117" s="6">
        <v>5.0</v>
      </c>
      <c r="C3117" s="7">
        <v>57.0</v>
      </c>
      <c r="D3117" s="6" t="s">
        <v>3239</v>
      </c>
      <c r="E3117" s="21">
        <v>5.0</v>
      </c>
      <c r="F3117" s="22" t="s">
        <v>3045</v>
      </c>
    </row>
    <row r="3118">
      <c r="A3118" s="5" t="s">
        <v>3228</v>
      </c>
      <c r="B3118" s="6">
        <v>6.0</v>
      </c>
      <c r="C3118" s="7">
        <v>176.0</v>
      </c>
      <c r="D3118" s="6" t="s">
        <v>3232</v>
      </c>
      <c r="E3118" s="21">
        <v>5.0</v>
      </c>
      <c r="F3118" s="22" t="s">
        <v>3046</v>
      </c>
    </row>
    <row r="3119">
      <c r="A3119" s="5" t="s">
        <v>3268</v>
      </c>
      <c r="B3119" s="6">
        <v>1.0</v>
      </c>
      <c r="C3119" s="7">
        <v>14.0</v>
      </c>
      <c r="D3119" s="6" t="s">
        <v>3196</v>
      </c>
      <c r="E3119" s="21">
        <v>5.0</v>
      </c>
      <c r="F3119" s="22" t="s">
        <v>40</v>
      </c>
    </row>
    <row r="3120">
      <c r="A3120" s="5" t="s">
        <v>3197</v>
      </c>
      <c r="B3120" s="6">
        <v>1.0</v>
      </c>
      <c r="C3120" s="7">
        <v>182.0</v>
      </c>
      <c r="D3120" s="6" t="s">
        <v>3238</v>
      </c>
      <c r="E3120" s="21">
        <v>5.0</v>
      </c>
      <c r="F3120" s="22" t="s">
        <v>3047</v>
      </c>
    </row>
    <row r="3121">
      <c r="A3121" s="5" t="s">
        <v>3187</v>
      </c>
      <c r="B3121" s="6">
        <v>4.0</v>
      </c>
      <c r="C3121" s="7">
        <v>9.0</v>
      </c>
      <c r="D3121" s="6" t="s">
        <v>3232</v>
      </c>
      <c r="E3121" s="21">
        <v>5.0</v>
      </c>
      <c r="F3121" s="22" t="s">
        <v>3048</v>
      </c>
    </row>
    <row r="3122">
      <c r="A3122" s="5" t="s">
        <v>3234</v>
      </c>
      <c r="B3122" s="6">
        <v>6.0</v>
      </c>
      <c r="C3122" s="7">
        <v>106.0</v>
      </c>
      <c r="D3122" s="6" t="s">
        <v>3167</v>
      </c>
      <c r="E3122" s="21">
        <v>5.0</v>
      </c>
      <c r="F3122" s="22" t="s">
        <v>3049</v>
      </c>
    </row>
    <row r="3123">
      <c r="A3123" s="5" t="s">
        <v>3195</v>
      </c>
      <c r="B3123" s="6">
        <v>4.0</v>
      </c>
      <c r="C3123" s="7">
        <v>145.0</v>
      </c>
      <c r="D3123" s="6" t="s">
        <v>3222</v>
      </c>
      <c r="E3123" s="21">
        <v>5.0</v>
      </c>
      <c r="F3123" s="22" t="s">
        <v>3050</v>
      </c>
    </row>
    <row r="3124">
      <c r="A3124" s="5" t="s">
        <v>3244</v>
      </c>
      <c r="B3124" s="6">
        <v>1.0</v>
      </c>
      <c r="C3124" s="7">
        <v>92.0</v>
      </c>
      <c r="D3124" s="6" t="s">
        <v>3215</v>
      </c>
      <c r="E3124" s="21">
        <v>5.0</v>
      </c>
      <c r="F3124" s="22" t="s">
        <v>3051</v>
      </c>
    </row>
    <row r="3125">
      <c r="A3125" s="5" t="s">
        <v>3195</v>
      </c>
      <c r="B3125" s="6">
        <v>4.0</v>
      </c>
      <c r="C3125" s="7">
        <v>107.0</v>
      </c>
      <c r="D3125" s="6" t="s">
        <v>3207</v>
      </c>
      <c r="E3125" s="21">
        <v>5.0</v>
      </c>
      <c r="F3125" s="22" t="s">
        <v>3052</v>
      </c>
    </row>
    <row r="3126">
      <c r="A3126" s="5" t="s">
        <v>3199</v>
      </c>
      <c r="B3126" s="6">
        <v>3.0</v>
      </c>
      <c r="C3126" s="7">
        <v>200.0</v>
      </c>
      <c r="D3126" s="6" t="s">
        <v>3238</v>
      </c>
      <c r="E3126" s="21">
        <v>5.0</v>
      </c>
      <c r="F3126" s="22" t="s">
        <v>3053</v>
      </c>
    </row>
    <row r="3127">
      <c r="A3127" s="5" t="s">
        <v>3208</v>
      </c>
      <c r="B3127" s="6">
        <v>4.0</v>
      </c>
      <c r="C3127" s="7">
        <v>52.0</v>
      </c>
      <c r="D3127" s="6" t="s">
        <v>3194</v>
      </c>
      <c r="E3127" s="21">
        <v>4.0</v>
      </c>
      <c r="F3127" s="22" t="s">
        <v>3054</v>
      </c>
    </row>
    <row r="3128">
      <c r="A3128" s="5" t="s">
        <v>3213</v>
      </c>
      <c r="B3128" s="6">
        <v>2.0</v>
      </c>
      <c r="C3128" s="7">
        <v>134.0</v>
      </c>
      <c r="D3128" s="6" t="s">
        <v>3239</v>
      </c>
      <c r="E3128" s="21">
        <v>4.0</v>
      </c>
      <c r="F3128" s="22" t="s">
        <v>3055</v>
      </c>
    </row>
    <row r="3129">
      <c r="A3129" s="5" t="s">
        <v>3191</v>
      </c>
      <c r="B3129" s="6">
        <v>5.0</v>
      </c>
      <c r="C3129" s="7">
        <v>86.0</v>
      </c>
      <c r="D3129" s="6" t="s">
        <v>3245</v>
      </c>
      <c r="E3129" s="21">
        <v>4.0</v>
      </c>
      <c r="F3129" s="22" t="s">
        <v>3056</v>
      </c>
    </row>
    <row r="3130">
      <c r="A3130" s="5" t="s">
        <v>3187</v>
      </c>
      <c r="B3130" s="6">
        <v>4.0</v>
      </c>
      <c r="C3130" s="7">
        <v>188.0</v>
      </c>
      <c r="D3130" s="6" t="s">
        <v>3198</v>
      </c>
      <c r="E3130" s="21">
        <v>4.0</v>
      </c>
      <c r="F3130" s="22" t="s">
        <v>378</v>
      </c>
    </row>
    <row r="3131">
      <c r="A3131" s="5" t="s">
        <v>3269</v>
      </c>
      <c r="B3131" s="6">
        <v>6.0</v>
      </c>
      <c r="C3131" s="7">
        <v>124.0</v>
      </c>
      <c r="D3131" s="6" t="s">
        <v>3238</v>
      </c>
      <c r="E3131" s="21">
        <v>4.0</v>
      </c>
      <c r="F3131" s="22" t="s">
        <v>3057</v>
      </c>
    </row>
    <row r="3132">
      <c r="A3132" s="5" t="s">
        <v>3201</v>
      </c>
      <c r="B3132" s="6">
        <v>5.0</v>
      </c>
      <c r="C3132" s="7">
        <v>70.0</v>
      </c>
      <c r="D3132" s="6" t="s">
        <v>3222</v>
      </c>
      <c r="E3132" s="21">
        <v>4.0</v>
      </c>
      <c r="F3132" s="22" t="s">
        <v>3058</v>
      </c>
    </row>
    <row r="3133">
      <c r="A3133" s="5" t="s">
        <v>3270</v>
      </c>
      <c r="B3133" s="6">
        <v>3.0</v>
      </c>
      <c r="C3133" s="7">
        <v>165.0</v>
      </c>
      <c r="D3133" s="6" t="s">
        <v>3196</v>
      </c>
      <c r="E3133" s="21">
        <v>4.0</v>
      </c>
      <c r="F3133" s="22" t="s">
        <v>3059</v>
      </c>
    </row>
    <row r="3134">
      <c r="A3134" s="5" t="s">
        <v>3266</v>
      </c>
      <c r="B3134" s="6">
        <v>3.0</v>
      </c>
      <c r="C3134" s="7">
        <v>12.0</v>
      </c>
      <c r="D3134" s="6" t="s">
        <v>3225</v>
      </c>
      <c r="E3134" s="21">
        <v>3.0</v>
      </c>
      <c r="F3134" s="22" t="s">
        <v>3060</v>
      </c>
    </row>
    <row r="3135">
      <c r="A3135" s="5" t="s">
        <v>3189</v>
      </c>
      <c r="B3135" s="6">
        <v>6.0</v>
      </c>
      <c r="C3135" s="7">
        <v>88.0</v>
      </c>
      <c r="D3135" s="6" t="s">
        <v>3167</v>
      </c>
      <c r="E3135" s="21">
        <v>3.0</v>
      </c>
      <c r="F3135" s="22" t="s">
        <v>3061</v>
      </c>
    </row>
    <row r="3136">
      <c r="A3136" s="5" t="s">
        <v>3181</v>
      </c>
      <c r="B3136" s="6">
        <v>1.0</v>
      </c>
      <c r="C3136" s="7">
        <v>19.0</v>
      </c>
      <c r="D3136" s="6" t="s">
        <v>3169</v>
      </c>
      <c r="E3136" s="21">
        <v>3.0</v>
      </c>
      <c r="F3136" s="22" t="s">
        <v>3062</v>
      </c>
    </row>
    <row r="3137">
      <c r="A3137" s="5" t="s">
        <v>3253</v>
      </c>
      <c r="B3137" s="6">
        <v>1.0</v>
      </c>
      <c r="C3137" s="7">
        <v>178.0</v>
      </c>
      <c r="D3137" s="6" t="s">
        <v>3190</v>
      </c>
      <c r="E3137" s="21">
        <v>3.0</v>
      </c>
      <c r="F3137" s="22" t="s">
        <v>3063</v>
      </c>
    </row>
    <row r="3138">
      <c r="A3138" s="5" t="s">
        <v>3255</v>
      </c>
      <c r="B3138" s="6">
        <v>6.0</v>
      </c>
      <c r="C3138" s="7">
        <v>21.0</v>
      </c>
      <c r="D3138" s="6" t="s">
        <v>3200</v>
      </c>
      <c r="E3138" s="21">
        <v>3.0</v>
      </c>
      <c r="F3138" s="22" t="s">
        <v>914</v>
      </c>
    </row>
    <row r="3139">
      <c r="A3139" s="5" t="s">
        <v>3240</v>
      </c>
      <c r="B3139" s="6">
        <v>2.0</v>
      </c>
      <c r="C3139" s="7">
        <v>57.0</v>
      </c>
      <c r="D3139" s="6" t="s">
        <v>3239</v>
      </c>
      <c r="E3139" s="21">
        <v>3.0</v>
      </c>
      <c r="F3139" s="22" t="s">
        <v>3064</v>
      </c>
    </row>
    <row r="3140">
      <c r="A3140" s="5" t="s">
        <v>3263</v>
      </c>
      <c r="B3140" s="6">
        <v>1.0</v>
      </c>
      <c r="C3140" s="7">
        <v>149.0</v>
      </c>
      <c r="D3140" s="6" t="s">
        <v>3239</v>
      </c>
      <c r="E3140" s="21">
        <v>2.0</v>
      </c>
      <c r="F3140" s="22" t="s">
        <v>3065</v>
      </c>
    </row>
    <row r="3141">
      <c r="A3141" s="5" t="s">
        <v>3210</v>
      </c>
      <c r="B3141" s="6">
        <v>1.0</v>
      </c>
      <c r="C3141" s="7">
        <v>166.0</v>
      </c>
      <c r="D3141" s="6" t="s">
        <v>3227</v>
      </c>
      <c r="E3141" s="21">
        <v>2.0</v>
      </c>
      <c r="F3141" s="22" t="s">
        <v>3066</v>
      </c>
    </row>
    <row r="3142">
      <c r="A3142" s="5" t="s">
        <v>3183</v>
      </c>
      <c r="B3142" s="6">
        <v>6.0</v>
      </c>
      <c r="C3142" s="7">
        <v>67.0</v>
      </c>
      <c r="D3142" s="6" t="s">
        <v>3186</v>
      </c>
      <c r="E3142" s="21">
        <v>1.0</v>
      </c>
      <c r="F3142" s="22" t="s">
        <v>3067</v>
      </c>
    </row>
    <row r="3143">
      <c r="A3143" s="5" t="s">
        <v>3183</v>
      </c>
      <c r="B3143" s="6">
        <v>6.0</v>
      </c>
      <c r="C3143" s="7">
        <v>59.0</v>
      </c>
      <c r="D3143" s="6" t="s">
        <v>3227</v>
      </c>
      <c r="E3143" s="21">
        <v>1.0</v>
      </c>
      <c r="F3143" s="22" t="s">
        <v>3068</v>
      </c>
    </row>
    <row r="3144">
      <c r="A3144" s="5" t="s">
        <v>3269</v>
      </c>
      <c r="B3144" s="6">
        <v>6.0</v>
      </c>
      <c r="C3144" s="7">
        <v>33.0</v>
      </c>
      <c r="D3144" s="6" t="s">
        <v>3225</v>
      </c>
      <c r="E3144" s="21">
        <v>1.0</v>
      </c>
      <c r="F3144" s="22" t="s">
        <v>3069</v>
      </c>
    </row>
    <row r="3145">
      <c r="A3145" s="5" t="s">
        <v>3172</v>
      </c>
      <c r="B3145" s="6">
        <v>1.0</v>
      </c>
      <c r="C3145" s="7">
        <v>168.0</v>
      </c>
      <c r="D3145" s="6" t="s">
        <v>3194</v>
      </c>
      <c r="E3145" s="21">
        <v>1.0</v>
      </c>
      <c r="F3145" s="22" t="s">
        <v>3070</v>
      </c>
    </row>
    <row r="3146">
      <c r="A3146" s="5" t="s">
        <v>3243</v>
      </c>
      <c r="B3146" s="6">
        <v>4.0</v>
      </c>
      <c r="C3146" s="7">
        <v>180.0</v>
      </c>
      <c r="D3146" s="6" t="s">
        <v>3192</v>
      </c>
      <c r="E3146" s="21">
        <v>1.0</v>
      </c>
      <c r="F3146" s="22" t="s">
        <v>3071</v>
      </c>
    </row>
    <row r="3147">
      <c r="A3147" s="5" t="s">
        <v>3208</v>
      </c>
      <c r="B3147" s="6">
        <v>4.0</v>
      </c>
      <c r="C3147" s="7">
        <v>126.0</v>
      </c>
      <c r="D3147" s="6" t="s">
        <v>3211</v>
      </c>
      <c r="E3147" s="21">
        <v>1.0</v>
      </c>
      <c r="F3147" s="22" t="s">
        <v>3072</v>
      </c>
    </row>
    <row r="3148">
      <c r="A3148" s="5" t="s">
        <v>3259</v>
      </c>
      <c r="B3148" s="6">
        <v>6.0</v>
      </c>
      <c r="C3148" s="7">
        <v>28.0</v>
      </c>
      <c r="D3148" s="6" t="s">
        <v>3188</v>
      </c>
      <c r="E3148" s="21">
        <v>1.0</v>
      </c>
      <c r="F3148" s="22" t="s">
        <v>3073</v>
      </c>
    </row>
    <row r="3149">
      <c r="A3149" s="5" t="s">
        <v>3261</v>
      </c>
      <c r="B3149" s="6">
        <v>4.0</v>
      </c>
      <c r="C3149" s="7">
        <v>54.0</v>
      </c>
      <c r="D3149" s="6" t="s">
        <v>3215</v>
      </c>
      <c r="E3149" s="21">
        <v>1.0</v>
      </c>
      <c r="F3149" s="22" t="s">
        <v>3074</v>
      </c>
    </row>
    <row r="3150">
      <c r="A3150" s="5" t="s">
        <v>3234</v>
      </c>
      <c r="B3150" s="6">
        <v>6.0</v>
      </c>
      <c r="C3150" s="7">
        <v>63.0</v>
      </c>
      <c r="D3150" s="6" t="s">
        <v>3257</v>
      </c>
      <c r="E3150" s="21">
        <v>5.0</v>
      </c>
      <c r="F3150" s="22" t="s">
        <v>3075</v>
      </c>
    </row>
    <row r="3151">
      <c r="A3151" s="5" t="s">
        <v>3183</v>
      </c>
      <c r="B3151" s="6">
        <v>6.0</v>
      </c>
      <c r="C3151" s="7">
        <v>30.0</v>
      </c>
      <c r="D3151" s="6" t="s">
        <v>3171</v>
      </c>
      <c r="E3151" s="21">
        <v>5.0</v>
      </c>
      <c r="F3151" s="22" t="s">
        <v>3076</v>
      </c>
    </row>
    <row r="3152">
      <c r="A3152" s="5" t="s">
        <v>3267</v>
      </c>
      <c r="B3152" s="6">
        <v>3.0</v>
      </c>
      <c r="C3152" s="7">
        <v>55.0</v>
      </c>
      <c r="D3152" s="6" t="s">
        <v>3198</v>
      </c>
      <c r="E3152" s="21">
        <v>5.0</v>
      </c>
      <c r="F3152" s="22" t="s">
        <v>3077</v>
      </c>
    </row>
    <row r="3153">
      <c r="A3153" s="5" t="s">
        <v>3268</v>
      </c>
      <c r="B3153" s="6">
        <v>1.0</v>
      </c>
      <c r="C3153" s="7">
        <v>44.0</v>
      </c>
      <c r="D3153" s="6" t="s">
        <v>3239</v>
      </c>
      <c r="E3153" s="21">
        <v>5.0</v>
      </c>
      <c r="F3153" s="22" t="s">
        <v>3078</v>
      </c>
    </row>
    <row r="3154">
      <c r="A3154" s="5" t="s">
        <v>3236</v>
      </c>
      <c r="B3154" s="6">
        <v>6.0</v>
      </c>
      <c r="C3154" s="7">
        <v>174.0</v>
      </c>
      <c r="D3154" s="6" t="s">
        <v>3188</v>
      </c>
      <c r="E3154" s="21">
        <v>5.0</v>
      </c>
      <c r="F3154" s="22" t="s">
        <v>2747</v>
      </c>
    </row>
    <row r="3155">
      <c r="A3155" s="5" t="s">
        <v>3181</v>
      </c>
      <c r="B3155" s="6">
        <v>1.0</v>
      </c>
      <c r="C3155" s="7">
        <v>10.0</v>
      </c>
      <c r="D3155" s="6" t="s">
        <v>3249</v>
      </c>
      <c r="E3155" s="21">
        <v>5.0</v>
      </c>
      <c r="F3155" s="22" t="s">
        <v>3079</v>
      </c>
    </row>
    <row r="3156">
      <c r="A3156" s="5" t="s">
        <v>3258</v>
      </c>
      <c r="B3156" s="6">
        <v>6.0</v>
      </c>
      <c r="C3156" s="7">
        <v>22.0</v>
      </c>
      <c r="D3156" s="6" t="s">
        <v>3167</v>
      </c>
      <c r="E3156" s="21">
        <v>5.0</v>
      </c>
      <c r="F3156" s="22" t="s">
        <v>3080</v>
      </c>
    </row>
    <row r="3157">
      <c r="A3157" s="5" t="s">
        <v>3220</v>
      </c>
      <c r="B3157" s="6">
        <v>6.0</v>
      </c>
      <c r="C3157" s="7">
        <v>118.0</v>
      </c>
      <c r="D3157" s="6" t="s">
        <v>3200</v>
      </c>
      <c r="E3157" s="21">
        <v>5.0</v>
      </c>
      <c r="F3157" s="22" t="s">
        <v>3081</v>
      </c>
    </row>
    <row r="3158">
      <c r="A3158" s="5" t="s">
        <v>3226</v>
      </c>
      <c r="B3158" s="6">
        <v>1.0</v>
      </c>
      <c r="C3158" s="7">
        <v>52.0</v>
      </c>
      <c r="D3158" s="6" t="s">
        <v>3194</v>
      </c>
      <c r="E3158" s="21">
        <v>5.0</v>
      </c>
      <c r="F3158" s="22" t="s">
        <v>165</v>
      </c>
    </row>
    <row r="3159">
      <c r="A3159" s="5" t="s">
        <v>3230</v>
      </c>
      <c r="B3159" s="6">
        <v>1.0</v>
      </c>
      <c r="C3159" s="7">
        <v>97.0</v>
      </c>
      <c r="D3159" s="6" t="s">
        <v>3194</v>
      </c>
      <c r="E3159" s="21">
        <v>5.0</v>
      </c>
      <c r="F3159" s="22" t="s">
        <v>3082</v>
      </c>
    </row>
    <row r="3160">
      <c r="A3160" s="5" t="s">
        <v>3243</v>
      </c>
      <c r="B3160" s="6">
        <v>4.0</v>
      </c>
      <c r="C3160" s="7">
        <v>89.0</v>
      </c>
      <c r="D3160" s="6" t="s">
        <v>3262</v>
      </c>
      <c r="E3160" s="21">
        <v>5.0</v>
      </c>
      <c r="F3160" s="22" t="s">
        <v>3083</v>
      </c>
    </row>
    <row r="3161">
      <c r="A3161" s="5" t="s">
        <v>3269</v>
      </c>
      <c r="B3161" s="6">
        <v>6.0</v>
      </c>
      <c r="C3161" s="7">
        <v>105.0</v>
      </c>
      <c r="D3161" s="6" t="s">
        <v>3167</v>
      </c>
      <c r="E3161" s="21">
        <v>5.0</v>
      </c>
      <c r="F3161" s="22" t="s">
        <v>3084</v>
      </c>
    </row>
    <row r="3162">
      <c r="A3162" s="5" t="s">
        <v>3253</v>
      </c>
      <c r="B3162" s="6">
        <v>1.0</v>
      </c>
      <c r="C3162" s="7">
        <v>164.0</v>
      </c>
      <c r="D3162" s="6" t="s">
        <v>3232</v>
      </c>
      <c r="E3162" s="21">
        <v>4.0</v>
      </c>
      <c r="F3162" s="22" t="s">
        <v>3085</v>
      </c>
    </row>
    <row r="3163">
      <c r="A3163" s="5" t="s">
        <v>3240</v>
      </c>
      <c r="B3163" s="6">
        <v>2.0</v>
      </c>
      <c r="C3163" s="7">
        <v>81.0</v>
      </c>
      <c r="D3163" s="6" t="s">
        <v>3169</v>
      </c>
      <c r="E3163" s="21">
        <v>4.0</v>
      </c>
      <c r="F3163" s="22" t="s">
        <v>3086</v>
      </c>
    </row>
    <row r="3164">
      <c r="A3164" s="5" t="s">
        <v>3168</v>
      </c>
      <c r="B3164" s="6">
        <v>1.0</v>
      </c>
      <c r="C3164" s="7">
        <v>136.0</v>
      </c>
      <c r="D3164" s="6" t="s">
        <v>3221</v>
      </c>
      <c r="E3164" s="21">
        <v>4.0</v>
      </c>
      <c r="F3164" s="22" t="s">
        <v>3087</v>
      </c>
    </row>
    <row r="3165">
      <c r="A3165" s="5" t="s">
        <v>3236</v>
      </c>
      <c r="B3165" s="6">
        <v>6.0</v>
      </c>
      <c r="C3165" s="7">
        <v>24.0</v>
      </c>
      <c r="D3165" s="6" t="s">
        <v>3194</v>
      </c>
      <c r="E3165" s="21">
        <v>4.0</v>
      </c>
      <c r="F3165" s="22" t="s">
        <v>3088</v>
      </c>
    </row>
    <row r="3166">
      <c r="A3166" s="5" t="s">
        <v>3253</v>
      </c>
      <c r="B3166" s="6">
        <v>1.0</v>
      </c>
      <c r="C3166" s="7">
        <v>166.0</v>
      </c>
      <c r="D3166" s="6" t="s">
        <v>3227</v>
      </c>
      <c r="E3166" s="21">
        <v>4.0</v>
      </c>
      <c r="F3166" s="22" t="s">
        <v>3089</v>
      </c>
    </row>
    <row r="3167">
      <c r="A3167" s="5" t="s">
        <v>3204</v>
      </c>
      <c r="B3167" s="6">
        <v>1.0</v>
      </c>
      <c r="C3167" s="7">
        <v>46.0</v>
      </c>
      <c r="D3167" s="6" t="s">
        <v>3194</v>
      </c>
      <c r="E3167" s="21">
        <v>4.0</v>
      </c>
      <c r="F3167" s="22" t="s">
        <v>3090</v>
      </c>
    </row>
    <row r="3168">
      <c r="A3168" s="5" t="s">
        <v>3265</v>
      </c>
      <c r="B3168" s="6">
        <v>1.0</v>
      </c>
      <c r="C3168" s="7">
        <v>85.0</v>
      </c>
      <c r="D3168" s="6" t="s">
        <v>3192</v>
      </c>
      <c r="E3168" s="21">
        <v>4.0</v>
      </c>
      <c r="F3168" s="22" t="s">
        <v>3091</v>
      </c>
    </row>
    <row r="3169">
      <c r="A3169" s="5" t="s">
        <v>3217</v>
      </c>
      <c r="B3169" s="6">
        <v>5.0</v>
      </c>
      <c r="C3169" s="7">
        <v>40.0</v>
      </c>
      <c r="D3169" s="6" t="s">
        <v>3221</v>
      </c>
      <c r="E3169" s="21">
        <v>3.0</v>
      </c>
      <c r="F3169" s="22" t="s">
        <v>3092</v>
      </c>
    </row>
    <row r="3170">
      <c r="A3170" s="5" t="s">
        <v>3270</v>
      </c>
      <c r="B3170" s="6">
        <v>3.0</v>
      </c>
      <c r="C3170" s="7">
        <v>199.0</v>
      </c>
      <c r="D3170" s="6" t="s">
        <v>3169</v>
      </c>
      <c r="E3170" s="21">
        <v>3.0</v>
      </c>
      <c r="F3170" s="22" t="s">
        <v>3093</v>
      </c>
    </row>
    <row r="3171">
      <c r="A3171" s="5" t="s">
        <v>3242</v>
      </c>
      <c r="B3171" s="6">
        <v>1.0</v>
      </c>
      <c r="C3171" s="7">
        <v>54.0</v>
      </c>
      <c r="D3171" s="6" t="s">
        <v>3215</v>
      </c>
      <c r="E3171" s="21">
        <v>3.0</v>
      </c>
      <c r="F3171" s="22" t="s">
        <v>3094</v>
      </c>
    </row>
    <row r="3172">
      <c r="A3172" s="5" t="s">
        <v>3256</v>
      </c>
      <c r="B3172" s="6">
        <v>6.0</v>
      </c>
      <c r="C3172" s="7">
        <v>173.0</v>
      </c>
      <c r="D3172" s="6" t="s">
        <v>3167</v>
      </c>
      <c r="E3172" s="21">
        <v>3.0</v>
      </c>
      <c r="F3172" s="22" t="s">
        <v>3095</v>
      </c>
    </row>
    <row r="3173">
      <c r="A3173" s="5" t="s">
        <v>3230</v>
      </c>
      <c r="B3173" s="6">
        <v>1.0</v>
      </c>
      <c r="C3173" s="7">
        <v>1.0</v>
      </c>
      <c r="D3173" s="6" t="s">
        <v>3221</v>
      </c>
      <c r="E3173" s="21">
        <v>3.0</v>
      </c>
      <c r="F3173" s="22" t="s">
        <v>3096</v>
      </c>
    </row>
    <row r="3174">
      <c r="A3174" s="5" t="s">
        <v>3224</v>
      </c>
      <c r="B3174" s="6">
        <v>6.0</v>
      </c>
      <c r="C3174" s="7">
        <v>168.0</v>
      </c>
      <c r="D3174" s="6" t="s">
        <v>3194</v>
      </c>
      <c r="E3174" s="21">
        <v>2.0</v>
      </c>
      <c r="F3174" s="22" t="s">
        <v>3097</v>
      </c>
    </row>
    <row r="3175">
      <c r="A3175" s="5" t="s">
        <v>3256</v>
      </c>
      <c r="B3175" s="6">
        <v>6.0</v>
      </c>
      <c r="C3175" s="7">
        <v>54.0</v>
      </c>
      <c r="D3175" s="6" t="s">
        <v>3215</v>
      </c>
      <c r="E3175" s="21">
        <v>2.0</v>
      </c>
      <c r="F3175" s="22" t="s">
        <v>3098</v>
      </c>
    </row>
    <row r="3176">
      <c r="A3176" s="5" t="s">
        <v>3226</v>
      </c>
      <c r="B3176" s="6">
        <v>1.0</v>
      </c>
      <c r="C3176" s="7">
        <v>85.0</v>
      </c>
      <c r="D3176" s="6" t="s">
        <v>3192</v>
      </c>
      <c r="E3176" s="21">
        <v>2.0</v>
      </c>
      <c r="F3176" s="22" t="s">
        <v>3099</v>
      </c>
    </row>
    <row r="3177">
      <c r="A3177" s="5" t="s">
        <v>3229</v>
      </c>
      <c r="B3177" s="6">
        <v>4.0</v>
      </c>
      <c r="C3177" s="7">
        <v>133.0</v>
      </c>
      <c r="D3177" s="6" t="s">
        <v>3192</v>
      </c>
      <c r="E3177" s="21">
        <v>2.0</v>
      </c>
      <c r="F3177" s="22" t="s">
        <v>37</v>
      </c>
    </row>
    <row r="3178">
      <c r="A3178" s="5" t="s">
        <v>3264</v>
      </c>
      <c r="B3178" s="6">
        <v>4.0</v>
      </c>
      <c r="C3178" s="7">
        <v>199.0</v>
      </c>
      <c r="D3178" s="6" t="s">
        <v>3169</v>
      </c>
      <c r="E3178" s="21">
        <v>2.0</v>
      </c>
      <c r="F3178" s="22" t="s">
        <v>3100</v>
      </c>
    </row>
    <row r="3179">
      <c r="A3179" s="5" t="s">
        <v>3253</v>
      </c>
      <c r="B3179" s="6">
        <v>1.0</v>
      </c>
      <c r="C3179" s="7">
        <v>153.0</v>
      </c>
      <c r="D3179" s="6" t="s">
        <v>3180</v>
      </c>
      <c r="E3179" s="21">
        <v>2.0</v>
      </c>
      <c r="F3179" s="22" t="s">
        <v>1283</v>
      </c>
    </row>
    <row r="3180">
      <c r="A3180" s="5" t="s">
        <v>3244</v>
      </c>
      <c r="B3180" s="6">
        <v>1.0</v>
      </c>
      <c r="C3180" s="7">
        <v>49.0</v>
      </c>
      <c r="D3180" s="6" t="s">
        <v>3254</v>
      </c>
      <c r="E3180" s="21">
        <v>2.0</v>
      </c>
      <c r="F3180" s="22" t="s">
        <v>3101</v>
      </c>
    </row>
    <row r="3181">
      <c r="A3181" s="5" t="s">
        <v>3230</v>
      </c>
      <c r="B3181" s="6">
        <v>1.0</v>
      </c>
      <c r="C3181" s="7">
        <v>51.0</v>
      </c>
      <c r="D3181" s="6" t="s">
        <v>3169</v>
      </c>
      <c r="E3181" s="21">
        <v>2.0</v>
      </c>
      <c r="F3181" s="22" t="s">
        <v>3102</v>
      </c>
    </row>
    <row r="3182">
      <c r="A3182" s="5" t="s">
        <v>3206</v>
      </c>
      <c r="B3182" s="6">
        <v>6.0</v>
      </c>
      <c r="C3182" s="7">
        <v>97.0</v>
      </c>
      <c r="D3182" s="6" t="s">
        <v>3194</v>
      </c>
      <c r="E3182" s="21">
        <v>2.0</v>
      </c>
      <c r="F3182" s="22" t="s">
        <v>3103</v>
      </c>
    </row>
    <row r="3183">
      <c r="A3183" s="5" t="s">
        <v>3264</v>
      </c>
      <c r="B3183" s="6">
        <v>4.0</v>
      </c>
      <c r="C3183" s="7">
        <v>103.0</v>
      </c>
      <c r="D3183" s="6" t="s">
        <v>3254</v>
      </c>
      <c r="E3183" s="21">
        <v>2.0</v>
      </c>
      <c r="F3183" s="22" t="s">
        <v>3104</v>
      </c>
    </row>
    <row r="3184">
      <c r="A3184" s="5" t="s">
        <v>3217</v>
      </c>
      <c r="B3184" s="6">
        <v>5.0</v>
      </c>
      <c r="C3184" s="7">
        <v>54.0</v>
      </c>
      <c r="D3184" s="6" t="s">
        <v>3215</v>
      </c>
      <c r="E3184" s="21">
        <v>1.0</v>
      </c>
      <c r="F3184" s="22" t="s">
        <v>3105</v>
      </c>
    </row>
    <row r="3185">
      <c r="A3185" s="5" t="s">
        <v>3218</v>
      </c>
      <c r="B3185" s="6">
        <v>5.0</v>
      </c>
      <c r="C3185" s="7">
        <v>119.0</v>
      </c>
      <c r="D3185" s="6" t="s">
        <v>3178</v>
      </c>
      <c r="E3185" s="21">
        <v>1.0</v>
      </c>
      <c r="F3185" s="22" t="s">
        <v>3106</v>
      </c>
    </row>
    <row r="3186">
      <c r="A3186" s="5" t="s">
        <v>3243</v>
      </c>
      <c r="B3186" s="6">
        <v>4.0</v>
      </c>
      <c r="C3186" s="7">
        <v>195.0</v>
      </c>
      <c r="D3186" s="6" t="s">
        <v>3239</v>
      </c>
      <c r="E3186" s="21">
        <v>1.0</v>
      </c>
      <c r="F3186" s="22" t="s">
        <v>3107</v>
      </c>
    </row>
    <row r="3187">
      <c r="A3187" s="5" t="s">
        <v>3210</v>
      </c>
      <c r="B3187" s="6">
        <v>1.0</v>
      </c>
      <c r="C3187" s="7">
        <v>119.0</v>
      </c>
      <c r="D3187" s="6" t="s">
        <v>3178</v>
      </c>
      <c r="E3187" s="21">
        <v>1.0</v>
      </c>
      <c r="F3187" s="22" t="s">
        <v>3108</v>
      </c>
    </row>
    <row r="3188">
      <c r="A3188" s="5" t="s">
        <v>3263</v>
      </c>
      <c r="B3188" s="6">
        <v>1.0</v>
      </c>
      <c r="C3188" s="7">
        <v>114.0</v>
      </c>
      <c r="D3188" s="6" t="s">
        <v>3245</v>
      </c>
      <c r="E3188" s="21">
        <v>1.0</v>
      </c>
      <c r="F3188" s="22" t="s">
        <v>3109</v>
      </c>
    </row>
    <row r="3189">
      <c r="A3189" s="5" t="s">
        <v>3252</v>
      </c>
      <c r="B3189" s="6">
        <v>6.0</v>
      </c>
      <c r="C3189" s="7">
        <v>136.0</v>
      </c>
      <c r="D3189" s="6" t="s">
        <v>3221</v>
      </c>
      <c r="E3189" s="21">
        <v>1.0</v>
      </c>
      <c r="F3189" s="22" t="s">
        <v>3110</v>
      </c>
    </row>
    <row r="3190">
      <c r="A3190" s="5" t="s">
        <v>3266</v>
      </c>
      <c r="B3190" s="6">
        <v>3.0</v>
      </c>
      <c r="C3190" s="7">
        <v>133.0</v>
      </c>
      <c r="D3190" s="6" t="s">
        <v>3192</v>
      </c>
      <c r="E3190" s="21">
        <v>1.0</v>
      </c>
      <c r="F3190" s="22" t="s">
        <v>3111</v>
      </c>
    </row>
    <row r="3191">
      <c r="A3191" s="5" t="s">
        <v>3208</v>
      </c>
      <c r="B3191" s="6">
        <v>4.0</v>
      </c>
      <c r="C3191" s="7">
        <v>78.0</v>
      </c>
      <c r="D3191" s="6" t="s">
        <v>3176</v>
      </c>
      <c r="E3191" s="21">
        <v>1.0</v>
      </c>
      <c r="F3191" s="22" t="s">
        <v>3112</v>
      </c>
    </row>
    <row r="3192">
      <c r="A3192" s="5" t="s">
        <v>3187</v>
      </c>
      <c r="B3192" s="6">
        <v>4.0</v>
      </c>
      <c r="C3192" s="7">
        <v>49.0</v>
      </c>
      <c r="D3192" s="6" t="s">
        <v>3254</v>
      </c>
      <c r="E3192" s="21">
        <v>1.0</v>
      </c>
      <c r="F3192" s="22" t="s">
        <v>3113</v>
      </c>
    </row>
    <row r="3193">
      <c r="A3193" s="5" t="s">
        <v>3208</v>
      </c>
      <c r="B3193" s="6">
        <v>4.0</v>
      </c>
      <c r="C3193" s="7">
        <v>45.0</v>
      </c>
      <c r="D3193" s="6" t="s">
        <v>3241</v>
      </c>
      <c r="E3193" s="21">
        <v>1.0</v>
      </c>
      <c r="F3193" s="22" t="s">
        <v>3114</v>
      </c>
    </row>
    <row r="3194">
      <c r="A3194" s="5" t="s">
        <v>3269</v>
      </c>
      <c r="B3194" s="6">
        <v>6.0</v>
      </c>
      <c r="C3194" s="7">
        <v>160.0</v>
      </c>
      <c r="D3194" s="6" t="s">
        <v>3239</v>
      </c>
      <c r="E3194" s="21">
        <v>1.0</v>
      </c>
      <c r="F3194" s="22" t="s">
        <v>3115</v>
      </c>
    </row>
    <row r="3195">
      <c r="A3195" s="5" t="s">
        <v>3201</v>
      </c>
      <c r="B3195" s="6">
        <v>5.0</v>
      </c>
      <c r="C3195" s="7">
        <v>38.0</v>
      </c>
      <c r="D3195" s="6" t="s">
        <v>3169</v>
      </c>
      <c r="E3195" s="21">
        <v>1.0</v>
      </c>
      <c r="F3195" s="22" t="s">
        <v>3116</v>
      </c>
    </row>
    <row r="3196">
      <c r="A3196" s="5" t="s">
        <v>3170</v>
      </c>
      <c r="B3196" s="6">
        <v>1.0</v>
      </c>
      <c r="C3196" s="7">
        <v>130.0</v>
      </c>
      <c r="D3196" s="6" t="s">
        <v>3232</v>
      </c>
      <c r="E3196" s="21">
        <v>5.0</v>
      </c>
      <c r="F3196" s="22" t="s">
        <v>3117</v>
      </c>
    </row>
    <row r="3197">
      <c r="A3197" s="5" t="s">
        <v>3259</v>
      </c>
      <c r="B3197" s="6">
        <v>6.0</v>
      </c>
      <c r="C3197" s="7">
        <v>117.0</v>
      </c>
      <c r="D3197" s="6" t="s">
        <v>3225</v>
      </c>
      <c r="E3197" s="21">
        <v>5.0</v>
      </c>
      <c r="F3197" s="22" t="s">
        <v>3118</v>
      </c>
    </row>
    <row r="3198">
      <c r="A3198" s="5" t="s">
        <v>3187</v>
      </c>
      <c r="B3198" s="6">
        <v>4.0</v>
      </c>
      <c r="C3198" s="7">
        <v>47.0</v>
      </c>
      <c r="D3198" s="6" t="s">
        <v>3221</v>
      </c>
      <c r="E3198" s="21">
        <v>5.0</v>
      </c>
      <c r="F3198" s="22" t="s">
        <v>3119</v>
      </c>
    </row>
    <row r="3199">
      <c r="A3199" s="5" t="s">
        <v>3237</v>
      </c>
      <c r="B3199" s="6">
        <v>2.0</v>
      </c>
      <c r="C3199" s="7">
        <v>131.0</v>
      </c>
      <c r="D3199" s="6" t="s">
        <v>3227</v>
      </c>
      <c r="E3199" s="21">
        <v>5.0</v>
      </c>
      <c r="F3199" s="22" t="s">
        <v>3120</v>
      </c>
    </row>
    <row r="3200">
      <c r="A3200" s="5" t="s">
        <v>3209</v>
      </c>
      <c r="B3200" s="6">
        <v>4.0</v>
      </c>
      <c r="C3200" s="7">
        <v>196.0</v>
      </c>
      <c r="D3200" s="6" t="s">
        <v>3169</v>
      </c>
      <c r="E3200" s="21">
        <v>5.0</v>
      </c>
      <c r="F3200" s="22" t="s">
        <v>3121</v>
      </c>
    </row>
    <row r="3201">
      <c r="A3201" s="5" t="s">
        <v>3264</v>
      </c>
      <c r="B3201" s="6">
        <v>4.0</v>
      </c>
      <c r="C3201" s="7">
        <v>157.0</v>
      </c>
      <c r="D3201" s="6" t="s">
        <v>3219</v>
      </c>
      <c r="E3201" s="21">
        <v>5.0</v>
      </c>
      <c r="F3201" s="22" t="s">
        <v>3122</v>
      </c>
    </row>
    <row r="3202">
      <c r="A3202" s="5" t="s">
        <v>3212</v>
      </c>
      <c r="B3202" s="6">
        <v>6.0</v>
      </c>
      <c r="C3202" s="7">
        <v>33.0</v>
      </c>
      <c r="D3202" s="6" t="s">
        <v>3225</v>
      </c>
      <c r="E3202" s="21">
        <v>5.0</v>
      </c>
      <c r="F3202" s="22" t="s">
        <v>3123</v>
      </c>
    </row>
    <row r="3203">
      <c r="A3203" s="5" t="s">
        <v>3201</v>
      </c>
      <c r="B3203" s="6">
        <v>5.0</v>
      </c>
      <c r="C3203" s="7">
        <v>14.0</v>
      </c>
      <c r="D3203" s="6" t="s">
        <v>3196</v>
      </c>
      <c r="E3203" s="21">
        <v>5.0</v>
      </c>
      <c r="F3203" s="22" t="s">
        <v>3124</v>
      </c>
    </row>
    <row r="3204">
      <c r="A3204" s="5" t="s">
        <v>3201</v>
      </c>
      <c r="B3204" s="6">
        <v>5.0</v>
      </c>
      <c r="C3204" s="7">
        <v>33.0</v>
      </c>
      <c r="D3204" s="6" t="s">
        <v>3225</v>
      </c>
      <c r="E3204" s="21">
        <v>5.0</v>
      </c>
      <c r="F3204" s="22" t="s">
        <v>3125</v>
      </c>
    </row>
    <row r="3205">
      <c r="A3205" s="5" t="s">
        <v>3236</v>
      </c>
      <c r="B3205" s="6">
        <v>6.0</v>
      </c>
      <c r="C3205" s="7">
        <v>104.0</v>
      </c>
      <c r="D3205" s="6" t="s">
        <v>3257</v>
      </c>
      <c r="E3205" s="21">
        <v>5.0</v>
      </c>
      <c r="F3205" s="22" t="s">
        <v>3126</v>
      </c>
    </row>
    <row r="3206">
      <c r="A3206" s="5" t="s">
        <v>3270</v>
      </c>
      <c r="B3206" s="6">
        <v>3.0</v>
      </c>
      <c r="C3206" s="7">
        <v>58.0</v>
      </c>
      <c r="D3206" s="6" t="s">
        <v>3257</v>
      </c>
      <c r="E3206" s="21">
        <v>5.0</v>
      </c>
      <c r="F3206" s="22" t="s">
        <v>3127</v>
      </c>
    </row>
    <row r="3207">
      <c r="A3207" s="5" t="s">
        <v>3174</v>
      </c>
      <c r="B3207" s="6">
        <v>1.0</v>
      </c>
      <c r="C3207" s="7">
        <v>182.0</v>
      </c>
      <c r="D3207" s="6" t="s">
        <v>3238</v>
      </c>
      <c r="E3207" s="21">
        <v>5.0</v>
      </c>
      <c r="F3207" s="22" t="s">
        <v>1628</v>
      </c>
    </row>
    <row r="3208">
      <c r="A3208" s="5" t="s">
        <v>3243</v>
      </c>
      <c r="B3208" s="6">
        <v>4.0</v>
      </c>
      <c r="C3208" s="7">
        <v>10.0</v>
      </c>
      <c r="D3208" s="6" t="s">
        <v>3249</v>
      </c>
      <c r="E3208" s="21">
        <v>5.0</v>
      </c>
      <c r="F3208" s="22" t="s">
        <v>3128</v>
      </c>
    </row>
    <row r="3209">
      <c r="A3209" s="5" t="s">
        <v>3263</v>
      </c>
      <c r="B3209" s="6">
        <v>1.0</v>
      </c>
      <c r="C3209" s="7">
        <v>66.0</v>
      </c>
      <c r="D3209" s="6" t="s">
        <v>3171</v>
      </c>
      <c r="E3209" s="21">
        <v>5.0</v>
      </c>
      <c r="F3209" s="22" t="s">
        <v>3129</v>
      </c>
    </row>
    <row r="3210">
      <c r="A3210" s="5" t="s">
        <v>3175</v>
      </c>
      <c r="B3210" s="6">
        <v>5.0</v>
      </c>
      <c r="C3210" s="7">
        <v>175.0</v>
      </c>
      <c r="D3210" s="6" t="s">
        <v>3257</v>
      </c>
      <c r="E3210" s="21">
        <v>5.0</v>
      </c>
      <c r="F3210" s="22" t="s">
        <v>3130</v>
      </c>
    </row>
    <row r="3211">
      <c r="A3211" s="5" t="s">
        <v>3270</v>
      </c>
      <c r="B3211" s="6">
        <v>3.0</v>
      </c>
      <c r="C3211" s="7">
        <v>172.0</v>
      </c>
      <c r="D3211" s="6" t="s">
        <v>3178</v>
      </c>
      <c r="E3211" s="21">
        <v>5.0</v>
      </c>
      <c r="F3211" s="22" t="s">
        <v>3131</v>
      </c>
    </row>
    <row r="3212">
      <c r="A3212" s="5" t="s">
        <v>3248</v>
      </c>
      <c r="B3212" s="6">
        <v>3.0</v>
      </c>
      <c r="C3212" s="7">
        <v>9.0</v>
      </c>
      <c r="D3212" s="6" t="s">
        <v>3232</v>
      </c>
      <c r="E3212" s="21">
        <v>5.0</v>
      </c>
      <c r="F3212" s="22" t="s">
        <v>3132</v>
      </c>
    </row>
    <row r="3213">
      <c r="A3213" s="5" t="s">
        <v>3242</v>
      </c>
      <c r="B3213" s="6">
        <v>1.0</v>
      </c>
      <c r="C3213" s="7">
        <v>73.0</v>
      </c>
      <c r="D3213" s="6" t="s">
        <v>3173</v>
      </c>
      <c r="E3213" s="21">
        <v>5.0</v>
      </c>
      <c r="F3213" s="22" t="s">
        <v>1317</v>
      </c>
    </row>
    <row r="3214">
      <c r="A3214" s="5" t="s">
        <v>3260</v>
      </c>
      <c r="B3214" s="6">
        <v>1.0</v>
      </c>
      <c r="C3214" s="7">
        <v>165.0</v>
      </c>
      <c r="D3214" s="6" t="s">
        <v>3196</v>
      </c>
      <c r="E3214" s="21">
        <v>4.0</v>
      </c>
      <c r="F3214" s="22" t="s">
        <v>3133</v>
      </c>
    </row>
    <row r="3215">
      <c r="A3215" s="5" t="s">
        <v>3229</v>
      </c>
      <c r="B3215" s="6">
        <v>4.0</v>
      </c>
      <c r="C3215" s="7">
        <v>49.0</v>
      </c>
      <c r="D3215" s="6" t="s">
        <v>3254</v>
      </c>
      <c r="E3215" s="21">
        <v>4.0</v>
      </c>
      <c r="F3215" s="22" t="s">
        <v>3134</v>
      </c>
    </row>
    <row r="3216">
      <c r="A3216" s="5" t="s">
        <v>3264</v>
      </c>
      <c r="B3216" s="6">
        <v>4.0</v>
      </c>
      <c r="C3216" s="7">
        <v>44.0</v>
      </c>
      <c r="D3216" s="6" t="s">
        <v>3239</v>
      </c>
      <c r="E3216" s="21">
        <v>4.0</v>
      </c>
      <c r="F3216" s="22" t="s">
        <v>3135</v>
      </c>
    </row>
    <row r="3217">
      <c r="A3217" s="5" t="s">
        <v>3185</v>
      </c>
      <c r="B3217" s="6">
        <v>1.0</v>
      </c>
      <c r="C3217" s="7">
        <v>120.0</v>
      </c>
      <c r="D3217" s="6" t="s">
        <v>3171</v>
      </c>
      <c r="E3217" s="21">
        <v>4.0</v>
      </c>
      <c r="F3217" s="22" t="s">
        <v>3136</v>
      </c>
    </row>
    <row r="3218">
      <c r="A3218" s="5" t="s">
        <v>3255</v>
      </c>
      <c r="B3218" s="6">
        <v>6.0</v>
      </c>
      <c r="C3218" s="7">
        <v>156.0</v>
      </c>
      <c r="D3218" s="6" t="s">
        <v>3245</v>
      </c>
      <c r="E3218" s="21">
        <v>4.0</v>
      </c>
      <c r="F3218" s="22" t="s">
        <v>3137</v>
      </c>
    </row>
    <row r="3219">
      <c r="A3219" s="5" t="s">
        <v>3168</v>
      </c>
      <c r="B3219" s="6">
        <v>1.0</v>
      </c>
      <c r="C3219" s="7">
        <v>90.0</v>
      </c>
      <c r="D3219" s="6" t="s">
        <v>3178</v>
      </c>
      <c r="E3219" s="21">
        <v>4.0</v>
      </c>
      <c r="F3219" s="22" t="s">
        <v>3138</v>
      </c>
    </row>
    <row r="3220">
      <c r="A3220" s="5" t="s">
        <v>3237</v>
      </c>
      <c r="B3220" s="6">
        <v>2.0</v>
      </c>
      <c r="C3220" s="7">
        <v>116.0</v>
      </c>
      <c r="D3220" s="6" t="s">
        <v>3169</v>
      </c>
      <c r="E3220" s="21">
        <v>4.0</v>
      </c>
      <c r="F3220" s="22" t="s">
        <v>3139</v>
      </c>
    </row>
    <row r="3221">
      <c r="A3221" s="5" t="s">
        <v>3242</v>
      </c>
      <c r="B3221" s="6">
        <v>1.0</v>
      </c>
      <c r="C3221" s="7">
        <v>123.0</v>
      </c>
      <c r="D3221" s="6" t="s">
        <v>3192</v>
      </c>
      <c r="E3221" s="21">
        <v>4.0</v>
      </c>
      <c r="F3221" s="22" t="s">
        <v>3140</v>
      </c>
    </row>
    <row r="3222">
      <c r="A3222" s="5" t="s">
        <v>3212</v>
      </c>
      <c r="B3222" s="6">
        <v>6.0</v>
      </c>
      <c r="C3222" s="7">
        <v>69.0</v>
      </c>
      <c r="D3222" s="6" t="s">
        <v>3203</v>
      </c>
      <c r="E3222" s="21">
        <v>3.0</v>
      </c>
      <c r="F3222" s="22" t="s">
        <v>3141</v>
      </c>
    </row>
    <row r="3223">
      <c r="A3223" s="5" t="s">
        <v>3267</v>
      </c>
      <c r="B3223" s="6">
        <v>3.0</v>
      </c>
      <c r="C3223" s="7">
        <v>142.0</v>
      </c>
      <c r="D3223" s="6" t="s">
        <v>3173</v>
      </c>
      <c r="E3223" s="21">
        <v>3.0</v>
      </c>
      <c r="F3223" s="22" t="s">
        <v>3142</v>
      </c>
    </row>
    <row r="3224">
      <c r="A3224" s="5" t="s">
        <v>3255</v>
      </c>
      <c r="B3224" s="6">
        <v>6.0</v>
      </c>
      <c r="C3224" s="7">
        <v>91.0</v>
      </c>
      <c r="D3224" s="6" t="s">
        <v>3178</v>
      </c>
      <c r="E3224" s="21">
        <v>3.0</v>
      </c>
      <c r="F3224" s="22" t="s">
        <v>3143</v>
      </c>
    </row>
    <row r="3225">
      <c r="A3225" s="5" t="s">
        <v>3230</v>
      </c>
      <c r="B3225" s="6">
        <v>1.0</v>
      </c>
      <c r="C3225" s="7">
        <v>129.0</v>
      </c>
      <c r="D3225" s="6" t="s">
        <v>3182</v>
      </c>
      <c r="E3225" s="21">
        <v>3.0</v>
      </c>
      <c r="F3225" s="22" t="s">
        <v>3144</v>
      </c>
    </row>
    <row r="3226">
      <c r="A3226" s="5" t="s">
        <v>3259</v>
      </c>
      <c r="B3226" s="6">
        <v>6.0</v>
      </c>
      <c r="C3226" s="7">
        <v>10.0</v>
      </c>
      <c r="D3226" s="6" t="s">
        <v>3249</v>
      </c>
      <c r="E3226" s="21">
        <v>2.0</v>
      </c>
      <c r="F3226" s="22" t="s">
        <v>3145</v>
      </c>
    </row>
    <row r="3227">
      <c r="A3227" s="5" t="s">
        <v>3264</v>
      </c>
      <c r="B3227" s="6">
        <v>4.0</v>
      </c>
      <c r="C3227" s="7">
        <v>76.0</v>
      </c>
      <c r="D3227" s="6" t="s">
        <v>3190</v>
      </c>
      <c r="E3227" s="21">
        <v>2.0</v>
      </c>
      <c r="F3227" s="22" t="s">
        <v>3146</v>
      </c>
    </row>
    <row r="3228">
      <c r="A3228" s="5" t="s">
        <v>3179</v>
      </c>
      <c r="B3228" s="6">
        <v>1.0</v>
      </c>
      <c r="C3228" s="7">
        <v>93.0</v>
      </c>
      <c r="D3228" s="6" t="s">
        <v>3221</v>
      </c>
      <c r="E3228" s="21">
        <v>2.0</v>
      </c>
      <c r="F3228" s="22" t="s">
        <v>3147</v>
      </c>
    </row>
    <row r="3229">
      <c r="A3229" s="5" t="s">
        <v>3252</v>
      </c>
      <c r="B3229" s="6">
        <v>6.0</v>
      </c>
      <c r="C3229" s="7">
        <v>137.0</v>
      </c>
      <c r="D3229" s="6" t="s">
        <v>3215</v>
      </c>
      <c r="E3229" s="21">
        <v>2.0</v>
      </c>
      <c r="F3229" s="22" t="s">
        <v>3148</v>
      </c>
    </row>
    <row r="3230">
      <c r="A3230" s="5" t="s">
        <v>3226</v>
      </c>
      <c r="B3230" s="6">
        <v>1.0</v>
      </c>
      <c r="C3230" s="7">
        <v>67.0</v>
      </c>
      <c r="D3230" s="6" t="s">
        <v>3186</v>
      </c>
      <c r="E3230" s="21">
        <v>2.0</v>
      </c>
      <c r="F3230" s="22" t="s">
        <v>3149</v>
      </c>
    </row>
    <row r="3231">
      <c r="A3231" s="5" t="s">
        <v>3251</v>
      </c>
      <c r="B3231" s="6">
        <v>6.0</v>
      </c>
      <c r="C3231" s="7">
        <v>157.0</v>
      </c>
      <c r="D3231" s="6" t="s">
        <v>3219</v>
      </c>
      <c r="E3231" s="21">
        <v>1.0</v>
      </c>
      <c r="F3231" s="22" t="s">
        <v>3150</v>
      </c>
    </row>
    <row r="3232">
      <c r="A3232" s="5" t="s">
        <v>3233</v>
      </c>
      <c r="B3232" s="6">
        <v>6.0</v>
      </c>
      <c r="C3232" s="7">
        <v>26.0</v>
      </c>
      <c r="D3232" s="6" t="s">
        <v>3188</v>
      </c>
      <c r="E3232" s="21">
        <v>1.0</v>
      </c>
      <c r="F3232" s="22" t="s">
        <v>3151</v>
      </c>
    </row>
    <row r="3233">
      <c r="A3233" s="5" t="s">
        <v>3217</v>
      </c>
      <c r="B3233" s="6">
        <v>5.0</v>
      </c>
      <c r="C3233" s="7">
        <v>77.0</v>
      </c>
      <c r="D3233" s="6" t="s">
        <v>3254</v>
      </c>
      <c r="E3233" s="21">
        <v>1.0</v>
      </c>
      <c r="F3233" s="22" t="s">
        <v>3152</v>
      </c>
    </row>
    <row r="3234">
      <c r="A3234" s="5" t="s">
        <v>3264</v>
      </c>
      <c r="B3234" s="6">
        <v>4.0</v>
      </c>
      <c r="C3234" s="7">
        <v>167.0</v>
      </c>
      <c r="D3234" s="6" t="s">
        <v>3254</v>
      </c>
      <c r="E3234" s="21">
        <v>1.0</v>
      </c>
      <c r="F3234" s="22" t="s">
        <v>3153</v>
      </c>
    </row>
    <row r="3235">
      <c r="A3235" s="5" t="s">
        <v>3236</v>
      </c>
      <c r="B3235" s="6">
        <v>6.0</v>
      </c>
      <c r="C3235" s="7">
        <v>73.0</v>
      </c>
      <c r="D3235" s="6" t="s">
        <v>3173</v>
      </c>
      <c r="E3235" s="21">
        <v>1.0</v>
      </c>
      <c r="F3235" s="22" t="s">
        <v>3154</v>
      </c>
    </row>
    <row r="3236">
      <c r="A3236" s="5" t="s">
        <v>3181</v>
      </c>
      <c r="B3236" s="6">
        <v>1.0</v>
      </c>
      <c r="C3236" s="7">
        <v>70.0</v>
      </c>
      <c r="D3236" s="6" t="s">
        <v>3222</v>
      </c>
      <c r="E3236" s="21">
        <v>1.0</v>
      </c>
      <c r="F3236" s="22" t="s">
        <v>3155</v>
      </c>
    </row>
    <row r="3237">
      <c r="A3237" s="5" t="s">
        <v>3205</v>
      </c>
      <c r="B3237" s="6">
        <v>1.0</v>
      </c>
      <c r="C3237" s="7">
        <v>93.0</v>
      </c>
      <c r="D3237" s="6" t="s">
        <v>3221</v>
      </c>
      <c r="E3237" s="21">
        <v>1.0</v>
      </c>
      <c r="F3237" s="22" t="s">
        <v>3156</v>
      </c>
    </row>
    <row r="3238">
      <c r="A3238" s="5" t="s">
        <v>3179</v>
      </c>
      <c r="B3238" s="6">
        <v>1.0</v>
      </c>
      <c r="C3238" s="7">
        <v>123.0</v>
      </c>
      <c r="D3238" s="6" t="s">
        <v>3192</v>
      </c>
      <c r="E3238" s="21">
        <v>1.0</v>
      </c>
      <c r="F3238" s="22" t="s">
        <v>3157</v>
      </c>
    </row>
    <row r="3239">
      <c r="A3239" s="5" t="s">
        <v>3243</v>
      </c>
      <c r="B3239" s="6">
        <v>4.0</v>
      </c>
      <c r="C3239" s="7">
        <v>185.0</v>
      </c>
      <c r="D3239" s="6" t="s">
        <v>3173</v>
      </c>
      <c r="E3239" s="21">
        <v>1.0</v>
      </c>
      <c r="F3239" s="22" t="s">
        <v>3158</v>
      </c>
    </row>
    <row r="3240">
      <c r="A3240" s="5" t="s">
        <v>3261</v>
      </c>
      <c r="B3240" s="6">
        <v>4.0</v>
      </c>
      <c r="C3240" s="7">
        <v>25.0</v>
      </c>
      <c r="D3240" s="6" t="s">
        <v>3173</v>
      </c>
      <c r="E3240" s="21">
        <v>1.0</v>
      </c>
      <c r="F3240" s="22" t="s">
        <v>3159</v>
      </c>
    </row>
    <row r="3241">
      <c r="A3241" s="5" t="s">
        <v>3261</v>
      </c>
      <c r="B3241" s="6">
        <v>4.0</v>
      </c>
      <c r="C3241" s="7">
        <v>60.0</v>
      </c>
      <c r="D3241" s="6" t="s">
        <v>3196</v>
      </c>
      <c r="E3241" s="21">
        <v>1.0</v>
      </c>
      <c r="F3241" s="22" t="s">
        <v>3160</v>
      </c>
    </row>
    <row r="3242">
      <c r="A3242" s="5" t="s">
        <v>3175</v>
      </c>
      <c r="B3242" s="6">
        <v>5.0</v>
      </c>
      <c r="C3242" s="7">
        <v>86.0</v>
      </c>
      <c r="D3242" s="6" t="s">
        <v>3245</v>
      </c>
      <c r="E3242" s="21">
        <v>1.0</v>
      </c>
      <c r="F3242" s="22" t="s">
        <v>3161</v>
      </c>
    </row>
    <row r="3243">
      <c r="A3243" s="5" t="s">
        <v>3228</v>
      </c>
      <c r="B3243" s="6">
        <v>6.0</v>
      </c>
      <c r="C3243" s="7">
        <v>107.0</v>
      </c>
      <c r="D3243" s="6" t="s">
        <v>3207</v>
      </c>
      <c r="E3243" s="21">
        <v>1.0</v>
      </c>
      <c r="F3243" s="22" t="s">
        <v>3162</v>
      </c>
    </row>
    <row r="3244">
      <c r="A3244" s="5" t="s">
        <v>3177</v>
      </c>
      <c r="B3244" s="6">
        <v>5.0</v>
      </c>
      <c r="C3244" s="7">
        <v>132.0</v>
      </c>
      <c r="D3244" s="6" t="s">
        <v>3186</v>
      </c>
      <c r="E3244" s="21">
        <v>1.0</v>
      </c>
      <c r="F3244" s="22" t="s">
        <v>3163</v>
      </c>
    </row>
    <row r="3245">
      <c r="A3245" s="5" t="s">
        <v>3181</v>
      </c>
      <c r="B3245" s="6">
        <v>1.0</v>
      </c>
      <c r="C3245" s="7">
        <v>120.0</v>
      </c>
      <c r="D3245" s="6" t="s">
        <v>3171</v>
      </c>
      <c r="E3245" s="21">
        <v>1.0</v>
      </c>
      <c r="F3245" s="22" t="s">
        <v>3164</v>
      </c>
    </row>
    <row r="3246">
      <c r="A3246" s="5" t="s">
        <v>3206</v>
      </c>
      <c r="B3246" s="6">
        <v>6.0</v>
      </c>
      <c r="C3246" s="7">
        <v>1.0</v>
      </c>
      <c r="D3246" s="6" t="s">
        <v>3221</v>
      </c>
      <c r="E3246" s="21">
        <v>1.0</v>
      </c>
      <c r="F3246" s="22" t="s">
        <v>3165</v>
      </c>
    </row>
    <row r="3247">
      <c r="A3247" s="24"/>
      <c r="B3247" s="6"/>
      <c r="C3247" s="7"/>
      <c r="D3247" s="6"/>
      <c r="E3247" s="2"/>
      <c r="F3247" s="22"/>
    </row>
    <row r="3248">
      <c r="A3248" s="24"/>
      <c r="B3248" s="6"/>
      <c r="C3248" s="7"/>
      <c r="D3248" s="6"/>
      <c r="E3248" s="2"/>
      <c r="F3248" s="22"/>
    </row>
    <row r="3249">
      <c r="A3249" s="24"/>
      <c r="B3249" s="6"/>
      <c r="C3249" s="7"/>
      <c r="D3249" s="6"/>
      <c r="E3249" s="2"/>
      <c r="F3249" s="22"/>
    </row>
    <row r="3250">
      <c r="A3250" s="24"/>
      <c r="B3250" s="6"/>
      <c r="C3250" s="7"/>
      <c r="D3250" s="6"/>
      <c r="E3250" s="2"/>
      <c r="F3250" s="22"/>
    </row>
    <row r="3251">
      <c r="A3251" s="24"/>
      <c r="B3251" s="6"/>
      <c r="C3251" s="7"/>
      <c r="D3251" s="6"/>
      <c r="E3251" s="2"/>
      <c r="F3251" s="22"/>
    </row>
    <row r="3252">
      <c r="A3252" s="24"/>
      <c r="B3252" s="6"/>
      <c r="C3252" s="7"/>
      <c r="D3252" s="6"/>
      <c r="E3252" s="2"/>
      <c r="F3252" s="22"/>
    </row>
    <row r="3253">
      <c r="A3253" s="24"/>
      <c r="B3253" s="6"/>
      <c r="C3253" s="7"/>
      <c r="D3253" s="6"/>
      <c r="E3253" s="2"/>
      <c r="F3253" s="22"/>
    </row>
    <row r="3254">
      <c r="A3254" s="24"/>
      <c r="B3254" s="6"/>
      <c r="C3254" s="7"/>
      <c r="D3254" s="6"/>
      <c r="E3254" s="2"/>
      <c r="F3254" s="22"/>
    </row>
    <row r="3255">
      <c r="A3255" s="24"/>
      <c r="B3255" s="6"/>
      <c r="C3255" s="7"/>
      <c r="D3255" s="6"/>
      <c r="E3255" s="2"/>
      <c r="F3255" s="22"/>
    </row>
    <row r="3256">
      <c r="A3256" s="24"/>
      <c r="B3256" s="6"/>
      <c r="C3256" s="7"/>
      <c r="D3256" s="6"/>
      <c r="E3256" s="2"/>
      <c r="F3256" s="22"/>
    </row>
    <row r="3257">
      <c r="A3257" s="24"/>
      <c r="B3257" s="6"/>
      <c r="C3257" s="7"/>
      <c r="D3257" s="6"/>
      <c r="E3257" s="2"/>
      <c r="F3257" s="22"/>
    </row>
    <row r="3258">
      <c r="A3258" s="24"/>
      <c r="B3258" s="6"/>
      <c r="C3258" s="7"/>
      <c r="D3258" s="6"/>
      <c r="E3258" s="2"/>
      <c r="F3258" s="22"/>
    </row>
    <row r="3259">
      <c r="A3259" s="24"/>
      <c r="B3259" s="6"/>
      <c r="C3259" s="7"/>
      <c r="D3259" s="6"/>
      <c r="E3259" s="2"/>
      <c r="F3259" s="22"/>
    </row>
    <row r="3260">
      <c r="A3260" s="24"/>
      <c r="B3260" s="6"/>
      <c r="C3260" s="7"/>
      <c r="D3260" s="6"/>
      <c r="E3260" s="2"/>
      <c r="F3260" s="22"/>
    </row>
    <row r="3261">
      <c r="A3261" s="24"/>
      <c r="B3261" s="6"/>
      <c r="C3261" s="7"/>
      <c r="D3261" s="6"/>
      <c r="E3261" s="2"/>
      <c r="F3261" s="22"/>
    </row>
    <row r="3262">
      <c r="A3262" s="24"/>
      <c r="B3262" s="6"/>
      <c r="C3262" s="7"/>
      <c r="D3262" s="6"/>
      <c r="E3262" s="2"/>
      <c r="F3262" s="22"/>
    </row>
    <row r="3263">
      <c r="A3263" s="24"/>
      <c r="B3263" s="6"/>
      <c r="C3263" s="7"/>
      <c r="D3263" s="6"/>
      <c r="E3263" s="2"/>
      <c r="F3263" s="22"/>
    </row>
    <row r="3264">
      <c r="A3264" s="24"/>
      <c r="B3264" s="6"/>
      <c r="C3264" s="7"/>
      <c r="D3264" s="6"/>
      <c r="E3264" s="2"/>
      <c r="F3264" s="22"/>
    </row>
    <row r="3265">
      <c r="A3265" s="24"/>
      <c r="B3265" s="6"/>
      <c r="C3265" s="7"/>
      <c r="D3265" s="6"/>
      <c r="E3265" s="2"/>
      <c r="F3265" s="22"/>
    </row>
    <row r="3266">
      <c r="A3266" s="24"/>
      <c r="B3266" s="6"/>
      <c r="C3266" s="7"/>
      <c r="D3266" s="6"/>
      <c r="E3266" s="2"/>
      <c r="F3266" s="22"/>
    </row>
    <row r="3267">
      <c r="A3267" s="24"/>
      <c r="B3267" s="6"/>
      <c r="C3267" s="7"/>
      <c r="D3267" s="6"/>
      <c r="E3267" s="2"/>
      <c r="F3267" s="22"/>
    </row>
    <row r="3268">
      <c r="A3268" s="24"/>
      <c r="B3268" s="6"/>
      <c r="C3268" s="7"/>
      <c r="D3268" s="6"/>
      <c r="E3268" s="2"/>
      <c r="F3268" s="22"/>
    </row>
    <row r="3269">
      <c r="A3269" s="24"/>
      <c r="B3269" s="6"/>
      <c r="C3269" s="7"/>
      <c r="D3269" s="6"/>
      <c r="E3269" s="2"/>
      <c r="F3269" s="22"/>
    </row>
    <row r="3270">
      <c r="A3270" s="24"/>
      <c r="B3270" s="6"/>
      <c r="C3270" s="7"/>
      <c r="D3270" s="6"/>
      <c r="E3270" s="2"/>
      <c r="F3270" s="22"/>
    </row>
    <row r="3271">
      <c r="A3271" s="24"/>
      <c r="B3271" s="6"/>
      <c r="C3271" s="7"/>
      <c r="D3271" s="6"/>
      <c r="E3271" s="2"/>
      <c r="F3271" s="22"/>
    </row>
    <row r="3272">
      <c r="A3272" s="24"/>
      <c r="B3272" s="6"/>
      <c r="C3272" s="7"/>
      <c r="D3272" s="6"/>
      <c r="E3272" s="2"/>
      <c r="F3272" s="22"/>
    </row>
    <row r="3273">
      <c r="A3273" s="24"/>
      <c r="B3273" s="6"/>
      <c r="C3273" s="7"/>
      <c r="D3273" s="6"/>
      <c r="E3273" s="2"/>
      <c r="F3273" s="22"/>
    </row>
    <row r="3274">
      <c r="A3274" s="24"/>
      <c r="B3274" s="6"/>
      <c r="C3274" s="7"/>
      <c r="D3274" s="6"/>
      <c r="E3274" s="2"/>
      <c r="F3274" s="22"/>
    </row>
    <row r="3275">
      <c r="A3275" s="24"/>
      <c r="B3275" s="6"/>
      <c r="C3275" s="7"/>
      <c r="D3275" s="6"/>
      <c r="E3275" s="2"/>
      <c r="F3275" s="22"/>
    </row>
    <row r="3276">
      <c r="A3276" s="24"/>
      <c r="B3276" s="6"/>
      <c r="C3276" s="7"/>
      <c r="D3276" s="6"/>
      <c r="E3276" s="2"/>
      <c r="F3276" s="22"/>
    </row>
    <row r="3277">
      <c r="A3277" s="24"/>
      <c r="B3277" s="6"/>
      <c r="C3277" s="7"/>
      <c r="D3277" s="6"/>
      <c r="E3277" s="2"/>
      <c r="F3277" s="22"/>
    </row>
    <row r="3278">
      <c r="A3278" s="24"/>
      <c r="B3278" s="6"/>
      <c r="C3278" s="7"/>
      <c r="D3278" s="6"/>
      <c r="E3278" s="2"/>
      <c r="F3278" s="22"/>
    </row>
    <row r="3279">
      <c r="A3279" s="24"/>
      <c r="B3279" s="6"/>
      <c r="C3279" s="7"/>
      <c r="D3279" s="6"/>
      <c r="E3279" s="2"/>
      <c r="F3279" s="22"/>
    </row>
    <row r="3280">
      <c r="A3280" s="24"/>
      <c r="B3280" s="6"/>
      <c r="C3280" s="7"/>
      <c r="D3280" s="6"/>
      <c r="E3280" s="2"/>
      <c r="F3280" s="22"/>
    </row>
    <row r="3281">
      <c r="A3281" s="24"/>
      <c r="B3281" s="6"/>
      <c r="C3281" s="7"/>
      <c r="D3281" s="6"/>
      <c r="E3281" s="2"/>
      <c r="F3281" s="22"/>
    </row>
    <row r="3282">
      <c r="A3282" s="24"/>
      <c r="B3282" s="6"/>
      <c r="C3282" s="7"/>
      <c r="D3282" s="6"/>
      <c r="E3282" s="2"/>
      <c r="F3282" s="22"/>
    </row>
    <row r="3283">
      <c r="A3283" s="24"/>
      <c r="B3283" s="6"/>
      <c r="C3283" s="7"/>
      <c r="D3283" s="6"/>
      <c r="E3283" s="2"/>
      <c r="F3283" s="22"/>
    </row>
    <row r="3284">
      <c r="A3284" s="24"/>
      <c r="B3284" s="6"/>
      <c r="C3284" s="7"/>
      <c r="D3284" s="6"/>
      <c r="E3284" s="2"/>
      <c r="F3284" s="22"/>
    </row>
    <row r="3285">
      <c r="A3285" s="24"/>
      <c r="B3285" s="6"/>
      <c r="C3285" s="7"/>
      <c r="D3285" s="6"/>
      <c r="E3285" s="2"/>
      <c r="F3285" s="22"/>
    </row>
    <row r="3286">
      <c r="A3286" s="24"/>
      <c r="B3286" s="6"/>
      <c r="C3286" s="7"/>
      <c r="D3286" s="6"/>
      <c r="E3286" s="2"/>
      <c r="F3286" s="22"/>
    </row>
    <row r="3287">
      <c r="A3287" s="24"/>
      <c r="B3287" s="6"/>
      <c r="C3287" s="7"/>
      <c r="D3287" s="6"/>
      <c r="E3287" s="2"/>
      <c r="F3287" s="22"/>
    </row>
    <row r="3288">
      <c r="A3288" s="24"/>
      <c r="B3288" s="6"/>
      <c r="C3288" s="7"/>
      <c r="D3288" s="6"/>
      <c r="E3288" s="2"/>
      <c r="F3288" s="22"/>
    </row>
    <row r="3289">
      <c r="A3289" s="24"/>
      <c r="B3289" s="6"/>
      <c r="C3289" s="7"/>
      <c r="D3289" s="6"/>
      <c r="E3289" s="2"/>
      <c r="F3289" s="22"/>
    </row>
    <row r="3290">
      <c r="A3290" s="24"/>
      <c r="B3290" s="6"/>
      <c r="C3290" s="7"/>
      <c r="D3290" s="6"/>
      <c r="E3290" s="2"/>
      <c r="F3290" s="22"/>
    </row>
    <row r="3291">
      <c r="A3291" s="24"/>
      <c r="B3291" s="6"/>
      <c r="C3291" s="7"/>
      <c r="D3291" s="6"/>
      <c r="E3291" s="2"/>
      <c r="F3291" s="22"/>
    </row>
    <row r="3292">
      <c r="A3292" s="24"/>
      <c r="B3292" s="6"/>
      <c r="C3292" s="7"/>
      <c r="D3292" s="6"/>
      <c r="E3292" s="2"/>
      <c r="F3292" s="22"/>
    </row>
    <row r="3293">
      <c r="A3293" s="24"/>
      <c r="B3293" s="6"/>
      <c r="C3293" s="7"/>
      <c r="D3293" s="6"/>
      <c r="E3293" s="2"/>
      <c r="F3293" s="22"/>
    </row>
    <row r="3294">
      <c r="A3294" s="24"/>
      <c r="B3294" s="6"/>
      <c r="C3294" s="7"/>
      <c r="D3294" s="6"/>
      <c r="E3294" s="2"/>
      <c r="F3294" s="22"/>
    </row>
    <row r="3295">
      <c r="A3295" s="24"/>
      <c r="B3295" s="6"/>
      <c r="C3295" s="7"/>
      <c r="D3295" s="6"/>
      <c r="E3295" s="2"/>
      <c r="F3295" s="22"/>
    </row>
    <row r="3296">
      <c r="A3296" s="24"/>
      <c r="B3296" s="6"/>
      <c r="C3296" s="7"/>
      <c r="D3296" s="6"/>
      <c r="E3296" s="2"/>
      <c r="F3296" s="22"/>
    </row>
    <row r="3297">
      <c r="A3297" s="24"/>
      <c r="B3297" s="6"/>
      <c r="C3297" s="7"/>
      <c r="D3297" s="6"/>
      <c r="E3297" s="2"/>
      <c r="F3297" s="22"/>
    </row>
    <row r="3298">
      <c r="A3298" s="24"/>
      <c r="B3298" s="6"/>
      <c r="C3298" s="7"/>
      <c r="D3298" s="6"/>
      <c r="E3298" s="2"/>
      <c r="F3298" s="22"/>
    </row>
    <row r="3299">
      <c r="A3299" s="24"/>
      <c r="B3299" s="6"/>
      <c r="C3299" s="7"/>
      <c r="D3299" s="6"/>
      <c r="E3299" s="2"/>
      <c r="F3299" s="22"/>
    </row>
    <row r="3300">
      <c r="A3300" s="24"/>
      <c r="B3300" s="6"/>
      <c r="C3300" s="7"/>
      <c r="D3300" s="6"/>
      <c r="E3300" s="2"/>
      <c r="F3300" s="22"/>
    </row>
    <row r="3301">
      <c r="A3301" s="24"/>
      <c r="B3301" s="6"/>
      <c r="C3301" s="7"/>
      <c r="D3301" s="6"/>
      <c r="E3301" s="2"/>
      <c r="F3301" s="22"/>
    </row>
    <row r="3302">
      <c r="A3302" s="24"/>
      <c r="B3302" s="6"/>
      <c r="C3302" s="7"/>
      <c r="D3302" s="6"/>
      <c r="E3302" s="2"/>
      <c r="F3302" s="22"/>
    </row>
    <row r="3303">
      <c r="A3303" s="24"/>
      <c r="B3303" s="6"/>
      <c r="C3303" s="7"/>
      <c r="D3303" s="6"/>
      <c r="E3303" s="2"/>
      <c r="F3303" s="22"/>
    </row>
    <row r="3304">
      <c r="A3304" s="24"/>
      <c r="B3304" s="6"/>
      <c r="C3304" s="7"/>
      <c r="D3304" s="6"/>
      <c r="E3304" s="2"/>
      <c r="F3304" s="22"/>
    </row>
    <row r="3305">
      <c r="A3305" s="24"/>
      <c r="B3305" s="6"/>
      <c r="C3305" s="7"/>
      <c r="D3305" s="6"/>
      <c r="E3305" s="2"/>
      <c r="F3305" s="22"/>
    </row>
    <row r="3306">
      <c r="A3306" s="24"/>
      <c r="B3306" s="6"/>
      <c r="C3306" s="7"/>
      <c r="D3306" s="6"/>
      <c r="E3306" s="2"/>
      <c r="F3306" s="22"/>
    </row>
    <row r="3307">
      <c r="A3307" s="24"/>
      <c r="B3307" s="6"/>
      <c r="C3307" s="7"/>
      <c r="D3307" s="6"/>
      <c r="E3307" s="2"/>
      <c r="F3307" s="22"/>
    </row>
    <row r="3308">
      <c r="A3308" s="24"/>
      <c r="B3308" s="6"/>
      <c r="C3308" s="7"/>
      <c r="D3308" s="6"/>
      <c r="E3308" s="2"/>
      <c r="F3308" s="22"/>
    </row>
    <row r="3309">
      <c r="A3309" s="24"/>
      <c r="B3309" s="6"/>
      <c r="C3309" s="7"/>
      <c r="D3309" s="6"/>
      <c r="E3309" s="2"/>
      <c r="F3309" s="22"/>
    </row>
    <row r="3310">
      <c r="A3310" s="24"/>
      <c r="B3310" s="6"/>
      <c r="C3310" s="7"/>
      <c r="D3310" s="6"/>
      <c r="E3310" s="2"/>
      <c r="F3310" s="22"/>
    </row>
    <row r="3311">
      <c r="A3311" s="24"/>
      <c r="B3311" s="6"/>
      <c r="C3311" s="7"/>
      <c r="D3311" s="6"/>
      <c r="E3311" s="2"/>
      <c r="F3311" s="22"/>
    </row>
    <row r="3312">
      <c r="A3312" s="24"/>
      <c r="B3312" s="6"/>
      <c r="C3312" s="7"/>
      <c r="D3312" s="6"/>
      <c r="E3312" s="2"/>
      <c r="F3312" s="22"/>
    </row>
    <row r="3313">
      <c r="A3313" s="24"/>
      <c r="B3313" s="6"/>
      <c r="C3313" s="7"/>
      <c r="D3313" s="6"/>
      <c r="E3313" s="2"/>
      <c r="F3313" s="22"/>
    </row>
    <row r="3314">
      <c r="A3314" s="24"/>
      <c r="B3314" s="6"/>
      <c r="C3314" s="7"/>
      <c r="D3314" s="6"/>
      <c r="E3314" s="2"/>
      <c r="F3314" s="22"/>
    </row>
    <row r="3315">
      <c r="A3315" s="24"/>
      <c r="B3315" s="6"/>
      <c r="C3315" s="7"/>
      <c r="D3315" s="6"/>
      <c r="E3315" s="2"/>
      <c r="F3315" s="22"/>
    </row>
    <row r="3316">
      <c r="A3316" s="24"/>
      <c r="B3316" s="6"/>
      <c r="C3316" s="7"/>
      <c r="D3316" s="6"/>
      <c r="E3316" s="2"/>
      <c r="F3316" s="22"/>
    </row>
    <row r="3317">
      <c r="A3317" s="24"/>
      <c r="B3317" s="6"/>
      <c r="C3317" s="7"/>
      <c r="D3317" s="6"/>
      <c r="E3317" s="2"/>
      <c r="F3317" s="22"/>
    </row>
    <row r="3318">
      <c r="A3318" s="24"/>
      <c r="B3318" s="6"/>
      <c r="C3318" s="7"/>
      <c r="D3318" s="6"/>
      <c r="E3318" s="2"/>
      <c r="F3318" s="22"/>
    </row>
    <row r="3319">
      <c r="A3319" s="24"/>
      <c r="B3319" s="6"/>
      <c r="C3319" s="7"/>
      <c r="D3319" s="6"/>
      <c r="E3319" s="2"/>
      <c r="F3319" s="22"/>
    </row>
    <row r="3320">
      <c r="A3320" s="24"/>
      <c r="B3320" s="6"/>
      <c r="C3320" s="7"/>
      <c r="D3320" s="6"/>
      <c r="E3320" s="2"/>
      <c r="F3320" s="22"/>
    </row>
    <row r="3321">
      <c r="A3321" s="24"/>
      <c r="B3321" s="6"/>
      <c r="C3321" s="7"/>
      <c r="D3321" s="6"/>
      <c r="E3321" s="2"/>
      <c r="F3321" s="22"/>
    </row>
    <row r="3322">
      <c r="A3322" s="24"/>
      <c r="B3322" s="6"/>
      <c r="C3322" s="7"/>
      <c r="D3322" s="6"/>
      <c r="E3322" s="2"/>
      <c r="F3322" s="22"/>
    </row>
    <row r="3323">
      <c r="A3323" s="24"/>
      <c r="B3323" s="6"/>
      <c r="C3323" s="7"/>
      <c r="D3323" s="6"/>
      <c r="E3323" s="2"/>
      <c r="F3323" s="22"/>
    </row>
    <row r="3324">
      <c r="A3324" s="24"/>
      <c r="B3324" s="6"/>
      <c r="C3324" s="7"/>
      <c r="D3324" s="6"/>
      <c r="E3324" s="2"/>
      <c r="F3324" s="22"/>
    </row>
    <row r="3325">
      <c r="A3325" s="24"/>
      <c r="B3325" s="6"/>
      <c r="C3325" s="7"/>
      <c r="D3325" s="6"/>
      <c r="E3325" s="2"/>
      <c r="F3325" s="22"/>
    </row>
    <row r="3326">
      <c r="A3326" s="24"/>
      <c r="B3326" s="6"/>
      <c r="C3326" s="7"/>
      <c r="D3326" s="6"/>
      <c r="E3326" s="2"/>
      <c r="F3326" s="22"/>
    </row>
    <row r="3327">
      <c r="A3327" s="24"/>
      <c r="B3327" s="6"/>
      <c r="C3327" s="7"/>
      <c r="D3327" s="6"/>
      <c r="E3327" s="2"/>
      <c r="F3327" s="22"/>
    </row>
    <row r="3328">
      <c r="A3328" s="24"/>
      <c r="B3328" s="6"/>
      <c r="C3328" s="7"/>
      <c r="D3328" s="6"/>
      <c r="E3328" s="2"/>
      <c r="F3328" s="22"/>
    </row>
    <row r="3329">
      <c r="A3329" s="24"/>
      <c r="B3329" s="6"/>
      <c r="C3329" s="7"/>
      <c r="D3329" s="6"/>
      <c r="E3329" s="2"/>
      <c r="F3329" s="22"/>
    </row>
    <row r="3330">
      <c r="A3330" s="24"/>
      <c r="B3330" s="6"/>
      <c r="C3330" s="7"/>
      <c r="D3330" s="6"/>
      <c r="E3330" s="2"/>
      <c r="F3330" s="22"/>
    </row>
    <row r="3331">
      <c r="A3331" s="24"/>
      <c r="B3331" s="6"/>
      <c r="C3331" s="7"/>
      <c r="D3331" s="6"/>
      <c r="E3331" s="2"/>
      <c r="F3331" s="22"/>
    </row>
    <row r="3332">
      <c r="A3332" s="24"/>
      <c r="B3332" s="6"/>
      <c r="C3332" s="7"/>
      <c r="D3332" s="6"/>
      <c r="E3332" s="2"/>
      <c r="F3332" s="22"/>
    </row>
    <row r="3333">
      <c r="A3333" s="24"/>
      <c r="B3333" s="6"/>
      <c r="C3333" s="7"/>
      <c r="D3333" s="6"/>
      <c r="E3333" s="2"/>
      <c r="F3333" s="22"/>
    </row>
    <row r="3334">
      <c r="A3334" s="24"/>
      <c r="B3334" s="6"/>
      <c r="C3334" s="7"/>
      <c r="D3334" s="6"/>
      <c r="E3334" s="2"/>
      <c r="F3334" s="22"/>
    </row>
    <row r="3335">
      <c r="A3335" s="24"/>
      <c r="B3335" s="6"/>
      <c r="C3335" s="7"/>
      <c r="D3335" s="6"/>
      <c r="E3335" s="2"/>
      <c r="F3335" s="22"/>
    </row>
    <row r="3336">
      <c r="A3336" s="24"/>
      <c r="B3336" s="6"/>
      <c r="C3336" s="7"/>
      <c r="D3336" s="6"/>
      <c r="E3336" s="2"/>
      <c r="F3336" s="22"/>
    </row>
    <row r="3337">
      <c r="A3337" s="24"/>
      <c r="B3337" s="6"/>
      <c r="C3337" s="7"/>
      <c r="D3337" s="6"/>
      <c r="E3337" s="2"/>
      <c r="F3337" s="22"/>
    </row>
    <row r="3338">
      <c r="A3338" s="24"/>
      <c r="B3338" s="6"/>
      <c r="C3338" s="7"/>
      <c r="D3338" s="6"/>
      <c r="E3338" s="2"/>
      <c r="F3338" s="22"/>
    </row>
    <row r="3339">
      <c r="A3339" s="24"/>
      <c r="B3339" s="6"/>
      <c r="C3339" s="7"/>
      <c r="D3339" s="6"/>
      <c r="E3339" s="2"/>
      <c r="F3339" s="22"/>
    </row>
    <row r="3340">
      <c r="A3340" s="24"/>
      <c r="B3340" s="6"/>
      <c r="C3340" s="7"/>
      <c r="D3340" s="6"/>
      <c r="E3340" s="2"/>
      <c r="F3340" s="22"/>
    </row>
    <row r="3341">
      <c r="A3341" s="24"/>
      <c r="B3341" s="6"/>
      <c r="C3341" s="7"/>
      <c r="D3341" s="6"/>
      <c r="E3341" s="2"/>
      <c r="F3341" s="22"/>
    </row>
    <row r="3342">
      <c r="A3342" s="24"/>
      <c r="B3342" s="6"/>
      <c r="C3342" s="7"/>
      <c r="D3342" s="6"/>
      <c r="E3342" s="2"/>
      <c r="F3342" s="22"/>
    </row>
    <row r="3343">
      <c r="A3343" s="24"/>
      <c r="B3343" s="6"/>
      <c r="C3343" s="7"/>
      <c r="D3343" s="6"/>
      <c r="E3343" s="2"/>
      <c r="F3343" s="22"/>
    </row>
    <row r="3344">
      <c r="A3344" s="24"/>
      <c r="B3344" s="6"/>
      <c r="C3344" s="7"/>
      <c r="D3344" s="6"/>
      <c r="E3344" s="2"/>
      <c r="F3344" s="22"/>
    </row>
    <row r="3345">
      <c r="A3345" s="24"/>
      <c r="B3345" s="6"/>
      <c r="C3345" s="7"/>
      <c r="D3345" s="6"/>
      <c r="E3345" s="2"/>
      <c r="F3345" s="22"/>
    </row>
    <row r="3346">
      <c r="A3346" s="24"/>
      <c r="B3346" s="6"/>
      <c r="C3346" s="7"/>
      <c r="D3346" s="6"/>
      <c r="E3346" s="2"/>
      <c r="F3346" s="22"/>
    </row>
    <row r="3347">
      <c r="A3347" s="24"/>
      <c r="B3347" s="6"/>
      <c r="C3347" s="7"/>
      <c r="D3347" s="6"/>
      <c r="E3347" s="2"/>
      <c r="F3347" s="22"/>
    </row>
    <row r="3348">
      <c r="A3348" s="24"/>
      <c r="B3348" s="6"/>
      <c r="C3348" s="7"/>
      <c r="D3348" s="6"/>
      <c r="E3348" s="2"/>
      <c r="F3348" s="22"/>
    </row>
    <row r="3349">
      <c r="A3349" s="24"/>
      <c r="B3349" s="6"/>
      <c r="C3349" s="7"/>
      <c r="D3349" s="6"/>
      <c r="E3349" s="2"/>
      <c r="F3349" s="22"/>
    </row>
    <row r="3350">
      <c r="A3350" s="24"/>
      <c r="B3350" s="6"/>
      <c r="C3350" s="7"/>
      <c r="D3350" s="6"/>
      <c r="E3350" s="2"/>
      <c r="F3350" s="22"/>
    </row>
    <row r="3351">
      <c r="A3351" s="24"/>
      <c r="B3351" s="6"/>
      <c r="C3351" s="7"/>
      <c r="D3351" s="6"/>
      <c r="E3351" s="2"/>
      <c r="F3351" s="22"/>
    </row>
    <row r="3352">
      <c r="A3352" s="24"/>
      <c r="B3352" s="6"/>
      <c r="C3352" s="7"/>
      <c r="D3352" s="6"/>
      <c r="E3352" s="2"/>
      <c r="F3352" s="22"/>
    </row>
    <row r="3353">
      <c r="A3353" s="24"/>
      <c r="B3353" s="6"/>
      <c r="C3353" s="7"/>
      <c r="D3353" s="6"/>
      <c r="E3353" s="2"/>
      <c r="F3353" s="22"/>
    </row>
    <row r="3354">
      <c r="A3354" s="24"/>
      <c r="B3354" s="6"/>
      <c r="C3354" s="7"/>
      <c r="D3354" s="6"/>
      <c r="E3354" s="2"/>
      <c r="F3354" s="22"/>
    </row>
    <row r="3355">
      <c r="A3355" s="24"/>
      <c r="B3355" s="6"/>
      <c r="C3355" s="7"/>
      <c r="D3355" s="6"/>
      <c r="E3355" s="2"/>
      <c r="F3355" s="22"/>
    </row>
    <row r="3356">
      <c r="A3356" s="24"/>
      <c r="B3356" s="6"/>
      <c r="C3356" s="7"/>
      <c r="D3356" s="6"/>
      <c r="E3356" s="2"/>
      <c r="F3356" s="22"/>
    </row>
    <row r="3357">
      <c r="A3357" s="24"/>
      <c r="B3357" s="6"/>
      <c r="C3357" s="7"/>
      <c r="D3357" s="6"/>
      <c r="E3357" s="2"/>
      <c r="F3357" s="22"/>
    </row>
    <row r="3358">
      <c r="A3358" s="24"/>
      <c r="B3358" s="6"/>
      <c r="C3358" s="7"/>
      <c r="D3358" s="6"/>
      <c r="E3358" s="2"/>
      <c r="F3358" s="22"/>
    </row>
    <row r="3359">
      <c r="A3359" s="24"/>
      <c r="B3359" s="6"/>
      <c r="C3359" s="7"/>
      <c r="D3359" s="6"/>
      <c r="E3359" s="2"/>
      <c r="F3359" s="22"/>
    </row>
    <row r="3360">
      <c r="A3360" s="24"/>
      <c r="B3360" s="6"/>
      <c r="C3360" s="7"/>
      <c r="D3360" s="6"/>
      <c r="E3360" s="2"/>
      <c r="F3360" s="22"/>
    </row>
    <row r="3361">
      <c r="A3361" s="24"/>
      <c r="B3361" s="6"/>
      <c r="C3361" s="7"/>
      <c r="D3361" s="6"/>
      <c r="E3361" s="2"/>
      <c r="F3361" s="22"/>
    </row>
    <row r="3362">
      <c r="A3362" s="24"/>
      <c r="B3362" s="6"/>
      <c r="C3362" s="7"/>
      <c r="D3362" s="6"/>
      <c r="E3362" s="2"/>
      <c r="F3362" s="22"/>
    </row>
    <row r="3363">
      <c r="A3363" s="24"/>
      <c r="B3363" s="6"/>
      <c r="C3363" s="7"/>
      <c r="D3363" s="6"/>
      <c r="E3363" s="2"/>
      <c r="F3363" s="22"/>
    </row>
    <row r="3364">
      <c r="A3364" s="24"/>
      <c r="B3364" s="6"/>
      <c r="C3364" s="7"/>
      <c r="D3364" s="6"/>
      <c r="E3364" s="2"/>
      <c r="F3364" s="22"/>
    </row>
    <row r="3365">
      <c r="A3365" s="24"/>
      <c r="B3365" s="6"/>
      <c r="C3365" s="7"/>
      <c r="D3365" s="6"/>
      <c r="E3365" s="2"/>
      <c r="F3365" s="22"/>
    </row>
    <row r="3366">
      <c r="A3366" s="24"/>
      <c r="B3366" s="6"/>
      <c r="C3366" s="7"/>
      <c r="D3366" s="6"/>
      <c r="E3366" s="2"/>
      <c r="F3366" s="22"/>
    </row>
    <row r="3367">
      <c r="A3367" s="24"/>
      <c r="B3367" s="6"/>
      <c r="C3367" s="7"/>
      <c r="D3367" s="6"/>
      <c r="E3367" s="2"/>
      <c r="F3367" s="22"/>
    </row>
    <row r="3368">
      <c r="A3368" s="24"/>
      <c r="B3368" s="6"/>
      <c r="C3368" s="7"/>
      <c r="D3368" s="6"/>
      <c r="E3368" s="2"/>
      <c r="F3368" s="22"/>
    </row>
    <row r="3369">
      <c r="A3369" s="24"/>
      <c r="B3369" s="6"/>
      <c r="C3369" s="7"/>
      <c r="D3369" s="6"/>
      <c r="E3369" s="2"/>
      <c r="F3369" s="22"/>
    </row>
    <row r="3370">
      <c r="A3370" s="24"/>
      <c r="B3370" s="6"/>
      <c r="C3370" s="7"/>
      <c r="D3370" s="6"/>
      <c r="E3370" s="2"/>
      <c r="F3370" s="22"/>
    </row>
    <row r="3371">
      <c r="A3371" s="24"/>
      <c r="B3371" s="6"/>
      <c r="C3371" s="7"/>
      <c r="D3371" s="6"/>
      <c r="E3371" s="2"/>
      <c r="F3371" s="22"/>
    </row>
    <row r="3372">
      <c r="A3372" s="24"/>
      <c r="B3372" s="6"/>
      <c r="C3372" s="7"/>
      <c r="D3372" s="6"/>
      <c r="E3372" s="2"/>
      <c r="F3372" s="22"/>
    </row>
    <row r="3373">
      <c r="A3373" s="24"/>
      <c r="B3373" s="6"/>
      <c r="C3373" s="7"/>
      <c r="D3373" s="6"/>
      <c r="E3373" s="2"/>
      <c r="F3373" s="22"/>
    </row>
    <row r="3374">
      <c r="A3374" s="24"/>
      <c r="B3374" s="6"/>
      <c r="C3374" s="7"/>
      <c r="D3374" s="6"/>
      <c r="E3374" s="2"/>
      <c r="F3374" s="22"/>
    </row>
    <row r="3375">
      <c r="A3375" s="24"/>
      <c r="B3375" s="6"/>
      <c r="C3375" s="7"/>
      <c r="D3375" s="6"/>
      <c r="E3375" s="2"/>
      <c r="F3375" s="22"/>
    </row>
    <row r="3376">
      <c r="A3376" s="24"/>
      <c r="B3376" s="6"/>
      <c r="C3376" s="7"/>
      <c r="D3376" s="6"/>
      <c r="E3376" s="2"/>
      <c r="F3376" s="22"/>
    </row>
    <row r="3377">
      <c r="A3377" s="24"/>
      <c r="B3377" s="6"/>
      <c r="C3377" s="7"/>
      <c r="D3377" s="6"/>
      <c r="E3377" s="2"/>
      <c r="F3377" s="22"/>
    </row>
    <row r="3378">
      <c r="A3378" s="24"/>
      <c r="B3378" s="6"/>
      <c r="C3378" s="7"/>
      <c r="D3378" s="6"/>
      <c r="E3378" s="2"/>
      <c r="F3378" s="22"/>
    </row>
    <row r="3379">
      <c r="A3379" s="24"/>
      <c r="B3379" s="6"/>
      <c r="C3379" s="7"/>
      <c r="D3379" s="6"/>
      <c r="E3379" s="2"/>
      <c r="F3379" s="22"/>
    </row>
    <row r="3380">
      <c r="A3380" s="24"/>
      <c r="B3380" s="6"/>
      <c r="C3380" s="7"/>
      <c r="D3380" s="6"/>
      <c r="E3380" s="2"/>
      <c r="F3380" s="22"/>
    </row>
    <row r="3381">
      <c r="A3381" s="24"/>
      <c r="B3381" s="6"/>
      <c r="C3381" s="7"/>
      <c r="D3381" s="6"/>
      <c r="E3381" s="2"/>
      <c r="F3381" s="22"/>
    </row>
    <row r="3382">
      <c r="A3382" s="24"/>
      <c r="B3382" s="6"/>
      <c r="C3382" s="7"/>
      <c r="D3382" s="6"/>
      <c r="E3382" s="2"/>
      <c r="F3382" s="22"/>
    </row>
    <row r="3383">
      <c r="A3383" s="24"/>
      <c r="B3383" s="6"/>
      <c r="C3383" s="7"/>
      <c r="D3383" s="6"/>
      <c r="E3383" s="2"/>
      <c r="F3383" s="22"/>
    </row>
    <row r="3384">
      <c r="A3384" s="24"/>
      <c r="B3384" s="6"/>
      <c r="C3384" s="7"/>
      <c r="D3384" s="6"/>
      <c r="E3384" s="2"/>
      <c r="F3384" s="22"/>
    </row>
    <row r="3385">
      <c r="A3385" s="24"/>
      <c r="B3385" s="6"/>
      <c r="C3385" s="7"/>
      <c r="D3385" s="6"/>
      <c r="E3385" s="2"/>
      <c r="F3385" s="22"/>
    </row>
    <row r="3386">
      <c r="A3386" s="24"/>
      <c r="B3386" s="6"/>
      <c r="C3386" s="7"/>
      <c r="D3386" s="6"/>
      <c r="E3386" s="2"/>
      <c r="F3386" s="22"/>
    </row>
    <row r="3387">
      <c r="A3387" s="24"/>
      <c r="B3387" s="6"/>
      <c r="C3387" s="7"/>
      <c r="D3387" s="6"/>
      <c r="E3387" s="2"/>
      <c r="F3387" s="22"/>
    </row>
    <row r="3388">
      <c r="A3388" s="24"/>
      <c r="B3388" s="6"/>
      <c r="C3388" s="7"/>
      <c r="D3388" s="6"/>
      <c r="E3388" s="2"/>
      <c r="F3388" s="22"/>
    </row>
    <row r="3389">
      <c r="A3389" s="24"/>
      <c r="B3389" s="6"/>
      <c r="C3389" s="7"/>
      <c r="D3389" s="6"/>
      <c r="E3389" s="2"/>
      <c r="F3389" s="22"/>
    </row>
    <row r="3390">
      <c r="A3390" s="24"/>
      <c r="B3390" s="6"/>
      <c r="C3390" s="7"/>
      <c r="D3390" s="6"/>
      <c r="E3390" s="2"/>
      <c r="F3390" s="22"/>
    </row>
    <row r="3391">
      <c r="A3391" s="24"/>
      <c r="B3391" s="6"/>
      <c r="C3391" s="7"/>
      <c r="D3391" s="6"/>
      <c r="E3391" s="2"/>
      <c r="F3391" s="22"/>
    </row>
    <row r="3392">
      <c r="A3392" s="24"/>
      <c r="B3392" s="6"/>
      <c r="C3392" s="7"/>
      <c r="D3392" s="6"/>
      <c r="E3392" s="2"/>
      <c r="F3392" s="22"/>
    </row>
    <row r="3393">
      <c r="A3393" s="24"/>
      <c r="B3393" s="6"/>
      <c r="C3393" s="7"/>
      <c r="D3393" s="6"/>
      <c r="E3393" s="2"/>
      <c r="F3393" s="22"/>
    </row>
    <row r="3394">
      <c r="A3394" s="24"/>
      <c r="B3394" s="6"/>
      <c r="C3394" s="7"/>
      <c r="D3394" s="6"/>
      <c r="E3394" s="2"/>
      <c r="F3394" s="22"/>
    </row>
    <row r="3395">
      <c r="A3395" s="24"/>
      <c r="B3395" s="6"/>
      <c r="C3395" s="7"/>
      <c r="D3395" s="6"/>
      <c r="E3395" s="2"/>
      <c r="F3395" s="22"/>
    </row>
    <row r="3396">
      <c r="A3396" s="24"/>
      <c r="B3396" s="6"/>
      <c r="C3396" s="7"/>
      <c r="D3396" s="6"/>
      <c r="E3396" s="2"/>
      <c r="F3396" s="22"/>
    </row>
    <row r="3397">
      <c r="A3397" s="24"/>
      <c r="B3397" s="6"/>
      <c r="C3397" s="7"/>
      <c r="D3397" s="6"/>
      <c r="E3397" s="2"/>
      <c r="F3397" s="22"/>
    </row>
    <row r="3398">
      <c r="A3398" s="24"/>
      <c r="B3398" s="6"/>
      <c r="C3398" s="7"/>
      <c r="D3398" s="6"/>
      <c r="E3398" s="2"/>
      <c r="F3398" s="22"/>
    </row>
    <row r="3399">
      <c r="A3399" s="24"/>
      <c r="B3399" s="6"/>
      <c r="C3399" s="7"/>
      <c r="D3399" s="6"/>
      <c r="E3399" s="2"/>
      <c r="F3399" s="22"/>
    </row>
    <row r="3400">
      <c r="A3400" s="24"/>
      <c r="B3400" s="6"/>
      <c r="C3400" s="7"/>
      <c r="D3400" s="6"/>
      <c r="E3400" s="2"/>
      <c r="F3400" s="22"/>
    </row>
    <row r="3401">
      <c r="A3401" s="24"/>
      <c r="B3401" s="6"/>
      <c r="C3401" s="7"/>
      <c r="D3401" s="6"/>
      <c r="E3401" s="2"/>
      <c r="F3401" s="22"/>
    </row>
    <row r="3402">
      <c r="A3402" s="24"/>
      <c r="B3402" s="6"/>
      <c r="C3402" s="7"/>
      <c r="D3402" s="6"/>
      <c r="E3402" s="2"/>
      <c r="F3402" s="22"/>
    </row>
    <row r="3403">
      <c r="A3403" s="24"/>
      <c r="B3403" s="6"/>
      <c r="C3403" s="7"/>
      <c r="D3403" s="6"/>
      <c r="E3403" s="2"/>
      <c r="F3403" s="22"/>
    </row>
    <row r="3404">
      <c r="A3404" s="24"/>
      <c r="B3404" s="6"/>
      <c r="C3404" s="7"/>
      <c r="D3404" s="6"/>
      <c r="E3404" s="2"/>
      <c r="F3404" s="22"/>
    </row>
    <row r="3405">
      <c r="A3405" s="24"/>
      <c r="B3405" s="6"/>
      <c r="C3405" s="7"/>
      <c r="D3405" s="6"/>
      <c r="E3405" s="2"/>
      <c r="F3405" s="22"/>
    </row>
    <row r="3406">
      <c r="A3406" s="24"/>
      <c r="B3406" s="6"/>
      <c r="C3406" s="7"/>
      <c r="D3406" s="6"/>
      <c r="E3406" s="2"/>
      <c r="F3406" s="22"/>
    </row>
    <row r="3407">
      <c r="A3407" s="24"/>
      <c r="B3407" s="6"/>
      <c r="C3407" s="7"/>
      <c r="D3407" s="6"/>
      <c r="E3407" s="2"/>
      <c r="F3407" s="22"/>
    </row>
    <row r="3408">
      <c r="A3408" s="24"/>
      <c r="B3408" s="6"/>
      <c r="C3408" s="7"/>
      <c r="D3408" s="6"/>
      <c r="E3408" s="2"/>
      <c r="F3408" s="22"/>
    </row>
    <row r="3409">
      <c r="A3409" s="24"/>
      <c r="B3409" s="6"/>
      <c r="C3409" s="7"/>
      <c r="D3409" s="6"/>
      <c r="E3409" s="2"/>
      <c r="F3409" s="22"/>
    </row>
    <row r="3410">
      <c r="A3410" s="24"/>
      <c r="B3410" s="6"/>
      <c r="C3410" s="7"/>
      <c r="D3410" s="6"/>
      <c r="E3410" s="2"/>
      <c r="F3410" s="22"/>
    </row>
    <row r="3411">
      <c r="A3411" s="24"/>
      <c r="B3411" s="6"/>
      <c r="C3411" s="7"/>
      <c r="D3411" s="6"/>
      <c r="E3411" s="2"/>
      <c r="F3411" s="22"/>
    </row>
    <row r="3412">
      <c r="A3412" s="24"/>
      <c r="B3412" s="6"/>
      <c r="C3412" s="7"/>
      <c r="D3412" s="6"/>
      <c r="E3412" s="2"/>
      <c r="F3412" s="22"/>
    </row>
    <row r="3413">
      <c r="A3413" s="24"/>
      <c r="B3413" s="6"/>
      <c r="C3413" s="7"/>
      <c r="D3413" s="6"/>
      <c r="E3413" s="2"/>
      <c r="F3413" s="22"/>
    </row>
    <row r="3414">
      <c r="A3414" s="24"/>
      <c r="B3414" s="6"/>
      <c r="C3414" s="7"/>
      <c r="D3414" s="6"/>
      <c r="E3414" s="2"/>
      <c r="F3414" s="22"/>
    </row>
    <row r="3415">
      <c r="A3415" s="24"/>
      <c r="B3415" s="6"/>
      <c r="C3415" s="7"/>
      <c r="D3415" s="6"/>
      <c r="E3415" s="2"/>
      <c r="F3415" s="22"/>
    </row>
    <row r="3416">
      <c r="A3416" s="24"/>
      <c r="B3416" s="6"/>
      <c r="C3416" s="7"/>
      <c r="D3416" s="6"/>
      <c r="E3416" s="2"/>
      <c r="F3416" s="22"/>
    </row>
    <row r="3417">
      <c r="A3417" s="24"/>
      <c r="B3417" s="6"/>
      <c r="C3417" s="7"/>
      <c r="D3417" s="6"/>
      <c r="E3417" s="2"/>
      <c r="F3417" s="22"/>
    </row>
    <row r="3418">
      <c r="A3418" s="24"/>
      <c r="B3418" s="6"/>
      <c r="C3418" s="7"/>
      <c r="D3418" s="6"/>
      <c r="E3418" s="2"/>
      <c r="F3418" s="22"/>
    </row>
    <row r="3419">
      <c r="A3419" s="24"/>
      <c r="B3419" s="6"/>
      <c r="C3419" s="7"/>
      <c r="D3419" s="6"/>
      <c r="E3419" s="2"/>
      <c r="F3419" s="22"/>
    </row>
    <row r="3420">
      <c r="A3420" s="24"/>
      <c r="B3420" s="6"/>
      <c r="C3420" s="7"/>
      <c r="D3420" s="6"/>
      <c r="E3420" s="2"/>
      <c r="F3420" s="22"/>
    </row>
    <row r="3421">
      <c r="A3421" s="24"/>
      <c r="B3421" s="6"/>
      <c r="C3421" s="7"/>
      <c r="D3421" s="6"/>
      <c r="E3421" s="2"/>
      <c r="F3421" s="22"/>
    </row>
    <row r="3422">
      <c r="A3422" s="24"/>
      <c r="B3422" s="6"/>
      <c r="C3422" s="7"/>
      <c r="D3422" s="6"/>
      <c r="E3422" s="2"/>
      <c r="F3422" s="22"/>
    </row>
    <row r="3423">
      <c r="A3423" s="24"/>
      <c r="B3423" s="6"/>
      <c r="C3423" s="7"/>
      <c r="D3423" s="6"/>
      <c r="E3423" s="2"/>
      <c r="F3423" s="22"/>
    </row>
    <row r="3424">
      <c r="A3424" s="24"/>
      <c r="B3424" s="6"/>
      <c r="C3424" s="7"/>
      <c r="D3424" s="6"/>
      <c r="E3424" s="2"/>
      <c r="F3424" s="22"/>
    </row>
    <row r="3425">
      <c r="A3425" s="24"/>
      <c r="B3425" s="6"/>
      <c r="C3425" s="7"/>
      <c r="D3425" s="6"/>
      <c r="E3425" s="2"/>
      <c r="F3425" s="22"/>
    </row>
    <row r="3426">
      <c r="A3426" s="24"/>
      <c r="B3426" s="6"/>
      <c r="C3426" s="7"/>
      <c r="D3426" s="6"/>
      <c r="E3426" s="2"/>
      <c r="F3426" s="22"/>
    </row>
    <row r="3427">
      <c r="A3427" s="24"/>
      <c r="B3427" s="6"/>
      <c r="C3427" s="7"/>
      <c r="D3427" s="6"/>
      <c r="E3427" s="2"/>
      <c r="F3427" s="22"/>
    </row>
    <row r="3428">
      <c r="A3428" s="24"/>
      <c r="B3428" s="6"/>
      <c r="C3428" s="7"/>
      <c r="D3428" s="6"/>
      <c r="E3428" s="2"/>
      <c r="F3428" s="22"/>
    </row>
    <row r="3429">
      <c r="A3429" s="24"/>
      <c r="B3429" s="6"/>
      <c r="C3429" s="7"/>
      <c r="D3429" s="6"/>
      <c r="E3429" s="2"/>
      <c r="F3429" s="22"/>
    </row>
    <row r="3430">
      <c r="A3430" s="24"/>
      <c r="B3430" s="6"/>
      <c r="C3430" s="7"/>
      <c r="D3430" s="6"/>
      <c r="E3430" s="2"/>
      <c r="F3430" s="22"/>
    </row>
    <row r="3431">
      <c r="A3431" s="24"/>
      <c r="B3431" s="6"/>
      <c r="C3431" s="7"/>
      <c r="D3431" s="6"/>
      <c r="E3431" s="2"/>
      <c r="F3431" s="22"/>
    </row>
    <row r="3432">
      <c r="A3432" s="24"/>
      <c r="B3432" s="6"/>
      <c r="C3432" s="7"/>
      <c r="D3432" s="6"/>
      <c r="E3432" s="2"/>
      <c r="F3432" s="22"/>
    </row>
    <row r="3433">
      <c r="A3433" s="24"/>
      <c r="B3433" s="6"/>
      <c r="C3433" s="7"/>
      <c r="D3433" s="6"/>
      <c r="E3433" s="2"/>
      <c r="F3433" s="22"/>
    </row>
    <row r="3434">
      <c r="A3434" s="24"/>
      <c r="B3434" s="6"/>
      <c r="C3434" s="7"/>
      <c r="D3434" s="6"/>
      <c r="E3434" s="2"/>
      <c r="F3434" s="22"/>
    </row>
    <row r="3435">
      <c r="A3435" s="24"/>
      <c r="B3435" s="6"/>
      <c r="C3435" s="7"/>
      <c r="D3435" s="6"/>
      <c r="E3435" s="2"/>
      <c r="F3435" s="22"/>
    </row>
    <row r="3436">
      <c r="A3436" s="24"/>
      <c r="B3436" s="6"/>
      <c r="C3436" s="7"/>
      <c r="D3436" s="6"/>
      <c r="E3436" s="2"/>
      <c r="F3436" s="22"/>
    </row>
    <row r="3437">
      <c r="A3437" s="24"/>
      <c r="B3437" s="6"/>
      <c r="C3437" s="7"/>
      <c r="D3437" s="6"/>
      <c r="E3437" s="2"/>
      <c r="F3437" s="22"/>
    </row>
    <row r="3438">
      <c r="A3438" s="24"/>
      <c r="B3438" s="6"/>
      <c r="C3438" s="7"/>
      <c r="D3438" s="6"/>
      <c r="E3438" s="2"/>
      <c r="F3438" s="22"/>
    </row>
    <row r="3439">
      <c r="A3439" s="24"/>
      <c r="B3439" s="6"/>
      <c r="C3439" s="7"/>
      <c r="D3439" s="6"/>
      <c r="E3439" s="2"/>
      <c r="F3439" s="22"/>
    </row>
    <row r="3440">
      <c r="A3440" s="24"/>
      <c r="B3440" s="6"/>
      <c r="C3440" s="7"/>
      <c r="D3440" s="6"/>
      <c r="E3440" s="2"/>
      <c r="F3440" s="22"/>
    </row>
    <row r="3441">
      <c r="A3441" s="24"/>
      <c r="B3441" s="6"/>
      <c r="C3441" s="7"/>
      <c r="D3441" s="6"/>
      <c r="E3441" s="2"/>
      <c r="F3441" s="22"/>
    </row>
    <row r="3442">
      <c r="A3442" s="24"/>
      <c r="B3442" s="6"/>
      <c r="C3442" s="7"/>
      <c r="D3442" s="6"/>
      <c r="E3442" s="2"/>
      <c r="F3442" s="22"/>
    </row>
    <row r="3443">
      <c r="A3443" s="24"/>
      <c r="B3443" s="6"/>
      <c r="C3443" s="7"/>
      <c r="D3443" s="6"/>
      <c r="E3443" s="2"/>
      <c r="F3443" s="22"/>
    </row>
    <row r="3444">
      <c r="A3444" s="24"/>
      <c r="B3444" s="6"/>
      <c r="C3444" s="7"/>
      <c r="D3444" s="6"/>
      <c r="E3444" s="2"/>
      <c r="F3444" s="22"/>
    </row>
    <row r="3445">
      <c r="A3445" s="24"/>
      <c r="B3445" s="6"/>
      <c r="C3445" s="7"/>
      <c r="D3445" s="6"/>
      <c r="E3445" s="2"/>
      <c r="F3445" s="22"/>
    </row>
    <row r="3446">
      <c r="A3446" s="24"/>
      <c r="B3446" s="6"/>
      <c r="C3446" s="7"/>
      <c r="D3446" s="6"/>
      <c r="E3446" s="2"/>
      <c r="F3446" s="22"/>
    </row>
    <row r="3447">
      <c r="A3447" s="24"/>
      <c r="B3447" s="6"/>
      <c r="C3447" s="7"/>
      <c r="D3447" s="6"/>
      <c r="E3447" s="2"/>
      <c r="F3447" s="22"/>
    </row>
    <row r="3448">
      <c r="A3448" s="24"/>
      <c r="B3448" s="6"/>
      <c r="C3448" s="7"/>
      <c r="D3448" s="6"/>
      <c r="E3448" s="2"/>
      <c r="F3448" s="22"/>
    </row>
    <row r="3449">
      <c r="A3449" s="24"/>
      <c r="B3449" s="6"/>
      <c r="C3449" s="7"/>
      <c r="D3449" s="6"/>
      <c r="E3449" s="2"/>
      <c r="F3449" s="22"/>
    </row>
    <row r="3450">
      <c r="A3450" s="24"/>
      <c r="B3450" s="6"/>
      <c r="C3450" s="7"/>
      <c r="D3450" s="6"/>
      <c r="E3450" s="2"/>
      <c r="F3450" s="22"/>
    </row>
    <row r="3451">
      <c r="A3451" s="24"/>
      <c r="B3451" s="6"/>
      <c r="C3451" s="7"/>
      <c r="D3451" s="6"/>
      <c r="E3451" s="2"/>
      <c r="F3451" s="22"/>
    </row>
    <row r="3452">
      <c r="A3452" s="24"/>
      <c r="B3452" s="6"/>
      <c r="C3452" s="7"/>
      <c r="D3452" s="6"/>
      <c r="E3452" s="2"/>
      <c r="F3452" s="22"/>
    </row>
    <row r="3453">
      <c r="A3453" s="24"/>
      <c r="B3453" s="6"/>
      <c r="C3453" s="7"/>
      <c r="D3453" s="6"/>
      <c r="E3453" s="2"/>
      <c r="F3453" s="22"/>
    </row>
    <row r="3454">
      <c r="A3454" s="24"/>
      <c r="B3454" s="6"/>
      <c r="C3454" s="7"/>
      <c r="D3454" s="6"/>
      <c r="E3454" s="2"/>
      <c r="F3454" s="22"/>
    </row>
    <row r="3455">
      <c r="A3455" s="24"/>
      <c r="B3455" s="6"/>
      <c r="C3455" s="7"/>
      <c r="D3455" s="6"/>
      <c r="E3455" s="2"/>
      <c r="F3455" s="22"/>
    </row>
    <row r="3456">
      <c r="A3456" s="24"/>
      <c r="B3456" s="6"/>
      <c r="C3456" s="7"/>
      <c r="D3456" s="6"/>
      <c r="E3456" s="2"/>
      <c r="F3456" s="22"/>
    </row>
    <row r="3457">
      <c r="A3457" s="24"/>
      <c r="B3457" s="6"/>
      <c r="C3457" s="7"/>
      <c r="D3457" s="6"/>
      <c r="E3457" s="2"/>
      <c r="F3457" s="22"/>
    </row>
    <row r="3458">
      <c r="A3458" s="24"/>
      <c r="B3458" s="6"/>
      <c r="C3458" s="7"/>
      <c r="D3458" s="6"/>
      <c r="E3458" s="2"/>
      <c r="F3458" s="22"/>
    </row>
    <row r="3459">
      <c r="A3459" s="24"/>
      <c r="B3459" s="6"/>
      <c r="C3459" s="7"/>
      <c r="D3459" s="6"/>
      <c r="E3459" s="2"/>
      <c r="F3459" s="22"/>
    </row>
    <row r="3460">
      <c r="A3460" s="24"/>
      <c r="B3460" s="6"/>
      <c r="C3460" s="7"/>
      <c r="D3460" s="6"/>
      <c r="E3460" s="2"/>
      <c r="F3460" s="22"/>
    </row>
    <row r="3461">
      <c r="A3461" s="24"/>
      <c r="B3461" s="6"/>
      <c r="C3461" s="7"/>
      <c r="D3461" s="6"/>
      <c r="E3461" s="2"/>
      <c r="F3461" s="22"/>
    </row>
    <row r="3462">
      <c r="A3462" s="24"/>
      <c r="B3462" s="6"/>
      <c r="C3462" s="7"/>
      <c r="D3462" s="6"/>
      <c r="E3462" s="2"/>
      <c r="F3462" s="22"/>
    </row>
    <row r="3463">
      <c r="A3463" s="24"/>
      <c r="B3463" s="6"/>
      <c r="C3463" s="7"/>
      <c r="D3463" s="6"/>
      <c r="E3463" s="2"/>
      <c r="F3463" s="22"/>
    </row>
    <row r="3464">
      <c r="A3464" s="24"/>
      <c r="B3464" s="6"/>
      <c r="C3464" s="7"/>
      <c r="D3464" s="6"/>
      <c r="E3464" s="2"/>
      <c r="F3464" s="22"/>
    </row>
    <row r="3465">
      <c r="A3465" s="24"/>
      <c r="B3465" s="6"/>
      <c r="C3465" s="7"/>
      <c r="D3465" s="6"/>
      <c r="E3465" s="2"/>
      <c r="F3465" s="22"/>
    </row>
    <row r="3466">
      <c r="A3466" s="24"/>
      <c r="B3466" s="6"/>
      <c r="C3466" s="7"/>
      <c r="D3466" s="6"/>
      <c r="E3466" s="2"/>
      <c r="F3466" s="22"/>
    </row>
    <row r="3467">
      <c r="A3467" s="24"/>
      <c r="B3467" s="6"/>
      <c r="C3467" s="7"/>
      <c r="D3467" s="6"/>
      <c r="E3467" s="2"/>
      <c r="F3467" s="22"/>
    </row>
    <row r="3468">
      <c r="A3468" s="24"/>
      <c r="B3468" s="6"/>
      <c r="C3468" s="7"/>
      <c r="D3468" s="6"/>
      <c r="E3468" s="2"/>
      <c r="F3468" s="22"/>
    </row>
    <row r="3469">
      <c r="A3469" s="24"/>
      <c r="B3469" s="6"/>
      <c r="C3469" s="7"/>
      <c r="D3469" s="6"/>
      <c r="E3469" s="2"/>
      <c r="F3469" s="22"/>
    </row>
    <row r="3470">
      <c r="A3470" s="24"/>
      <c r="B3470" s="6"/>
      <c r="C3470" s="7"/>
      <c r="D3470" s="6"/>
      <c r="E3470" s="2"/>
      <c r="F3470" s="22"/>
    </row>
    <row r="3471">
      <c r="A3471" s="24"/>
      <c r="B3471" s="6"/>
      <c r="C3471" s="7"/>
      <c r="D3471" s="6"/>
      <c r="E3471" s="2"/>
      <c r="F3471" s="22"/>
    </row>
    <row r="3472">
      <c r="A3472" s="24"/>
      <c r="B3472" s="6"/>
      <c r="C3472" s="7"/>
      <c r="D3472" s="6"/>
      <c r="E3472" s="2"/>
      <c r="F3472" s="22"/>
    </row>
    <row r="3473">
      <c r="A3473" s="24"/>
      <c r="B3473" s="6"/>
      <c r="C3473" s="7"/>
      <c r="D3473" s="6"/>
      <c r="E3473" s="2"/>
      <c r="F3473" s="22"/>
    </row>
    <row r="3474">
      <c r="A3474" s="24"/>
      <c r="B3474" s="6"/>
      <c r="C3474" s="7"/>
      <c r="D3474" s="6"/>
      <c r="E3474" s="2"/>
      <c r="F3474" s="22"/>
    </row>
    <row r="3475">
      <c r="A3475" s="24"/>
      <c r="B3475" s="6"/>
      <c r="C3475" s="7"/>
      <c r="D3475" s="6"/>
      <c r="E3475" s="2"/>
      <c r="F3475" s="22"/>
    </row>
    <row r="3476">
      <c r="A3476" s="24"/>
      <c r="B3476" s="6"/>
      <c r="C3476" s="7"/>
      <c r="D3476" s="6"/>
      <c r="E3476" s="2"/>
      <c r="F3476" s="22"/>
    </row>
    <row r="3477">
      <c r="A3477" s="24"/>
      <c r="B3477" s="6"/>
      <c r="C3477" s="7"/>
      <c r="D3477" s="6"/>
      <c r="E3477" s="2"/>
      <c r="F3477" s="22"/>
    </row>
    <row r="3478">
      <c r="A3478" s="24"/>
      <c r="B3478" s="6"/>
      <c r="C3478" s="7"/>
      <c r="D3478" s="6"/>
      <c r="E3478" s="2"/>
      <c r="F3478" s="22"/>
    </row>
    <row r="3479">
      <c r="A3479" s="24"/>
      <c r="B3479" s="6"/>
      <c r="C3479" s="7"/>
      <c r="D3479" s="6"/>
      <c r="E3479" s="2"/>
      <c r="F3479" s="22"/>
    </row>
    <row r="3480">
      <c r="A3480" s="24"/>
      <c r="B3480" s="6"/>
      <c r="C3480" s="7"/>
      <c r="D3480" s="6"/>
      <c r="E3480" s="2"/>
      <c r="F3480" s="22"/>
    </row>
    <row r="3481">
      <c r="A3481" s="24"/>
      <c r="B3481" s="6"/>
      <c r="C3481" s="7"/>
      <c r="D3481" s="6"/>
      <c r="E3481" s="2"/>
      <c r="F3481" s="22"/>
    </row>
    <row r="3482">
      <c r="A3482" s="24"/>
      <c r="B3482" s="6"/>
      <c r="C3482" s="7"/>
      <c r="D3482" s="6"/>
      <c r="E3482" s="2"/>
      <c r="F3482" s="22"/>
    </row>
    <row r="3483">
      <c r="A3483" s="24"/>
      <c r="B3483" s="6"/>
      <c r="C3483" s="7"/>
      <c r="D3483" s="6"/>
      <c r="E3483" s="2"/>
      <c r="F3483" s="22"/>
    </row>
    <row r="3484">
      <c r="A3484" s="24"/>
      <c r="B3484" s="6"/>
      <c r="C3484" s="7"/>
      <c r="D3484" s="6"/>
      <c r="E3484" s="2"/>
      <c r="F3484" s="22"/>
    </row>
    <row r="3485">
      <c r="A3485" s="24"/>
      <c r="B3485" s="6"/>
      <c r="C3485" s="7"/>
      <c r="D3485" s="6"/>
      <c r="E3485" s="2"/>
      <c r="F3485" s="22"/>
    </row>
    <row r="3486">
      <c r="A3486" s="24"/>
      <c r="B3486" s="6"/>
      <c r="C3486" s="7"/>
      <c r="D3486" s="6"/>
      <c r="E3486" s="2"/>
      <c r="F3486" s="22"/>
    </row>
    <row r="3487">
      <c r="A3487" s="24"/>
      <c r="B3487" s="6"/>
      <c r="C3487" s="7"/>
      <c r="D3487" s="6"/>
      <c r="E3487" s="2"/>
      <c r="F3487" s="22"/>
    </row>
    <row r="3488">
      <c r="A3488" s="24"/>
      <c r="B3488" s="6"/>
      <c r="C3488" s="7"/>
      <c r="D3488" s="6"/>
      <c r="E3488" s="2"/>
      <c r="F3488" s="22"/>
    </row>
    <row r="3489">
      <c r="A3489" s="24"/>
      <c r="B3489" s="6"/>
      <c r="C3489" s="7"/>
      <c r="D3489" s="6"/>
      <c r="E3489" s="2"/>
      <c r="F3489" s="22"/>
    </row>
    <row r="3490">
      <c r="A3490" s="24"/>
      <c r="B3490" s="6"/>
      <c r="C3490" s="7"/>
      <c r="D3490" s="6"/>
      <c r="E3490" s="2"/>
      <c r="F3490" s="22"/>
    </row>
    <row r="3491">
      <c r="A3491" s="24"/>
      <c r="B3491" s="6"/>
      <c r="C3491" s="7"/>
      <c r="D3491" s="6"/>
      <c r="E3491" s="2"/>
      <c r="F3491" s="22"/>
    </row>
    <row r="3492">
      <c r="A3492" s="24"/>
      <c r="B3492" s="6"/>
      <c r="C3492" s="7"/>
      <c r="D3492" s="6"/>
      <c r="E3492" s="2"/>
      <c r="F3492" s="22"/>
    </row>
    <row r="3493">
      <c r="A3493" s="24"/>
      <c r="B3493" s="6"/>
      <c r="C3493" s="7"/>
      <c r="D3493" s="6"/>
      <c r="E3493" s="2"/>
      <c r="F3493" s="22"/>
    </row>
    <row r="3494">
      <c r="A3494" s="24"/>
      <c r="B3494" s="6"/>
      <c r="C3494" s="7"/>
      <c r="D3494" s="6"/>
      <c r="E3494" s="2"/>
      <c r="F3494" s="22"/>
    </row>
    <row r="3495">
      <c r="A3495" s="24"/>
      <c r="B3495" s="6"/>
      <c r="C3495" s="7"/>
      <c r="D3495" s="6"/>
      <c r="E3495" s="2"/>
      <c r="F3495" s="22"/>
    </row>
    <row r="3496">
      <c r="A3496" s="24"/>
      <c r="B3496" s="6"/>
      <c r="C3496" s="7"/>
      <c r="D3496" s="6"/>
      <c r="E3496" s="2"/>
      <c r="F3496" s="22"/>
    </row>
    <row r="3497">
      <c r="A3497" s="24"/>
      <c r="B3497" s="6"/>
      <c r="C3497" s="7"/>
      <c r="D3497" s="6"/>
      <c r="E3497" s="2"/>
      <c r="F3497" s="22"/>
    </row>
    <row r="3498">
      <c r="A3498" s="24"/>
      <c r="B3498" s="6"/>
      <c r="C3498" s="7"/>
      <c r="D3498" s="6"/>
      <c r="E3498" s="2"/>
      <c r="F3498" s="22"/>
    </row>
    <row r="3499">
      <c r="A3499" s="24"/>
      <c r="B3499" s="6"/>
      <c r="C3499" s="7"/>
      <c r="D3499" s="6"/>
      <c r="E3499" s="2"/>
      <c r="F3499" s="22"/>
    </row>
    <row r="3500">
      <c r="A3500" s="24"/>
      <c r="B3500" s="6"/>
      <c r="C3500" s="7"/>
      <c r="D3500" s="6"/>
      <c r="E3500" s="2"/>
      <c r="F3500" s="22"/>
    </row>
    <row r="3501">
      <c r="A3501" s="24"/>
      <c r="B3501" s="6"/>
      <c r="C3501" s="7"/>
      <c r="D3501" s="6"/>
      <c r="E3501" s="2"/>
      <c r="F3501" s="22"/>
    </row>
    <row r="3502">
      <c r="A3502" s="24"/>
      <c r="B3502" s="6"/>
      <c r="C3502" s="7"/>
      <c r="D3502" s="6"/>
      <c r="E3502" s="2"/>
      <c r="F3502" s="22"/>
    </row>
    <row r="3503">
      <c r="A3503" s="24"/>
      <c r="B3503" s="6"/>
      <c r="C3503" s="7"/>
      <c r="D3503" s="6"/>
      <c r="E3503" s="2"/>
      <c r="F3503" s="22"/>
    </row>
    <row r="3504">
      <c r="A3504" s="24"/>
      <c r="B3504" s="6"/>
      <c r="C3504" s="7"/>
      <c r="D3504" s="6"/>
      <c r="E3504" s="2"/>
      <c r="F3504" s="22"/>
    </row>
    <row r="3505">
      <c r="A3505" s="24"/>
      <c r="B3505" s="6"/>
      <c r="C3505" s="7"/>
      <c r="D3505" s="6"/>
      <c r="E3505" s="2"/>
      <c r="F3505" s="22"/>
    </row>
    <row r="3506">
      <c r="A3506" s="24"/>
      <c r="B3506" s="6"/>
      <c r="C3506" s="7"/>
      <c r="D3506" s="6"/>
      <c r="E3506" s="2"/>
      <c r="F3506" s="22"/>
    </row>
    <row r="3507">
      <c r="A3507" s="24"/>
      <c r="B3507" s="6"/>
      <c r="C3507" s="7"/>
      <c r="D3507" s="6"/>
      <c r="E3507" s="2"/>
      <c r="F3507" s="22"/>
    </row>
    <row r="3508">
      <c r="A3508" s="24"/>
      <c r="B3508" s="6"/>
      <c r="C3508" s="7"/>
      <c r="D3508" s="6"/>
      <c r="E3508" s="2"/>
      <c r="F3508" s="22"/>
    </row>
    <row r="3509">
      <c r="A3509" s="24"/>
      <c r="B3509" s="6"/>
      <c r="C3509" s="7"/>
      <c r="D3509" s="6"/>
      <c r="E3509" s="2"/>
      <c r="F3509" s="22"/>
    </row>
    <row r="3510">
      <c r="A3510" s="24"/>
      <c r="B3510" s="6"/>
      <c r="C3510" s="7"/>
      <c r="D3510" s="6"/>
      <c r="E3510" s="2"/>
      <c r="F3510" s="22"/>
    </row>
    <row r="3511">
      <c r="A3511" s="24"/>
      <c r="B3511" s="6"/>
      <c r="C3511" s="7"/>
      <c r="D3511" s="6"/>
      <c r="E3511" s="2"/>
      <c r="F3511" s="22"/>
    </row>
    <row r="3512">
      <c r="A3512" s="24"/>
      <c r="B3512" s="6"/>
      <c r="C3512" s="7"/>
      <c r="D3512" s="6"/>
      <c r="E3512" s="2"/>
      <c r="F3512" s="22"/>
    </row>
    <row r="3513">
      <c r="A3513" s="24"/>
      <c r="B3513" s="6"/>
      <c r="C3513" s="7"/>
      <c r="D3513" s="6"/>
      <c r="E3513" s="2"/>
      <c r="F3513" s="22"/>
    </row>
    <row r="3514">
      <c r="A3514" s="24"/>
      <c r="B3514" s="6"/>
      <c r="C3514" s="7"/>
      <c r="D3514" s="6"/>
      <c r="E3514" s="2"/>
      <c r="F3514" s="22"/>
    </row>
    <row r="3515">
      <c r="A3515" s="24"/>
      <c r="B3515" s="6"/>
      <c r="C3515" s="7"/>
      <c r="D3515" s="6"/>
      <c r="E3515" s="2"/>
      <c r="F3515" s="22"/>
    </row>
    <row r="3516">
      <c r="A3516" s="24"/>
      <c r="B3516" s="6"/>
      <c r="C3516" s="7"/>
      <c r="D3516" s="6"/>
      <c r="E3516" s="2"/>
      <c r="F3516" s="22"/>
    </row>
    <row r="3517">
      <c r="A3517" s="24"/>
      <c r="B3517" s="6"/>
      <c r="C3517" s="7"/>
      <c r="D3517" s="6"/>
      <c r="E3517" s="2"/>
      <c r="F3517" s="22"/>
    </row>
    <row r="3518">
      <c r="A3518" s="24"/>
      <c r="B3518" s="6"/>
      <c r="C3518" s="7"/>
      <c r="D3518" s="6"/>
      <c r="E3518" s="2"/>
      <c r="F3518" s="22"/>
    </row>
    <row r="3519">
      <c r="A3519" s="24"/>
      <c r="B3519" s="6"/>
      <c r="C3519" s="7"/>
      <c r="D3519" s="6"/>
      <c r="E3519" s="2"/>
      <c r="F3519" s="22"/>
    </row>
    <row r="3520">
      <c r="A3520" s="24"/>
      <c r="B3520" s="6"/>
      <c r="C3520" s="7"/>
      <c r="D3520" s="6"/>
      <c r="E3520" s="2"/>
      <c r="F3520" s="22"/>
    </row>
    <row r="3521">
      <c r="A3521" s="24"/>
      <c r="B3521" s="6"/>
      <c r="C3521" s="7"/>
      <c r="D3521" s="6"/>
      <c r="E3521" s="2"/>
      <c r="F3521" s="22"/>
    </row>
    <row r="3522">
      <c r="A3522" s="24"/>
      <c r="B3522" s="6"/>
      <c r="C3522" s="7"/>
      <c r="D3522" s="6"/>
      <c r="E3522" s="2"/>
      <c r="F3522" s="22"/>
    </row>
    <row r="3523">
      <c r="A3523" s="24"/>
      <c r="B3523" s="6"/>
      <c r="C3523" s="7"/>
      <c r="D3523" s="6"/>
      <c r="E3523" s="2"/>
      <c r="F3523" s="22"/>
    </row>
    <row r="3524">
      <c r="A3524" s="24"/>
      <c r="B3524" s="6"/>
      <c r="C3524" s="7"/>
      <c r="D3524" s="6"/>
      <c r="E3524" s="2"/>
      <c r="F3524" s="22"/>
    </row>
    <row r="3525">
      <c r="A3525" s="24"/>
      <c r="B3525" s="6"/>
      <c r="C3525" s="7"/>
      <c r="D3525" s="6"/>
      <c r="E3525" s="2"/>
      <c r="F3525" s="22"/>
    </row>
    <row r="3526">
      <c r="A3526" s="24"/>
      <c r="B3526" s="6"/>
      <c r="C3526" s="7"/>
      <c r="D3526" s="6"/>
      <c r="E3526" s="2"/>
      <c r="F3526" s="22"/>
    </row>
    <row r="3527">
      <c r="A3527" s="24"/>
      <c r="B3527" s="6"/>
      <c r="C3527" s="7"/>
      <c r="D3527" s="6"/>
      <c r="E3527" s="2"/>
      <c r="F3527" s="22"/>
    </row>
    <row r="3528">
      <c r="A3528" s="24"/>
      <c r="B3528" s="6"/>
      <c r="C3528" s="7"/>
      <c r="D3528" s="6"/>
      <c r="E3528" s="2"/>
      <c r="F3528" s="22"/>
    </row>
    <row r="3529">
      <c r="A3529" s="24"/>
      <c r="B3529" s="6"/>
      <c r="C3529" s="7"/>
      <c r="D3529" s="6"/>
      <c r="E3529" s="2"/>
      <c r="F3529" s="22"/>
    </row>
    <row r="3530">
      <c r="A3530" s="24"/>
      <c r="B3530" s="6"/>
      <c r="C3530" s="7"/>
      <c r="D3530" s="6"/>
      <c r="E3530" s="2"/>
      <c r="F3530" s="22"/>
    </row>
    <row r="3531">
      <c r="A3531" s="24"/>
      <c r="B3531" s="6"/>
      <c r="C3531" s="7"/>
      <c r="D3531" s="6"/>
      <c r="E3531" s="2"/>
      <c r="F3531" s="22"/>
    </row>
    <row r="3532">
      <c r="A3532" s="24"/>
      <c r="B3532" s="6"/>
      <c r="C3532" s="7"/>
      <c r="D3532" s="6"/>
      <c r="E3532" s="2"/>
      <c r="F3532" s="22"/>
    </row>
    <row r="3533">
      <c r="A3533" s="24"/>
      <c r="B3533" s="6"/>
      <c r="C3533" s="7"/>
      <c r="D3533" s="6"/>
      <c r="E3533" s="2"/>
      <c r="F3533" s="22"/>
    </row>
    <row r="3534">
      <c r="A3534" s="24"/>
      <c r="B3534" s="6"/>
      <c r="C3534" s="7"/>
      <c r="D3534" s="6"/>
      <c r="E3534" s="2"/>
      <c r="F3534" s="22"/>
    </row>
    <row r="3535">
      <c r="A3535" s="24"/>
      <c r="B3535" s="6"/>
      <c r="C3535" s="7"/>
      <c r="D3535" s="6"/>
      <c r="E3535" s="2"/>
      <c r="F3535" s="22"/>
    </row>
    <row r="3536">
      <c r="A3536" s="24"/>
      <c r="B3536" s="6"/>
      <c r="C3536" s="7"/>
      <c r="D3536" s="6"/>
      <c r="E3536" s="2"/>
      <c r="F3536" s="22"/>
    </row>
    <row r="3537">
      <c r="A3537" s="24"/>
      <c r="B3537" s="6"/>
      <c r="C3537" s="7"/>
      <c r="D3537" s="6"/>
      <c r="E3537" s="2"/>
      <c r="F3537" s="22"/>
    </row>
    <row r="3538">
      <c r="A3538" s="24"/>
      <c r="B3538" s="6"/>
      <c r="C3538" s="7"/>
      <c r="D3538" s="6"/>
      <c r="E3538" s="2"/>
      <c r="F3538" s="22"/>
    </row>
    <row r="3539">
      <c r="A3539" s="24"/>
      <c r="B3539" s="6"/>
      <c r="C3539" s="7"/>
      <c r="D3539" s="6"/>
      <c r="E3539" s="2"/>
      <c r="F3539" s="22"/>
    </row>
    <row r="3540">
      <c r="A3540" s="24"/>
      <c r="B3540" s="6"/>
      <c r="C3540" s="7"/>
      <c r="D3540" s="6"/>
      <c r="E3540" s="2"/>
      <c r="F3540" s="22"/>
    </row>
    <row r="3541">
      <c r="A3541" s="24"/>
      <c r="B3541" s="6"/>
      <c r="C3541" s="7"/>
      <c r="D3541" s="6"/>
      <c r="E3541" s="2"/>
      <c r="F3541" s="22"/>
    </row>
    <row r="3542">
      <c r="A3542" s="24"/>
      <c r="B3542" s="6"/>
      <c r="C3542" s="7"/>
      <c r="D3542" s="6"/>
      <c r="E3542" s="2"/>
      <c r="F3542" s="22"/>
    </row>
    <row r="3543">
      <c r="A3543" s="24"/>
      <c r="B3543" s="6"/>
      <c r="C3543" s="7"/>
      <c r="D3543" s="6"/>
      <c r="E3543" s="2"/>
      <c r="F3543" s="22"/>
    </row>
    <row r="3544">
      <c r="A3544" s="24"/>
      <c r="B3544" s="6"/>
      <c r="C3544" s="7"/>
      <c r="D3544" s="6"/>
      <c r="E3544" s="2"/>
      <c r="F3544" s="22"/>
    </row>
    <row r="3545">
      <c r="A3545" s="24"/>
      <c r="B3545" s="6"/>
      <c r="C3545" s="7"/>
      <c r="D3545" s="6"/>
      <c r="E3545" s="2"/>
      <c r="F3545" s="22"/>
    </row>
    <row r="3546">
      <c r="A3546" s="24"/>
      <c r="B3546" s="6"/>
      <c r="C3546" s="7"/>
      <c r="D3546" s="6"/>
      <c r="E3546" s="2"/>
      <c r="F3546" s="22"/>
    </row>
    <row r="3547">
      <c r="A3547" s="24"/>
      <c r="B3547" s="6"/>
      <c r="C3547" s="7"/>
      <c r="D3547" s="6"/>
      <c r="E3547" s="2"/>
      <c r="F3547" s="22"/>
    </row>
    <row r="3548">
      <c r="A3548" s="24"/>
      <c r="B3548" s="6"/>
      <c r="C3548" s="7"/>
      <c r="D3548" s="6"/>
      <c r="E3548" s="2"/>
      <c r="F3548" s="22"/>
    </row>
    <row r="3549">
      <c r="A3549" s="24"/>
      <c r="B3549" s="6"/>
      <c r="C3549" s="7"/>
      <c r="D3549" s="6"/>
      <c r="E3549" s="2"/>
      <c r="F3549" s="22"/>
    </row>
    <row r="3550">
      <c r="A3550" s="24"/>
      <c r="B3550" s="6"/>
      <c r="C3550" s="7"/>
      <c r="D3550" s="6"/>
      <c r="E3550" s="2"/>
      <c r="F3550" s="22"/>
    </row>
    <row r="3551">
      <c r="A3551" s="24"/>
      <c r="B3551" s="6"/>
      <c r="C3551" s="7"/>
      <c r="D3551" s="6"/>
      <c r="E3551" s="2"/>
      <c r="F3551" s="22"/>
    </row>
    <row r="3552">
      <c r="A3552" s="24"/>
      <c r="B3552" s="6"/>
      <c r="C3552" s="7"/>
      <c r="D3552" s="6"/>
      <c r="E3552" s="2"/>
      <c r="F3552" s="22"/>
    </row>
    <row r="3553">
      <c r="A3553" s="24"/>
      <c r="B3553" s="6"/>
      <c r="C3553" s="7"/>
      <c r="D3553" s="6"/>
      <c r="E3553" s="2"/>
      <c r="F3553" s="22"/>
    </row>
    <row r="3554">
      <c r="A3554" s="24"/>
      <c r="B3554" s="6"/>
      <c r="C3554" s="7"/>
      <c r="D3554" s="6"/>
      <c r="E3554" s="2"/>
      <c r="F3554" s="22"/>
    </row>
    <row r="3555">
      <c r="A3555" s="24"/>
      <c r="B3555" s="6"/>
      <c r="C3555" s="7"/>
      <c r="D3555" s="6"/>
      <c r="E3555" s="2"/>
      <c r="F3555" s="22"/>
    </row>
    <row r="3556">
      <c r="A3556" s="24"/>
      <c r="B3556" s="6"/>
      <c r="C3556" s="7"/>
      <c r="D3556" s="6"/>
      <c r="E3556" s="2"/>
      <c r="F3556" s="22"/>
    </row>
    <row r="3557">
      <c r="A3557" s="24"/>
      <c r="B3557" s="6"/>
      <c r="C3557" s="7"/>
      <c r="D3557" s="6"/>
      <c r="E3557" s="2"/>
      <c r="F3557" s="22"/>
    </row>
    <row r="3558">
      <c r="A3558" s="24"/>
      <c r="B3558" s="6"/>
      <c r="C3558" s="7"/>
      <c r="D3558" s="6"/>
      <c r="E3558" s="2"/>
      <c r="F3558" s="22"/>
    </row>
    <row r="3559">
      <c r="A3559" s="24"/>
      <c r="B3559" s="6"/>
      <c r="C3559" s="7"/>
      <c r="D3559" s="6"/>
      <c r="E3559" s="2"/>
      <c r="F3559" s="22"/>
    </row>
    <row r="3560">
      <c r="A3560" s="24"/>
      <c r="B3560" s="6"/>
      <c r="C3560" s="7"/>
      <c r="D3560" s="6"/>
      <c r="E3560" s="2"/>
      <c r="F3560" s="22"/>
    </row>
    <row r="3561">
      <c r="A3561" s="24"/>
      <c r="B3561" s="6"/>
      <c r="C3561" s="7"/>
      <c r="D3561" s="6"/>
      <c r="E3561" s="2"/>
      <c r="F3561" s="22"/>
    </row>
    <row r="3562">
      <c r="A3562" s="24"/>
      <c r="B3562" s="6"/>
      <c r="C3562" s="7"/>
      <c r="D3562" s="6"/>
      <c r="E3562" s="2"/>
      <c r="F3562" s="22"/>
    </row>
    <row r="3563">
      <c r="A3563" s="24"/>
      <c r="B3563" s="6"/>
      <c r="C3563" s="7"/>
      <c r="D3563" s="6"/>
      <c r="E3563" s="2"/>
      <c r="F3563" s="22"/>
    </row>
    <row r="3564">
      <c r="A3564" s="24"/>
      <c r="B3564" s="6"/>
      <c r="C3564" s="7"/>
      <c r="D3564" s="6"/>
      <c r="E3564" s="2"/>
      <c r="F3564" s="22"/>
    </row>
    <row r="3565">
      <c r="A3565" s="24"/>
      <c r="B3565" s="6"/>
      <c r="C3565" s="7"/>
      <c r="D3565" s="6"/>
      <c r="E3565" s="2"/>
      <c r="F3565" s="22"/>
    </row>
    <row r="3566">
      <c r="A3566" s="24"/>
      <c r="B3566" s="6"/>
      <c r="C3566" s="7"/>
      <c r="D3566" s="6"/>
      <c r="E3566" s="2"/>
      <c r="F3566" s="22"/>
    </row>
    <row r="3567">
      <c r="A3567" s="24"/>
      <c r="B3567" s="6"/>
      <c r="C3567" s="7"/>
      <c r="D3567" s="6"/>
      <c r="E3567" s="2"/>
      <c r="F3567" s="22"/>
    </row>
    <row r="3568">
      <c r="A3568" s="24"/>
      <c r="B3568" s="6"/>
      <c r="C3568" s="7"/>
      <c r="D3568" s="6"/>
      <c r="E3568" s="2"/>
      <c r="F3568" s="22"/>
    </row>
    <row r="3569">
      <c r="A3569" s="24"/>
      <c r="B3569" s="6"/>
      <c r="C3569" s="7"/>
      <c r="D3569" s="6"/>
      <c r="E3569" s="2"/>
      <c r="F3569" s="22"/>
    </row>
    <row r="3570">
      <c r="A3570" s="24"/>
      <c r="B3570" s="6"/>
      <c r="C3570" s="7"/>
      <c r="D3570" s="6"/>
      <c r="E3570" s="2"/>
      <c r="F3570" s="22"/>
    </row>
    <row r="3571">
      <c r="A3571" s="24"/>
      <c r="B3571" s="6"/>
      <c r="C3571" s="7"/>
      <c r="D3571" s="6"/>
      <c r="E3571" s="2"/>
      <c r="F3571" s="22"/>
    </row>
    <row r="3572">
      <c r="A3572" s="24"/>
      <c r="B3572" s="6"/>
      <c r="C3572" s="7"/>
      <c r="D3572" s="6"/>
      <c r="E3572" s="2"/>
      <c r="F3572" s="22"/>
    </row>
    <row r="3573">
      <c r="A3573" s="24"/>
      <c r="B3573" s="6"/>
      <c r="C3573" s="7"/>
      <c r="D3573" s="6"/>
      <c r="E3573" s="2"/>
      <c r="F3573" s="22"/>
    </row>
    <row r="3574">
      <c r="A3574" s="24"/>
      <c r="B3574" s="6"/>
      <c r="C3574" s="7"/>
      <c r="D3574" s="6"/>
      <c r="E3574" s="2"/>
      <c r="F3574" s="22"/>
    </row>
    <row r="3575">
      <c r="A3575" s="24"/>
      <c r="B3575" s="6"/>
      <c r="C3575" s="7"/>
      <c r="D3575" s="6"/>
      <c r="E3575" s="2"/>
      <c r="F3575" s="22"/>
    </row>
    <row r="3576">
      <c r="A3576" s="24"/>
      <c r="B3576" s="6"/>
      <c r="C3576" s="7"/>
      <c r="D3576" s="6"/>
      <c r="E3576" s="2"/>
      <c r="F3576" s="22"/>
    </row>
    <row r="3577">
      <c r="A3577" s="24"/>
      <c r="B3577" s="6"/>
      <c r="C3577" s="7"/>
      <c r="D3577" s="6"/>
      <c r="E3577" s="2"/>
      <c r="F3577" s="22"/>
    </row>
    <row r="3578">
      <c r="A3578" s="24"/>
      <c r="B3578" s="6"/>
      <c r="C3578" s="7"/>
      <c r="D3578" s="6"/>
      <c r="E3578" s="2"/>
      <c r="F3578" s="22"/>
    </row>
    <row r="3579">
      <c r="A3579" s="24"/>
      <c r="B3579" s="6"/>
      <c r="C3579" s="7"/>
      <c r="D3579" s="6"/>
      <c r="E3579" s="2"/>
      <c r="F3579" s="22"/>
    </row>
    <row r="3580">
      <c r="A3580" s="24"/>
      <c r="B3580" s="6"/>
      <c r="C3580" s="7"/>
      <c r="D3580" s="6"/>
      <c r="E3580" s="2"/>
      <c r="F3580" s="22"/>
    </row>
    <row r="3581">
      <c r="A3581" s="24"/>
      <c r="B3581" s="6"/>
      <c r="C3581" s="7"/>
      <c r="D3581" s="6"/>
      <c r="E3581" s="2"/>
      <c r="F3581" s="22"/>
    </row>
    <row r="3582">
      <c r="A3582" s="24"/>
      <c r="B3582" s="6"/>
      <c r="C3582" s="7"/>
      <c r="D3582" s="6"/>
      <c r="E3582" s="2"/>
      <c r="F3582" s="22"/>
    </row>
    <row r="3583">
      <c r="A3583" s="24"/>
      <c r="B3583" s="6"/>
      <c r="C3583" s="7"/>
      <c r="D3583" s="6"/>
      <c r="E3583" s="2"/>
      <c r="F3583" s="22"/>
    </row>
    <row r="3584">
      <c r="A3584" s="24"/>
      <c r="B3584" s="6"/>
      <c r="C3584" s="7"/>
      <c r="D3584" s="6"/>
      <c r="E3584" s="2"/>
      <c r="F3584" s="22"/>
    </row>
    <row r="3585">
      <c r="A3585" s="24"/>
      <c r="B3585" s="6"/>
      <c r="C3585" s="7"/>
      <c r="D3585" s="6"/>
      <c r="E3585" s="2"/>
      <c r="F3585" s="22"/>
    </row>
    <row r="3586">
      <c r="A3586" s="24"/>
      <c r="B3586" s="6"/>
      <c r="C3586" s="7"/>
      <c r="D3586" s="6"/>
      <c r="E3586" s="2"/>
      <c r="F3586" s="22"/>
    </row>
    <row r="3587">
      <c r="A3587" s="24"/>
      <c r="B3587" s="6"/>
      <c r="C3587" s="7"/>
      <c r="D3587" s="6"/>
      <c r="E3587" s="2"/>
      <c r="F3587" s="22"/>
    </row>
    <row r="3588">
      <c r="A3588" s="24"/>
      <c r="B3588" s="6"/>
      <c r="C3588" s="7"/>
      <c r="D3588" s="6"/>
      <c r="E3588" s="2"/>
      <c r="F3588" s="22"/>
    </row>
    <row r="3589">
      <c r="A3589" s="24"/>
      <c r="B3589" s="6"/>
      <c r="C3589" s="7"/>
      <c r="D3589" s="6"/>
      <c r="E3589" s="2"/>
      <c r="F3589" s="22"/>
    </row>
    <row r="3590">
      <c r="A3590" s="24"/>
      <c r="B3590" s="6"/>
      <c r="C3590" s="7"/>
      <c r="D3590" s="6"/>
      <c r="E3590" s="2"/>
      <c r="F3590" s="22"/>
    </row>
    <row r="3591">
      <c r="A3591" s="24"/>
      <c r="B3591" s="6"/>
      <c r="C3591" s="7"/>
      <c r="D3591" s="6"/>
      <c r="E3591" s="2"/>
      <c r="F3591" s="22"/>
    </row>
    <row r="3592">
      <c r="A3592" s="24"/>
      <c r="B3592" s="6"/>
      <c r="C3592" s="7"/>
      <c r="D3592" s="6"/>
      <c r="E3592" s="2"/>
      <c r="F3592" s="22"/>
    </row>
    <row r="3593">
      <c r="A3593" s="24"/>
      <c r="B3593" s="6"/>
      <c r="C3593" s="7"/>
      <c r="D3593" s="6"/>
      <c r="E3593" s="2"/>
      <c r="F3593" s="22"/>
    </row>
    <row r="3594">
      <c r="A3594" s="24"/>
      <c r="B3594" s="6"/>
      <c r="C3594" s="7"/>
      <c r="D3594" s="6"/>
      <c r="E3594" s="2"/>
      <c r="F3594" s="22"/>
    </row>
    <row r="3595">
      <c r="A3595" s="24"/>
      <c r="B3595" s="6"/>
      <c r="C3595" s="7"/>
      <c r="D3595" s="6"/>
      <c r="E3595" s="2"/>
      <c r="F3595" s="22"/>
    </row>
    <row r="3596">
      <c r="A3596" s="24"/>
      <c r="B3596" s="6"/>
      <c r="C3596" s="7"/>
      <c r="D3596" s="6"/>
      <c r="E3596" s="2"/>
      <c r="F3596" s="22"/>
    </row>
    <row r="3597">
      <c r="A3597" s="24"/>
      <c r="B3597" s="6"/>
      <c r="C3597" s="7"/>
      <c r="D3597" s="6"/>
      <c r="E3597" s="2"/>
      <c r="F3597" s="22"/>
    </row>
    <row r="3598">
      <c r="A3598" s="24"/>
      <c r="B3598" s="6"/>
      <c r="C3598" s="7"/>
      <c r="D3598" s="6"/>
      <c r="E3598" s="2"/>
      <c r="F3598" s="22"/>
    </row>
    <row r="3599">
      <c r="A3599" s="24"/>
      <c r="B3599" s="6"/>
      <c r="C3599" s="7"/>
      <c r="D3599" s="6"/>
      <c r="E3599" s="2"/>
      <c r="F3599" s="22"/>
    </row>
    <row r="3600">
      <c r="A3600" s="24"/>
      <c r="B3600" s="6"/>
      <c r="C3600" s="7"/>
      <c r="D3600" s="6"/>
      <c r="E3600" s="2"/>
      <c r="F3600" s="22"/>
    </row>
    <row r="3601">
      <c r="A3601" s="24"/>
      <c r="B3601" s="6"/>
      <c r="C3601" s="7"/>
      <c r="D3601" s="6"/>
      <c r="E3601" s="2"/>
      <c r="F3601" s="22"/>
    </row>
    <row r="3602">
      <c r="A3602" s="24"/>
      <c r="B3602" s="6"/>
      <c r="C3602" s="7"/>
      <c r="D3602" s="6"/>
      <c r="E3602" s="2"/>
      <c r="F3602" s="22"/>
    </row>
    <row r="3603">
      <c r="A3603" s="24"/>
      <c r="B3603" s="6"/>
      <c r="C3603" s="7"/>
      <c r="D3603" s="6"/>
      <c r="E3603" s="2"/>
      <c r="F3603" s="22"/>
    </row>
    <row r="3604">
      <c r="A3604" s="24"/>
      <c r="B3604" s="6"/>
      <c r="C3604" s="7"/>
      <c r="D3604" s="6"/>
      <c r="E3604" s="2"/>
      <c r="F3604" s="22"/>
    </row>
    <row r="3605">
      <c r="A3605" s="24"/>
      <c r="B3605" s="6"/>
      <c r="C3605" s="7"/>
      <c r="D3605" s="6"/>
      <c r="E3605" s="2"/>
      <c r="F3605" s="22"/>
    </row>
    <row r="3606">
      <c r="A3606" s="24"/>
      <c r="B3606" s="6"/>
      <c r="C3606" s="7"/>
      <c r="D3606" s="6"/>
      <c r="E3606" s="2"/>
      <c r="F3606" s="22"/>
    </row>
    <row r="3607">
      <c r="A3607" s="24"/>
      <c r="B3607" s="6"/>
      <c r="C3607" s="7"/>
      <c r="D3607" s="6"/>
      <c r="E3607" s="2"/>
      <c r="F3607" s="22"/>
    </row>
    <row r="3608">
      <c r="A3608" s="24"/>
      <c r="B3608" s="6"/>
      <c r="C3608" s="7"/>
      <c r="D3608" s="6"/>
      <c r="E3608" s="2"/>
      <c r="F3608" s="22"/>
    </row>
    <row r="3609">
      <c r="A3609" s="24"/>
      <c r="B3609" s="6"/>
      <c r="C3609" s="7"/>
      <c r="D3609" s="6"/>
      <c r="E3609" s="2"/>
      <c r="F3609" s="22"/>
    </row>
    <row r="3610">
      <c r="A3610" s="24"/>
      <c r="B3610" s="6"/>
      <c r="C3610" s="7"/>
      <c r="D3610" s="6"/>
      <c r="E3610" s="2"/>
      <c r="F3610" s="22"/>
    </row>
    <row r="3611">
      <c r="A3611" s="24"/>
      <c r="B3611" s="6"/>
      <c r="C3611" s="7"/>
      <c r="D3611" s="6"/>
      <c r="E3611" s="2"/>
      <c r="F3611" s="22"/>
    </row>
    <row r="3612">
      <c r="A3612" s="24"/>
      <c r="B3612" s="6"/>
      <c r="C3612" s="7"/>
      <c r="D3612" s="6"/>
      <c r="E3612" s="2"/>
      <c r="F3612" s="22"/>
    </row>
    <row r="3613">
      <c r="A3613" s="24"/>
      <c r="B3613" s="6"/>
      <c r="C3613" s="7"/>
      <c r="D3613" s="6"/>
      <c r="E3613" s="2"/>
      <c r="F3613" s="22"/>
    </row>
    <row r="3614">
      <c r="A3614" s="24"/>
      <c r="B3614" s="6"/>
      <c r="C3614" s="7"/>
      <c r="D3614" s="6"/>
      <c r="E3614" s="2"/>
      <c r="F3614" s="22"/>
    </row>
    <row r="3615">
      <c r="A3615" s="24"/>
      <c r="B3615" s="6"/>
      <c r="C3615" s="7"/>
      <c r="D3615" s="6"/>
      <c r="E3615" s="2"/>
      <c r="F3615" s="22"/>
    </row>
    <row r="3616">
      <c r="A3616" s="24"/>
      <c r="B3616" s="6"/>
      <c r="C3616" s="7"/>
      <c r="D3616" s="6"/>
      <c r="E3616" s="2"/>
      <c r="F3616" s="22"/>
    </row>
    <row r="3617">
      <c r="A3617" s="24"/>
      <c r="B3617" s="6"/>
      <c r="C3617" s="7"/>
      <c r="D3617" s="6"/>
      <c r="E3617" s="2"/>
      <c r="F3617" s="22"/>
    </row>
    <row r="3618">
      <c r="A3618" s="24"/>
      <c r="B3618" s="6"/>
      <c r="C3618" s="7"/>
      <c r="D3618" s="6"/>
      <c r="E3618" s="2"/>
      <c r="F3618" s="22"/>
    </row>
    <row r="3619">
      <c r="A3619" s="24"/>
      <c r="B3619" s="6"/>
      <c r="C3619" s="7"/>
      <c r="D3619" s="6"/>
      <c r="E3619" s="2"/>
      <c r="F3619" s="22"/>
    </row>
    <row r="3620">
      <c r="A3620" s="24"/>
      <c r="B3620" s="6"/>
      <c r="C3620" s="7"/>
      <c r="D3620" s="6"/>
      <c r="E3620" s="2"/>
      <c r="F3620" s="22"/>
    </row>
    <row r="3621">
      <c r="A3621" s="24"/>
      <c r="B3621" s="6"/>
      <c r="C3621" s="7"/>
      <c r="D3621" s="6"/>
      <c r="E3621" s="2"/>
      <c r="F3621" s="22"/>
    </row>
    <row r="3622">
      <c r="A3622" s="24"/>
      <c r="B3622" s="6"/>
      <c r="C3622" s="7"/>
      <c r="D3622" s="6"/>
      <c r="E3622" s="2"/>
      <c r="F3622" s="22"/>
    </row>
    <row r="3623">
      <c r="A3623" s="24"/>
      <c r="B3623" s="6"/>
      <c r="C3623" s="7"/>
      <c r="D3623" s="6"/>
      <c r="E3623" s="2"/>
      <c r="F3623" s="22"/>
    </row>
    <row r="3624">
      <c r="A3624" s="24"/>
      <c r="B3624" s="6"/>
      <c r="C3624" s="7"/>
      <c r="D3624" s="6"/>
      <c r="E3624" s="2"/>
      <c r="F3624" s="22"/>
    </row>
    <row r="3625">
      <c r="A3625" s="24"/>
      <c r="B3625" s="6"/>
      <c r="C3625" s="7"/>
      <c r="D3625" s="6"/>
      <c r="E3625" s="2"/>
      <c r="F3625" s="22"/>
    </row>
    <row r="3626">
      <c r="A3626" s="24"/>
      <c r="B3626" s="6"/>
      <c r="C3626" s="7"/>
      <c r="D3626" s="6"/>
      <c r="E3626" s="2"/>
      <c r="F3626" s="22"/>
    </row>
    <row r="3627">
      <c r="A3627" s="24"/>
      <c r="B3627" s="6"/>
      <c r="C3627" s="7"/>
      <c r="D3627" s="6"/>
      <c r="E3627" s="2"/>
      <c r="F3627" s="22"/>
    </row>
    <row r="3628">
      <c r="A3628" s="24"/>
      <c r="B3628" s="6"/>
      <c r="C3628" s="7"/>
      <c r="D3628" s="6"/>
      <c r="E3628" s="2"/>
      <c r="F3628" s="22"/>
    </row>
    <row r="3629">
      <c r="A3629" s="24"/>
      <c r="B3629" s="6"/>
      <c r="C3629" s="7"/>
      <c r="D3629" s="6"/>
      <c r="E3629" s="2"/>
      <c r="F3629" s="22"/>
    </row>
    <row r="3630">
      <c r="A3630" s="24"/>
      <c r="B3630" s="6"/>
      <c r="C3630" s="7"/>
      <c r="D3630" s="6"/>
      <c r="E3630" s="2"/>
      <c r="F3630" s="22"/>
    </row>
    <row r="3631">
      <c r="A3631" s="24"/>
      <c r="B3631" s="6"/>
      <c r="C3631" s="7"/>
      <c r="D3631" s="6"/>
      <c r="E3631" s="2"/>
      <c r="F3631" s="22"/>
    </row>
    <row r="3632">
      <c r="A3632" s="24"/>
      <c r="B3632" s="6"/>
      <c r="C3632" s="7"/>
      <c r="D3632" s="6"/>
      <c r="E3632" s="2"/>
      <c r="F3632" s="22"/>
    </row>
    <row r="3633">
      <c r="A3633" s="24"/>
      <c r="B3633" s="6"/>
      <c r="C3633" s="7"/>
      <c r="D3633" s="6"/>
      <c r="E3633" s="2"/>
      <c r="F3633" s="22"/>
    </row>
    <row r="3634">
      <c r="A3634" s="24"/>
      <c r="B3634" s="6"/>
      <c r="C3634" s="7"/>
      <c r="D3634" s="6"/>
      <c r="E3634" s="2"/>
      <c r="F3634" s="22"/>
    </row>
    <row r="3635">
      <c r="A3635" s="24"/>
      <c r="B3635" s="6"/>
      <c r="C3635" s="7"/>
      <c r="D3635" s="6"/>
      <c r="E3635" s="2"/>
      <c r="F3635" s="22"/>
    </row>
    <row r="3636">
      <c r="A3636" s="24"/>
      <c r="B3636" s="6"/>
      <c r="C3636" s="7"/>
      <c r="D3636" s="6"/>
      <c r="E3636" s="2"/>
      <c r="F3636" s="22"/>
    </row>
    <row r="3637">
      <c r="A3637" s="24"/>
      <c r="B3637" s="6"/>
      <c r="C3637" s="7"/>
      <c r="D3637" s="6"/>
      <c r="E3637" s="2"/>
      <c r="F3637" s="22"/>
    </row>
    <row r="3638">
      <c r="A3638" s="24"/>
      <c r="B3638" s="6"/>
      <c r="C3638" s="7"/>
      <c r="D3638" s="6"/>
      <c r="E3638" s="2"/>
      <c r="F3638" s="22"/>
    </row>
    <row r="3639">
      <c r="A3639" s="24"/>
      <c r="B3639" s="6"/>
      <c r="C3639" s="7"/>
      <c r="D3639" s="6"/>
      <c r="E3639" s="2"/>
      <c r="F3639" s="22"/>
    </row>
    <row r="3640">
      <c r="A3640" s="24"/>
      <c r="B3640" s="6"/>
      <c r="C3640" s="7"/>
      <c r="D3640" s="6"/>
      <c r="E3640" s="2"/>
      <c r="F3640" s="22"/>
    </row>
    <row r="3641">
      <c r="A3641" s="24"/>
      <c r="B3641" s="6"/>
      <c r="C3641" s="7"/>
      <c r="D3641" s="6"/>
      <c r="E3641" s="2"/>
      <c r="F3641" s="22"/>
    </row>
    <row r="3642">
      <c r="A3642" s="24"/>
      <c r="B3642" s="6"/>
      <c r="C3642" s="7"/>
      <c r="D3642" s="6"/>
      <c r="E3642" s="2"/>
      <c r="F3642" s="22"/>
    </row>
    <row r="3643">
      <c r="A3643" s="24"/>
      <c r="B3643" s="6"/>
      <c r="C3643" s="7"/>
      <c r="D3643" s="6"/>
      <c r="E3643" s="2"/>
      <c r="F3643" s="22"/>
    </row>
    <row r="3644">
      <c r="A3644" s="24"/>
      <c r="B3644" s="6"/>
      <c r="C3644" s="7"/>
      <c r="D3644" s="6"/>
      <c r="E3644" s="2"/>
      <c r="F3644" s="22"/>
    </row>
    <row r="3645">
      <c r="A3645" s="24"/>
      <c r="B3645" s="6"/>
      <c r="C3645" s="7"/>
      <c r="D3645" s="6"/>
      <c r="E3645" s="2"/>
      <c r="F3645" s="22"/>
    </row>
    <row r="3646">
      <c r="A3646" s="24"/>
      <c r="B3646" s="6"/>
      <c r="C3646" s="7"/>
      <c r="D3646" s="6"/>
      <c r="E3646" s="2"/>
      <c r="F3646" s="22"/>
    </row>
    <row r="3647">
      <c r="A3647" s="24"/>
      <c r="B3647" s="6"/>
      <c r="C3647" s="7"/>
      <c r="D3647" s="6"/>
      <c r="E3647" s="2"/>
      <c r="F3647" s="22"/>
    </row>
    <row r="3648">
      <c r="A3648" s="24"/>
      <c r="B3648" s="6"/>
      <c r="C3648" s="7"/>
      <c r="D3648" s="6"/>
      <c r="E3648" s="2"/>
      <c r="F3648" s="22"/>
    </row>
    <row r="3649">
      <c r="A3649" s="24"/>
      <c r="B3649" s="6"/>
      <c r="C3649" s="7"/>
      <c r="D3649" s="6"/>
      <c r="E3649" s="2"/>
      <c r="F3649" s="22"/>
    </row>
    <row r="3650">
      <c r="A3650" s="24"/>
      <c r="B3650" s="6"/>
      <c r="C3650" s="7"/>
      <c r="D3650" s="6"/>
      <c r="E3650" s="2"/>
      <c r="F3650" s="22"/>
    </row>
    <row r="3651">
      <c r="A3651" s="24"/>
      <c r="B3651" s="6"/>
      <c r="C3651" s="7"/>
      <c r="D3651" s="6"/>
      <c r="E3651" s="2"/>
      <c r="F3651" s="22"/>
    </row>
    <row r="3652">
      <c r="A3652" s="24"/>
      <c r="B3652" s="6"/>
      <c r="C3652" s="7"/>
      <c r="D3652" s="6"/>
      <c r="E3652" s="2"/>
      <c r="F3652" s="22"/>
    </row>
    <row r="3653">
      <c r="A3653" s="24"/>
      <c r="B3653" s="6"/>
      <c r="C3653" s="7"/>
      <c r="D3653" s="6"/>
      <c r="E3653" s="2"/>
      <c r="F3653" s="22"/>
    </row>
    <row r="3654">
      <c r="A3654" s="24"/>
      <c r="B3654" s="6"/>
      <c r="C3654" s="7"/>
      <c r="D3654" s="6"/>
      <c r="E3654" s="2"/>
      <c r="F3654" s="22"/>
    </row>
    <row r="3655">
      <c r="A3655" s="24"/>
      <c r="B3655" s="6"/>
      <c r="C3655" s="7"/>
      <c r="D3655" s="6"/>
      <c r="E3655" s="2"/>
      <c r="F3655" s="22"/>
    </row>
    <row r="3656">
      <c r="A3656" s="24"/>
      <c r="B3656" s="6"/>
      <c r="C3656" s="7"/>
      <c r="D3656" s="6"/>
      <c r="E3656" s="2"/>
      <c r="F3656" s="22"/>
    </row>
    <row r="3657">
      <c r="A3657" s="24"/>
      <c r="B3657" s="6"/>
      <c r="C3657" s="7"/>
      <c r="D3657" s="6"/>
      <c r="E3657" s="2"/>
      <c r="F3657" s="22"/>
    </row>
    <row r="3658">
      <c r="A3658" s="24"/>
      <c r="B3658" s="6"/>
      <c r="C3658" s="7"/>
      <c r="D3658" s="6"/>
      <c r="E3658" s="2"/>
      <c r="F3658" s="22"/>
    </row>
    <row r="3659">
      <c r="A3659" s="24"/>
      <c r="B3659" s="6"/>
      <c r="C3659" s="7"/>
      <c r="D3659" s="6"/>
      <c r="E3659" s="2"/>
      <c r="F3659" s="22"/>
    </row>
    <row r="3660">
      <c r="A3660" s="24"/>
      <c r="B3660" s="6"/>
      <c r="C3660" s="7"/>
      <c r="D3660" s="6"/>
      <c r="E3660" s="2"/>
      <c r="F3660" s="22"/>
    </row>
    <row r="3661">
      <c r="A3661" s="24"/>
      <c r="B3661" s="6"/>
      <c r="C3661" s="7"/>
      <c r="D3661" s="6"/>
      <c r="E3661" s="2"/>
      <c r="F3661" s="22"/>
    </row>
    <row r="3662">
      <c r="A3662" s="24"/>
      <c r="B3662" s="6"/>
      <c r="C3662" s="7"/>
      <c r="D3662" s="6"/>
      <c r="E3662" s="2"/>
      <c r="F3662" s="22"/>
    </row>
    <row r="3663">
      <c r="A3663" s="24"/>
      <c r="B3663" s="6"/>
      <c r="C3663" s="7"/>
      <c r="D3663" s="6"/>
      <c r="E3663" s="2"/>
      <c r="F3663" s="22"/>
    </row>
    <row r="3664">
      <c r="A3664" s="24"/>
      <c r="B3664" s="6"/>
      <c r="C3664" s="7"/>
      <c r="D3664" s="6"/>
      <c r="E3664" s="2"/>
      <c r="F3664" s="22"/>
    </row>
    <row r="3665">
      <c r="A3665" s="24"/>
      <c r="B3665" s="6"/>
      <c r="C3665" s="7"/>
      <c r="D3665" s="6"/>
      <c r="E3665" s="2"/>
      <c r="F3665" s="22"/>
    </row>
    <row r="3666">
      <c r="A3666" s="24"/>
      <c r="B3666" s="6"/>
      <c r="C3666" s="7"/>
      <c r="D3666" s="6"/>
      <c r="E3666" s="2"/>
      <c r="F3666" s="22"/>
    </row>
    <row r="3667">
      <c r="A3667" s="24"/>
      <c r="B3667" s="6"/>
      <c r="C3667" s="7"/>
      <c r="D3667" s="6"/>
      <c r="E3667" s="2"/>
      <c r="F3667" s="22"/>
    </row>
    <row r="3668">
      <c r="A3668" s="24"/>
      <c r="B3668" s="6"/>
      <c r="C3668" s="7"/>
      <c r="D3668" s="6"/>
      <c r="E3668" s="2"/>
      <c r="F3668" s="22"/>
    </row>
    <row r="3669">
      <c r="A3669" s="24"/>
      <c r="B3669" s="6"/>
      <c r="C3669" s="7"/>
      <c r="D3669" s="6"/>
      <c r="E3669" s="2"/>
      <c r="F3669" s="22"/>
    </row>
    <row r="3670">
      <c r="A3670" s="24"/>
      <c r="B3670" s="6"/>
      <c r="C3670" s="7"/>
      <c r="D3670" s="6"/>
      <c r="E3670" s="2"/>
      <c r="F3670" s="22"/>
    </row>
    <row r="3671">
      <c r="A3671" s="24"/>
      <c r="B3671" s="6"/>
      <c r="C3671" s="7"/>
      <c r="D3671" s="6"/>
      <c r="E3671" s="2"/>
      <c r="F3671" s="22"/>
    </row>
    <row r="3672">
      <c r="A3672" s="24"/>
      <c r="B3672" s="6"/>
      <c r="C3672" s="7"/>
      <c r="D3672" s="6"/>
      <c r="E3672" s="2"/>
      <c r="F3672" s="22"/>
    </row>
    <row r="3673">
      <c r="A3673" s="24"/>
      <c r="B3673" s="6"/>
      <c r="C3673" s="7"/>
      <c r="D3673" s="6"/>
      <c r="E3673" s="2"/>
      <c r="F3673" s="22"/>
    </row>
    <row r="3674">
      <c r="A3674" s="24"/>
      <c r="B3674" s="6"/>
      <c r="C3674" s="7"/>
      <c r="D3674" s="6"/>
      <c r="E3674" s="2"/>
      <c r="F3674" s="22"/>
    </row>
    <row r="3675">
      <c r="A3675" s="24"/>
      <c r="B3675" s="6"/>
      <c r="C3675" s="7"/>
      <c r="D3675" s="6"/>
      <c r="E3675" s="2"/>
      <c r="F3675" s="22"/>
    </row>
    <row r="3676">
      <c r="A3676" s="24"/>
      <c r="B3676" s="6"/>
      <c r="C3676" s="7"/>
      <c r="D3676" s="6"/>
      <c r="E3676" s="2"/>
      <c r="F3676" s="22"/>
    </row>
    <row r="3677">
      <c r="A3677" s="24"/>
      <c r="B3677" s="6"/>
      <c r="C3677" s="7"/>
      <c r="D3677" s="6"/>
      <c r="E3677" s="2"/>
      <c r="F3677" s="22"/>
    </row>
    <row r="3678">
      <c r="A3678" s="24"/>
      <c r="B3678" s="6"/>
      <c r="C3678" s="7"/>
      <c r="D3678" s="6"/>
      <c r="E3678" s="2"/>
      <c r="F3678" s="22"/>
    </row>
    <row r="3679">
      <c r="A3679" s="24"/>
      <c r="B3679" s="6"/>
      <c r="C3679" s="7"/>
      <c r="D3679" s="6"/>
      <c r="E3679" s="2"/>
      <c r="F3679" s="22"/>
    </row>
    <row r="3680">
      <c r="A3680" s="24"/>
      <c r="B3680" s="6"/>
      <c r="C3680" s="7"/>
      <c r="D3680" s="6"/>
      <c r="E3680" s="2"/>
      <c r="F3680" s="22"/>
    </row>
    <row r="3681">
      <c r="A3681" s="24"/>
      <c r="B3681" s="6"/>
      <c r="C3681" s="7"/>
      <c r="D3681" s="6"/>
      <c r="E3681" s="2"/>
      <c r="F3681" s="22"/>
    </row>
    <row r="3682">
      <c r="A3682" s="24"/>
      <c r="B3682" s="6"/>
      <c r="C3682" s="7"/>
      <c r="D3682" s="6"/>
      <c r="E3682" s="2"/>
      <c r="F3682" s="22"/>
    </row>
    <row r="3683">
      <c r="A3683" s="24"/>
      <c r="B3683" s="6"/>
      <c r="C3683" s="7"/>
      <c r="D3683" s="6"/>
      <c r="E3683" s="2"/>
      <c r="F3683" s="22"/>
    </row>
    <row r="3684">
      <c r="A3684" s="24"/>
      <c r="B3684" s="6"/>
      <c r="C3684" s="7"/>
      <c r="D3684" s="6"/>
      <c r="E3684" s="2"/>
      <c r="F3684" s="22"/>
    </row>
    <row r="3685">
      <c r="A3685" s="24"/>
      <c r="B3685" s="6"/>
      <c r="C3685" s="7"/>
      <c r="D3685" s="6"/>
      <c r="E3685" s="2"/>
      <c r="F3685" s="22"/>
    </row>
    <row r="3686">
      <c r="A3686" s="24"/>
      <c r="B3686" s="6"/>
      <c r="C3686" s="7"/>
      <c r="D3686" s="6"/>
      <c r="E3686" s="2"/>
      <c r="F3686" s="22"/>
    </row>
  </sheetData>
  <autoFilter ref="$A$1:$AC$3246">
    <sortState ref="A1:AC3246">
      <sortCondition ref="A1:A3246"/>
      <sortCondition descending="1" ref="E1:E3246"/>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15.75"/>
    <col customWidth="1" min="4" max="4" width="28.25"/>
    <col customWidth="1" min="5" max="5" width="16.25"/>
    <col customWidth="1" min="6" max="6" width="30.25"/>
    <col customWidth="1" min="7" max="7" width="10.38"/>
    <col customWidth="1" min="8" max="8" width="11.63"/>
    <col customWidth="1" min="9" max="9" width="12.25"/>
    <col customWidth="1" min="10" max="10" width="11.88"/>
    <col customWidth="1" min="11" max="11" width="17.5"/>
  </cols>
  <sheetData>
    <row r="1" ht="15.75" customHeight="1">
      <c r="A1" s="26" t="str">
        <f>IFERROR(__xludf.DUMMYFUNCTION("IMPORTRANGE(""https://docs.google.com/spreadsheets/d/1UYeSnzxFVXnGBq4OuLQtCoVR1HS8q6M_na7GJJ09G1s/edit?usp=sharing"",""'event_table'!A:z"")"),"event_id")</f>
        <v>event_id</v>
      </c>
      <c r="B1" s="26" t="str">
        <f>IFERROR(__xludf.DUMMYFUNCTION("""COMPUTED_VALUE"""),"index_to_drop")</f>
        <v>index_to_drop</v>
      </c>
      <c r="C1" s="27" t="str">
        <f>IFERROR(__xludf.DUMMYFUNCTION("""COMPUTED_VALUE"""),"city_id")</f>
        <v>city_id</v>
      </c>
      <c r="D1" s="28" t="str">
        <f>IFERROR(__xludf.DUMMYFUNCTION("""COMPUTED_VALUE"""),"event_name")</f>
        <v>event_name</v>
      </c>
      <c r="E1" s="27" t="str">
        <f>IFERROR(__xludf.DUMMYFUNCTION("""COMPUTED_VALUE"""),"category_id")</f>
        <v>category_id</v>
      </c>
      <c r="F1" s="29" t="str">
        <f>IFERROR(__xludf.DUMMYFUNCTION("""COMPUTED_VALUE"""),"event_description")</f>
        <v>event_description</v>
      </c>
      <c r="G1" s="30" t="str">
        <f>IFERROR(__xludf.DUMMYFUNCTION("""COMPUTED_VALUE"""),"latitude")</f>
        <v>latitude</v>
      </c>
      <c r="H1" s="30" t="str">
        <f>IFERROR(__xludf.DUMMYFUNCTION("""COMPUTED_VALUE"""),"longitude")</f>
        <v>longitude</v>
      </c>
      <c r="I1" s="31" t="str">
        <f>IFERROR(__xludf.DUMMYFUNCTION("""COMPUTED_VALUE"""),"date")</f>
        <v>date</v>
      </c>
      <c r="J1" s="32" t="str">
        <f>IFERROR(__xludf.DUMMYFUNCTION("""COMPUTED_VALUE"""),"event_price")</f>
        <v>event_price</v>
      </c>
      <c r="K1" s="33"/>
      <c r="L1" s="34"/>
      <c r="M1" s="34"/>
      <c r="N1" s="34"/>
      <c r="O1" s="34"/>
      <c r="P1" s="34"/>
      <c r="Q1" s="34"/>
      <c r="R1" s="34"/>
      <c r="S1" s="34"/>
      <c r="T1" s="34"/>
      <c r="U1" s="34"/>
      <c r="V1" s="34"/>
      <c r="W1" s="34"/>
      <c r="X1" s="34"/>
      <c r="Y1" s="34"/>
      <c r="Z1" s="34"/>
      <c r="AA1" s="34"/>
      <c r="AB1" s="34"/>
    </row>
    <row r="2" ht="15.75" customHeight="1">
      <c r="A2" s="35" t="str">
        <f>IFERROR(__xludf.DUMMYFUNCTION("""COMPUTED_VALUE"""),"111")</f>
        <v>111</v>
      </c>
      <c r="B2" s="35" t="str">
        <f>IFERROR(__xludf.DUMMYFUNCTION("""COMPUTED_VALUE"""),"1")</f>
        <v>1</v>
      </c>
      <c r="C2" s="36">
        <f>IFERROR(__xludf.DUMMYFUNCTION("""COMPUTED_VALUE"""),1.0)</f>
        <v>1</v>
      </c>
      <c r="D2" s="37" t="str">
        <f>IFERROR(__xludf.DUMMYFUNCTION("""COMPUTED_VALUE"""),"Jakarta Bird Land Ancol")</f>
        <v>Jakarta Bird Land Ancol</v>
      </c>
      <c r="E2" s="36">
        <f>IFERROR(__xludf.DUMMYFUNCTION("""COMPUTED_VALUE"""),1.0)</f>
        <v>1</v>
      </c>
      <c r="F2" s="38" t="str">
        <f>IFERROR(__xludf.DUMMYFUNCTION("""COMPUTED_VALUE"""),"Jakarta Bird Land adalah taman bermain sekaligus tempat konservasi yang memiliki berbagai jenis spesies burung di Indonesia maupun mancanegara dimana keluarga Indonesia dapat memperoleh edukasi, interaksi hingga pengalaman baru dengan berbagai jenis spesi"&amp;"es burung. Jakarta Bird Land menawarkan berbagai interaksi mulai dari Bird Feeding, Direct Touch, dsb hingga interaksi baru seperti Free Range Bird, Lake For Show, Waterfall, Escalator hingga Thematic Hardscape yang tidak ada di taman burung manapun di In"&amp;"donesia. Selain menjadi taman wisata edukasi, Jakarta Bird Land juga menjadi pusat konservasi yang menyelamatkan berbagai spesies burung yang terancam punah melalui pusat Breeding &amp; Research yang fokus dalam merawat spesies-spesies burung di Indonesia &amp; M"&amp;"ancanegara.")</f>
        <v>Jakarta Bird Land adalah taman bermain sekaligus tempat konservasi yang memiliki berbagai jenis spesies burung di Indonesia maupun mancanegara dimana keluarga Indonesia dapat memperoleh edukasi, interaksi hingga pengalaman baru dengan berbagai jenis spesies burung. Jakarta Bird Land menawarkan berbagai interaksi mulai dari Bird Feeding, Direct Touch, dsb hingga interaksi baru seperti Free Range Bird, Lake For Show, Waterfall, Escalator hingga Thematic Hardscape yang tidak ada di taman burung manapun di Indonesia. Selain menjadi taman wisata edukasi, Jakarta Bird Land juga menjadi pusat konservasi yang menyelamatkan berbagai spesies burung yang terancam punah melalui pusat Breeding &amp; Research yang fokus dalam merawat spesies-spesies burung di Indonesia &amp; Mancanegara.</v>
      </c>
      <c r="G2" s="39" t="str">
        <f>IFERROR(__xludf.DUMMYFUNCTION("""COMPUTED_VALUE"""),"-6.1266245")</f>
        <v>-6.1266245</v>
      </c>
      <c r="H2" s="39" t="str">
        <f>IFERROR(__xludf.DUMMYFUNCTION("""COMPUTED_VALUE"""),"106.8431539")</f>
        <v>106.8431539</v>
      </c>
      <c r="I2" s="40" t="str">
        <f>IFERROR(__xludf.DUMMYFUNCTION("""COMPUTED_VALUE"""),"Everyday")</f>
        <v>Everyday</v>
      </c>
      <c r="J2" s="41" t="str">
        <f>IFERROR(__xludf.DUMMYFUNCTION("""COMPUTED_VALUE"""),"56160")</f>
        <v>56160</v>
      </c>
      <c r="K2" s="42"/>
      <c r="L2" s="43"/>
      <c r="M2" s="43"/>
      <c r="N2" s="43"/>
      <c r="O2" s="43"/>
      <c r="P2" s="43"/>
      <c r="Q2" s="43"/>
      <c r="R2" s="43"/>
      <c r="S2" s="43"/>
      <c r="T2" s="43"/>
      <c r="U2" s="43"/>
      <c r="V2" s="43"/>
      <c r="W2" s="43"/>
      <c r="X2" s="43"/>
      <c r="Y2" s="43"/>
      <c r="Z2" s="43"/>
    </row>
    <row r="3" ht="15.75" customHeight="1">
      <c r="A3" s="35" t="str">
        <f>IFERROR(__xludf.DUMMYFUNCTION("""COMPUTED_VALUE"""),"122")</f>
        <v>122</v>
      </c>
      <c r="B3" s="35" t="str">
        <f>IFERROR(__xludf.DUMMYFUNCTION("""COMPUTED_VALUE"""),"2")</f>
        <v>2</v>
      </c>
      <c r="C3" s="36">
        <f>IFERROR(__xludf.DUMMYFUNCTION("""COMPUTED_VALUE"""),1.0)</f>
        <v>1</v>
      </c>
      <c r="D3" s="37" t="str">
        <f>IFERROR(__xludf.DUMMYFUNCTION("""COMPUTED_VALUE"""),"Magic Art 3D Museum Jakarta")</f>
        <v>Magic Art 3D Museum Jakarta</v>
      </c>
      <c r="E3" s="36">
        <f>IFERROR(__xludf.DUMMYFUNCTION("""COMPUTED_VALUE"""),2.0)</f>
        <v>2</v>
      </c>
      <c r="F3" s="38" t="str">
        <f>IFERROR(__xludf.DUMMYFUNCTION("""COMPUTED_VALUE"""),"Step into a realm where art comes to life at the Magic Art 3D Museum Jakarta. Marvel at mind-bending optical illusions and interact with larger-than-life 3D paintings. This immersive experience promises a day filled with laughter, 2, and Instagram-worthy "&amp;"moments.")</f>
        <v>Step into a realm where art comes to life at the Magic Art 3D Museum Jakarta. Marvel at mind-bending optical illusions and interact with larger-than-life 3D paintings. This immersive experience promises a day filled with laughter, 2, and Instagram-worthy moments.</v>
      </c>
      <c r="G3" s="39" t="str">
        <f>IFERROR(__xludf.DUMMYFUNCTION("""COMPUTED_VALUE"""),"-6.1359480")</f>
        <v>-6.1359480</v>
      </c>
      <c r="H3" s="39" t="str">
        <f>IFERROR(__xludf.DUMMYFUNCTION("""COMPUTED_VALUE"""),"106.8121314")</f>
        <v>106.8121314</v>
      </c>
      <c r="I3" s="40" t="str">
        <f>IFERROR(__xludf.DUMMYFUNCTION("""COMPUTED_VALUE"""),"Everyday")</f>
        <v>Everyday</v>
      </c>
      <c r="J3" s="41" t="str">
        <f>IFERROR(__xludf.DUMMYFUNCTION("""COMPUTED_VALUE"""),"54000")</f>
        <v>54000</v>
      </c>
      <c r="K3" s="42"/>
      <c r="L3" s="43"/>
      <c r="M3" s="43"/>
      <c r="N3" s="43"/>
      <c r="O3" s="43"/>
      <c r="P3" s="43"/>
      <c r="Q3" s="43"/>
      <c r="R3" s="43"/>
      <c r="S3" s="43"/>
      <c r="T3" s="43"/>
      <c r="U3" s="43"/>
      <c r="V3" s="43"/>
      <c r="W3" s="43"/>
      <c r="X3" s="43"/>
      <c r="Y3" s="43"/>
      <c r="Z3" s="43"/>
    </row>
    <row r="4" ht="15.75" customHeight="1">
      <c r="A4" s="35" t="str">
        <f>IFERROR(__xludf.DUMMYFUNCTION("""COMPUTED_VALUE"""),"113")</f>
        <v>113</v>
      </c>
      <c r="B4" s="35" t="str">
        <f>IFERROR(__xludf.DUMMYFUNCTION("""COMPUTED_VALUE"""),"3")</f>
        <v>3</v>
      </c>
      <c r="C4" s="36">
        <f>IFERROR(__xludf.DUMMYFUNCTION("""COMPUTED_VALUE"""),1.0)</f>
        <v>1</v>
      </c>
      <c r="D4" s="37" t="str">
        <f>IFERROR(__xludf.DUMMYFUNCTION("""COMPUTED_VALUE"""),"Sea World Ancol")</f>
        <v>Sea World Ancol</v>
      </c>
      <c r="E4" s="36">
        <f>IFERROR(__xludf.DUMMYFUNCTION("""COMPUTED_VALUE"""),1.0)</f>
        <v>1</v>
      </c>
      <c r="F4" s="38" t="str">
        <f>IFERROR(__xludf.DUMMYFUNCTION("""COMPUTED_VALUE"""),"Dive into the depths of the ocean without leaving Jakarta at Sea World Ancol. Encounter fascinating marine life, from graceful sharks to playful dolphins. Educational and entertaining, Sea World offers a captivating journey through the wonders of the unde"&amp;"rwater world.")</f>
        <v>Dive into the depths of the ocean without leaving Jakarta at Sea World Ancol. Encounter fascinating marine life, from graceful sharks to playful dolphins. Educational and entertaining, Sea World offers a captivating journey through the wonders of the underwater world.</v>
      </c>
      <c r="G4" s="39" t="str">
        <f>IFERROR(__xludf.DUMMYFUNCTION("""COMPUTED_VALUE"""),"-6.1257784")</f>
        <v>-6.1257784</v>
      </c>
      <c r="H4" s="39" t="str">
        <f>IFERROR(__xludf.DUMMYFUNCTION("""COMPUTED_VALUE"""),"106.8428327")</f>
        <v>106.8428327</v>
      </c>
      <c r="I4" s="40" t="str">
        <f>IFERROR(__xludf.DUMMYFUNCTION("""COMPUTED_VALUE"""),"Everyday")</f>
        <v>Everyday</v>
      </c>
      <c r="J4" s="41" t="str">
        <f>IFERROR(__xludf.DUMMYFUNCTION("""COMPUTED_VALUE"""),"67900")</f>
        <v>67900</v>
      </c>
      <c r="K4" s="42"/>
      <c r="L4" s="43"/>
      <c r="M4" s="43"/>
      <c r="N4" s="43"/>
      <c r="O4" s="43"/>
      <c r="P4" s="43"/>
      <c r="Q4" s="43"/>
      <c r="R4" s="43"/>
      <c r="S4" s="43"/>
      <c r="T4" s="43"/>
      <c r="U4" s="43"/>
      <c r="V4" s="43"/>
      <c r="W4" s="43"/>
      <c r="X4" s="43"/>
      <c r="Y4" s="43"/>
      <c r="Z4" s="43"/>
    </row>
    <row r="5" ht="15.75" customHeight="1">
      <c r="A5" s="35" t="str">
        <f>IFERROR(__xludf.DUMMYFUNCTION("""COMPUTED_VALUE"""),"114")</f>
        <v>114</v>
      </c>
      <c r="B5" s="35" t="str">
        <f>IFERROR(__xludf.DUMMYFUNCTION("""COMPUTED_VALUE"""),"4")</f>
        <v>4</v>
      </c>
      <c r="C5" s="36">
        <f>IFERROR(__xludf.DUMMYFUNCTION("""COMPUTED_VALUE"""),1.0)</f>
        <v>1</v>
      </c>
      <c r="D5" s="37" t="str">
        <f>IFERROR(__xludf.DUMMYFUNCTION("""COMPUTED_VALUE"""),"Samudra Ancol")</f>
        <v>Samudra Ancol</v>
      </c>
      <c r="E5" s="36">
        <f>IFERROR(__xludf.DUMMYFUNCTION("""COMPUTED_VALUE"""),1.0)</f>
        <v>1</v>
      </c>
      <c r="F5" s="38" t="str">
        <f>IFERROR(__xludf.DUMMYFUNCTION("""COMPUTED_VALUE"""),"Experience the magic of marine life with a visit to Samudra Ancol. Enjoy captivating dolphin and sea lion shows that showcase the intelligence and agility of these incredible creatures. It's a family-friendly destination that combines education with enter"&amp;"tainment.")</f>
        <v>Experience the magic of marine life with a visit to Samudra Ancol. Enjoy captivating dolphin and sea lion shows that showcase the intelligence and agility of these incredible creatures. It's a family-friendly destination that combines education with entertainment.</v>
      </c>
      <c r="G5" s="39" t="str">
        <f>IFERROR(__xludf.DUMMYFUNCTION("""COMPUTED_VALUE"""),"-6.1250180")</f>
        <v>-6.1250180</v>
      </c>
      <c r="H5" s="39" t="str">
        <f>IFERROR(__xludf.DUMMYFUNCTION("""COMPUTED_VALUE"""),"106.8436004")</f>
        <v>106.8436004</v>
      </c>
      <c r="I5" s="40" t="str">
        <f>IFERROR(__xludf.DUMMYFUNCTION("""COMPUTED_VALUE"""),"Everyday")</f>
        <v>Everyday</v>
      </c>
      <c r="J5" s="41" t="str">
        <f>IFERROR(__xludf.DUMMYFUNCTION("""COMPUTED_VALUE"""),"55000")</f>
        <v>55000</v>
      </c>
      <c r="K5" s="42"/>
      <c r="L5" s="43"/>
      <c r="M5" s="43"/>
      <c r="N5" s="43"/>
      <c r="O5" s="43"/>
      <c r="P5" s="43"/>
      <c r="Q5" s="43"/>
      <c r="R5" s="43"/>
      <c r="S5" s="43"/>
      <c r="T5" s="43"/>
      <c r="U5" s="43"/>
      <c r="V5" s="43"/>
      <c r="W5" s="43"/>
      <c r="X5" s="43"/>
      <c r="Y5" s="43"/>
      <c r="Z5" s="43"/>
    </row>
    <row r="6" ht="15.75" customHeight="1">
      <c r="A6" s="35" t="str">
        <f>IFERROR(__xludf.DUMMYFUNCTION("""COMPUTED_VALUE"""),"115")</f>
        <v>115</v>
      </c>
      <c r="B6" s="35" t="str">
        <f>IFERROR(__xludf.DUMMYFUNCTION("""COMPUTED_VALUE"""),"5")</f>
        <v>5</v>
      </c>
      <c r="C6" s="36">
        <f>IFERROR(__xludf.DUMMYFUNCTION("""COMPUTED_VALUE"""),1.0)</f>
        <v>1</v>
      </c>
      <c r="D6" s="37" t="str">
        <f>IFERROR(__xludf.DUMMYFUNCTION("""COMPUTED_VALUE"""),"Dufan Ancol")</f>
        <v>Dufan Ancol</v>
      </c>
      <c r="E6" s="36">
        <f>IFERROR(__xludf.DUMMYFUNCTION("""COMPUTED_VALUE"""),1.0)</f>
        <v>1</v>
      </c>
      <c r="F6" s="38" t="str">
        <f>IFERROR(__xludf.DUMMYFUNCTION("""COMPUTED_VALUE"""),"For a day of thrilling 1s, head to Dufan Ancol, Jakarta's beloved amusement park. With a mix of exhilarating rides, entertaining shows, and delicious treats, Dufan promises a fun-filled escape for visitors of all ages.")</f>
        <v>For a day of thrilling 1s, head to Dufan Ancol, Jakarta's beloved amusement park. With a mix of exhilarating rides, entertaining shows, and delicious treats, Dufan promises a fun-filled escape for visitors of all ages.</v>
      </c>
      <c r="G6" s="39" t="str">
        <f>IFERROR(__xludf.DUMMYFUNCTION("""COMPUTED_VALUE"""),"-6.1253124")</f>
        <v>-6.1253124</v>
      </c>
      <c r="H6" s="39" t="str">
        <f>IFERROR(__xludf.DUMMYFUNCTION("""COMPUTED_VALUE"""),"106.8335377")</f>
        <v>106.8335377</v>
      </c>
      <c r="I6" s="40" t="str">
        <f>IFERROR(__xludf.DUMMYFUNCTION("""COMPUTED_VALUE"""),"Everyday")</f>
        <v>Everyday</v>
      </c>
      <c r="J6" s="41" t="str">
        <f>IFERROR(__xludf.DUMMYFUNCTION("""COMPUTED_VALUE"""),"199500")</f>
        <v>199500</v>
      </c>
      <c r="K6" s="42"/>
      <c r="L6" s="43"/>
      <c r="M6" s="43"/>
      <c r="N6" s="43"/>
      <c r="O6" s="43"/>
      <c r="P6" s="43"/>
      <c r="Q6" s="43"/>
      <c r="R6" s="43"/>
      <c r="S6" s="43"/>
      <c r="T6" s="43"/>
      <c r="U6" s="43"/>
      <c r="V6" s="43"/>
      <c r="W6" s="43"/>
      <c r="X6" s="43"/>
      <c r="Y6" s="43"/>
      <c r="Z6" s="43"/>
    </row>
    <row r="7" ht="15.75" customHeight="1">
      <c r="A7" s="35" t="str">
        <f>IFERROR(__xludf.DUMMYFUNCTION("""COMPUTED_VALUE"""),"116")</f>
        <v>116</v>
      </c>
      <c r="B7" s="35" t="str">
        <f>IFERROR(__xludf.DUMMYFUNCTION("""COMPUTED_VALUE"""),"6")</f>
        <v>6</v>
      </c>
      <c r="C7" s="36">
        <f>IFERROR(__xludf.DUMMYFUNCTION("""COMPUTED_VALUE"""),1.0)</f>
        <v>1</v>
      </c>
      <c r="D7" s="37" t="str">
        <f>IFERROR(__xludf.DUMMYFUNCTION("""COMPUTED_VALUE"""),"Taman Mini Indonesia Indah (TMII)")</f>
        <v>Taman Mini Indonesia Indah (TMII)</v>
      </c>
      <c r="E7" s="36">
        <f>IFERROR(__xludf.DUMMYFUNCTION("""COMPUTED_VALUE"""),1.0)</f>
        <v>1</v>
      </c>
      <c r="F7" s="38" t="str">
        <f>IFERROR(__xludf.DUMMYFUNCTION("""COMPUTED_VALUE"""),"Discover the rich cultural tapestry of Indonesia at Taman Mini Indonesia Indah (TMII). This expansive park features miniature replicas of the country's diverse regions, cultural performances, and interactive exhibits, providing a comprehensive journey thr"&amp;"ough Indonesia's heritage.")</f>
        <v>Discover the rich cultural tapestry of Indonesia at Taman Mini Indonesia Indah (TMII). This expansive park features miniature replicas of the country's diverse regions, cultural performances, and interactive exhibits, providing a comprehensive journey through Indonesia's heritage.</v>
      </c>
      <c r="G7" s="39" t="str">
        <f>IFERROR(__xludf.DUMMYFUNCTION("""COMPUTED_VALUE"""),"-6.3020386")</f>
        <v>-6.3020386</v>
      </c>
      <c r="H7" s="39" t="str">
        <f>IFERROR(__xludf.DUMMYFUNCTION("""COMPUTED_VALUE"""),"106.8898924")</f>
        <v>106.8898924</v>
      </c>
      <c r="I7" s="40" t="str">
        <f>IFERROR(__xludf.DUMMYFUNCTION("""COMPUTED_VALUE"""),"Everyday")</f>
        <v>Everyday</v>
      </c>
      <c r="J7" s="41" t="str">
        <f>IFERROR(__xludf.DUMMYFUNCTION("""COMPUTED_VALUE"""),"25000")</f>
        <v>25000</v>
      </c>
      <c r="K7" s="42"/>
      <c r="L7" s="43"/>
      <c r="M7" s="43"/>
      <c r="N7" s="43"/>
      <c r="O7" s="43"/>
      <c r="P7" s="43"/>
      <c r="Q7" s="43"/>
      <c r="R7" s="43"/>
      <c r="S7" s="43"/>
      <c r="T7" s="43"/>
      <c r="U7" s="43"/>
      <c r="V7" s="43"/>
      <c r="W7" s="43"/>
      <c r="X7" s="43"/>
      <c r="Y7" s="43"/>
      <c r="Z7" s="43"/>
    </row>
    <row r="8" ht="15.75" customHeight="1">
      <c r="A8" s="35" t="str">
        <f>IFERROR(__xludf.DUMMYFUNCTION("""COMPUTED_VALUE"""),"117")</f>
        <v>117</v>
      </c>
      <c r="B8" s="35" t="str">
        <f>IFERROR(__xludf.DUMMYFUNCTION("""COMPUTED_VALUE"""),"7")</f>
        <v>7</v>
      </c>
      <c r="C8" s="36">
        <f>IFERROR(__xludf.DUMMYFUNCTION("""COMPUTED_VALUE"""),1.0)</f>
        <v>1</v>
      </c>
      <c r="D8" s="37" t="str">
        <f>IFERROR(__xludf.DUMMYFUNCTION("""COMPUTED_VALUE"""),"Atlantis Ancol")</f>
        <v>Atlantis Ancol</v>
      </c>
      <c r="E8" s="36">
        <f>IFERROR(__xludf.DUMMYFUNCTION("""COMPUTED_VALUE"""),1.0)</f>
        <v>1</v>
      </c>
      <c r="F8" s="38" t="str">
        <f>IFERROR(__xludf.DUMMYFUNCTION("""COMPUTED_VALUE"""),"Escape to the tropical paradise of Atlantis Ancol, a water-themed attraction offering a variety of slides, pools, and water-based activities. Perfect for a refreshing day out with family and friends.")</f>
        <v>Escape to the tropical paradise of Atlantis Ancol, a water-themed attraction offering a variety of slides, pools, and water-based activities. Perfect for a refreshing day out with family and friends.</v>
      </c>
      <c r="G8" s="39" t="str">
        <f>IFERROR(__xludf.DUMMYFUNCTION("""COMPUTED_VALUE"""),"-6.1241900")</f>
        <v>-6.1241900</v>
      </c>
      <c r="H8" s="39" t="str">
        <f>IFERROR(__xludf.DUMMYFUNCTION("""COMPUTED_VALUE"""),"106.8391340")</f>
        <v>106.8391340</v>
      </c>
      <c r="I8" s="40" t="str">
        <f>IFERROR(__xludf.DUMMYFUNCTION("""COMPUTED_VALUE"""),"Everyday")</f>
        <v>Everyday</v>
      </c>
      <c r="J8" s="41" t="str">
        <f>IFERROR(__xludf.DUMMYFUNCTION("""COMPUTED_VALUE"""),"52250")</f>
        <v>52250</v>
      </c>
      <c r="K8" s="42"/>
      <c r="L8" s="43"/>
      <c r="M8" s="43"/>
      <c r="N8" s="43"/>
      <c r="O8" s="43"/>
      <c r="P8" s="43"/>
      <c r="Q8" s="43"/>
      <c r="R8" s="43"/>
      <c r="S8" s="43"/>
      <c r="T8" s="43"/>
      <c r="U8" s="43"/>
      <c r="V8" s="43"/>
      <c r="W8" s="43"/>
      <c r="X8" s="43"/>
      <c r="Y8" s="43"/>
      <c r="Z8" s="43"/>
    </row>
    <row r="9" ht="15.75" customHeight="1">
      <c r="A9" s="35" t="str">
        <f>IFERROR(__xludf.DUMMYFUNCTION("""COMPUTED_VALUE"""),"118")</f>
        <v>118</v>
      </c>
      <c r="B9" s="35" t="str">
        <f>IFERROR(__xludf.DUMMYFUNCTION("""COMPUTED_VALUE"""),"8")</f>
        <v>8</v>
      </c>
      <c r="C9" s="36">
        <f>IFERROR(__xludf.DUMMYFUNCTION("""COMPUTED_VALUE"""),1.0)</f>
        <v>1</v>
      </c>
      <c r="D9" s="44" t="str">
        <f>IFERROR(__xludf.DUMMYFUNCTION("""COMPUTED_VALUE"""),"The Wave Pondok Indah Waterpark")</f>
        <v>The Wave Pondok Indah Waterpark</v>
      </c>
      <c r="E9" s="36">
        <f>IFERROR(__xludf.DUMMYFUNCTION("""COMPUTED_VALUE"""),1.0)</f>
        <v>1</v>
      </c>
      <c r="F9" s="38" t="str">
        <f>IFERROR(__xludf.DUMMYFUNCTION("""COMPUTED_VALUE"""),"Make a splash at The Wave Pondok Indah Waterpark, a haven of water-based excitement and relaxation. From thrilling slides to lazy rivers, this waterpark caters to both adrenaline seekers and those looking for a leisurely day in the sun.")</f>
        <v>Make a splash at The Wave Pondok Indah Waterpark, a haven of water-based excitement and relaxation. From thrilling slides to lazy rivers, this waterpark caters to both adrenaline seekers and those looking for a leisurely day in the sun.</v>
      </c>
      <c r="G9" s="39" t="str">
        <f>IFERROR(__xludf.DUMMYFUNCTION("""COMPUTED_VALUE"""),"-6.2677295")</f>
        <v>-6.2677295</v>
      </c>
      <c r="H9" s="39" t="str">
        <f>IFERROR(__xludf.DUMMYFUNCTION("""COMPUTED_VALUE"""),"106.7843933")</f>
        <v>106.7843933</v>
      </c>
      <c r="I9" s="40" t="str">
        <f>IFERROR(__xludf.DUMMYFUNCTION("""COMPUTED_VALUE"""),"Everyday")</f>
        <v>Everyday</v>
      </c>
      <c r="J9" s="41" t="str">
        <f>IFERROR(__xludf.DUMMYFUNCTION("""COMPUTED_VALUE"""),"90000")</f>
        <v>90000</v>
      </c>
      <c r="K9" s="42"/>
      <c r="L9" s="43"/>
      <c r="M9" s="43"/>
      <c r="N9" s="43"/>
      <c r="O9" s="43"/>
      <c r="P9" s="43"/>
      <c r="Q9" s="43"/>
      <c r="R9" s="43"/>
      <c r="S9" s="43"/>
      <c r="T9" s="43"/>
      <c r="U9" s="43"/>
      <c r="V9" s="43"/>
      <c r="W9" s="43"/>
      <c r="X9" s="43"/>
      <c r="Y9" s="43"/>
      <c r="Z9" s="43"/>
    </row>
    <row r="10" ht="15.75" customHeight="1">
      <c r="A10" s="35" t="str">
        <f>IFERROR(__xludf.DUMMYFUNCTION("""COMPUTED_VALUE"""),"119")</f>
        <v>119</v>
      </c>
      <c r="B10" s="35" t="str">
        <f>IFERROR(__xludf.DUMMYFUNCTION("""COMPUTED_VALUE"""),"9")</f>
        <v>9</v>
      </c>
      <c r="C10" s="36">
        <f>IFERROR(__xludf.DUMMYFUNCTION("""COMPUTED_VALUE"""),1.0)</f>
        <v>1</v>
      </c>
      <c r="D10" s="44" t="str">
        <f>IFERROR(__xludf.DUMMYFUNCTION("""COMPUTED_VALUE"""),"Gondola Ancol Tickets")</f>
        <v>Gondola Ancol Tickets</v>
      </c>
      <c r="E10" s="36">
        <f>IFERROR(__xludf.DUMMYFUNCTION("""COMPUTED_VALUE"""),1.0)</f>
        <v>1</v>
      </c>
      <c r="F10" s="38" t="str">
        <f>IFERROR(__xludf.DUMMYFUNCTION("""COMPUTED_VALUE"""),"Embark on a scenic journey with Gondola Ancol Tickets. Glide over the enchanting landscapes of Ancol while enjoying breathtaking views from the comfort of a gondola.")</f>
        <v>Embark on a scenic journey with Gondola Ancol Tickets. Glide over the enchanting landscapes of Ancol while enjoying breathtaking views from the comfort of a gondola.</v>
      </c>
      <c r="G10" s="39" t="str">
        <f>IFERROR(__xludf.DUMMYFUNCTION("""COMPUTED_VALUE"""),"-6.1255410")</f>
        <v>-6.1255410</v>
      </c>
      <c r="H10" s="39" t="str">
        <f>IFERROR(__xludf.DUMMYFUNCTION("""COMPUTED_VALUE"""),"106.8412451")</f>
        <v>106.8412451</v>
      </c>
      <c r="I10" s="40" t="str">
        <f>IFERROR(__xludf.DUMMYFUNCTION("""COMPUTED_VALUE"""),"Everyday")</f>
        <v>Everyday</v>
      </c>
      <c r="J10" s="41" t="str">
        <f>IFERROR(__xludf.DUMMYFUNCTION("""COMPUTED_VALUE"""),"57000")</f>
        <v>57000</v>
      </c>
      <c r="K10" s="42"/>
      <c r="L10" s="43"/>
      <c r="M10" s="43"/>
      <c r="N10" s="43"/>
      <c r="O10" s="43"/>
      <c r="P10" s="43"/>
      <c r="Q10" s="43"/>
      <c r="R10" s="43"/>
      <c r="S10" s="43"/>
      <c r="T10" s="43"/>
      <c r="U10" s="43"/>
      <c r="V10" s="43"/>
      <c r="W10" s="43"/>
      <c r="X10" s="43"/>
      <c r="Y10" s="43"/>
      <c r="Z10" s="43"/>
    </row>
    <row r="11" ht="15.75" customHeight="1">
      <c r="A11" s="35" t="str">
        <f>IFERROR(__xludf.DUMMYFUNCTION("""COMPUTED_VALUE"""),"1110")</f>
        <v>1110</v>
      </c>
      <c r="B11" s="35" t="str">
        <f>IFERROR(__xludf.DUMMYFUNCTION("""COMPUTED_VALUE"""),"10")</f>
        <v>10</v>
      </c>
      <c r="C11" s="36">
        <f>IFERROR(__xludf.DUMMYFUNCTION("""COMPUTED_VALUE"""),1.0)</f>
        <v>1</v>
      </c>
      <c r="D11" s="44" t="str">
        <f>IFERROR(__xludf.DUMMYFUNCTION("""COMPUTED_VALUE"""),"Trans Studio Cibubur")</f>
        <v>Trans Studio Cibubur</v>
      </c>
      <c r="E11" s="36">
        <f>IFERROR(__xludf.DUMMYFUNCTION("""COMPUTED_VALUE"""),1.0)</f>
        <v>1</v>
      </c>
      <c r="F11" s="38" t="str">
        <f>IFERROR(__xludf.DUMMYFUNCTION("""COMPUTED_VALUE"""),"Indulge in a world of entertainment at Trans Studio Cibubur. With its mix of thrilling rides, live shows, and themed zones, this indoor theme park promises an unforgettable experience for visitors of all ages.")</f>
        <v>Indulge in a world of entertainment at Trans Studio Cibubur. With its mix of thrilling rides, live shows, and themed zones, this indoor theme park promises an unforgettable experience for visitors of all ages.</v>
      </c>
      <c r="G11" s="39" t="str">
        <f>IFERROR(__xludf.DUMMYFUNCTION("""COMPUTED_VALUE"""),"-6.3756707")</f>
        <v>-6.3756707</v>
      </c>
      <c r="H11" s="39" t="str">
        <f>IFERROR(__xludf.DUMMYFUNCTION("""COMPUTED_VALUE"""),"106.9019455")</f>
        <v>106.9019455</v>
      </c>
      <c r="I11" s="40" t="str">
        <f>IFERROR(__xludf.DUMMYFUNCTION("""COMPUTED_VALUE"""),"Everyday")</f>
        <v>Everyday</v>
      </c>
      <c r="J11" s="41" t="str">
        <f>IFERROR(__xludf.DUMMYFUNCTION("""COMPUTED_VALUE"""),"235000")</f>
        <v>235000</v>
      </c>
      <c r="K11" s="42"/>
      <c r="L11" s="43"/>
      <c r="M11" s="43"/>
      <c r="N11" s="43"/>
      <c r="O11" s="43"/>
      <c r="P11" s="43"/>
      <c r="Q11" s="43"/>
      <c r="R11" s="43"/>
      <c r="S11" s="43"/>
      <c r="T11" s="43"/>
      <c r="U11" s="43"/>
      <c r="V11" s="43"/>
      <c r="W11" s="43"/>
      <c r="X11" s="43"/>
      <c r="Y11" s="43"/>
      <c r="Z11" s="43"/>
    </row>
    <row r="12" ht="15.75" customHeight="1">
      <c r="A12" s="35" t="str">
        <f>IFERROR(__xludf.DUMMYFUNCTION("""COMPUTED_VALUE"""),"1111")</f>
        <v>1111</v>
      </c>
      <c r="B12" s="35" t="str">
        <f>IFERROR(__xludf.DUMMYFUNCTION("""COMPUTED_VALUE"""),"11")</f>
        <v>11</v>
      </c>
      <c r="C12" s="36">
        <f>IFERROR(__xludf.DUMMYFUNCTION("""COMPUTED_VALUE"""),1.0)</f>
        <v>1</v>
      </c>
      <c r="D12" s="44" t="str">
        <f>IFERROR(__xludf.DUMMYFUNCTION("""COMPUTED_VALUE"""),"Tiket Skyworld Indonesia")</f>
        <v>Tiket Skyworld Indonesia</v>
      </c>
      <c r="E12" s="36">
        <f>IFERROR(__xludf.DUMMYFUNCTION("""COMPUTED_VALUE"""),1.0)</f>
        <v>1</v>
      </c>
      <c r="F12" s="38" t="str">
        <f>IFERROR(__xludf.DUMMYFUNCTION("""COMPUTED_VALUE"""),"Elevate your senses at Skyworld Indonesia. Offering panoramic views of the city, this observation deck is the perfect vantage point to appreciate Jakarta's skyline and beyond.")</f>
        <v>Elevate your senses at Skyworld Indonesia. Offering panoramic views of the city, this observation deck is the perfect vantage point to appreciate Jakarta's skyline and beyond.</v>
      </c>
      <c r="G12" s="39" t="str">
        <f>IFERROR(__xludf.DUMMYFUNCTION("""COMPUTED_VALUE"""),"-6.2995990")</f>
        <v>-6.2995990</v>
      </c>
      <c r="H12" s="39" t="str">
        <f>IFERROR(__xludf.DUMMYFUNCTION("""COMPUTED_VALUE"""),"106.8948577")</f>
        <v>106.8948577</v>
      </c>
      <c r="I12" s="40" t="str">
        <f>IFERROR(__xludf.DUMMYFUNCTION("""COMPUTED_VALUE"""),"Everyday")</f>
        <v>Everyday</v>
      </c>
      <c r="J12" s="41" t="str">
        <f>IFERROR(__xludf.DUMMYFUNCTION("""COMPUTED_VALUE"""),"77200")</f>
        <v>77200</v>
      </c>
      <c r="K12" s="42"/>
      <c r="L12" s="43"/>
      <c r="M12" s="43"/>
      <c r="N12" s="43"/>
      <c r="O12" s="43"/>
      <c r="P12" s="43"/>
      <c r="Q12" s="43"/>
      <c r="R12" s="43"/>
      <c r="S12" s="43"/>
      <c r="T12" s="43"/>
      <c r="U12" s="43"/>
      <c r="V12" s="43"/>
      <c r="W12" s="43"/>
      <c r="X12" s="43"/>
      <c r="Y12" s="43"/>
      <c r="Z12" s="43"/>
    </row>
    <row r="13" ht="15.75" customHeight="1">
      <c r="A13" s="35" t="str">
        <f>IFERROR(__xludf.DUMMYFUNCTION("""COMPUTED_VALUE"""),"1212")</f>
        <v>1212</v>
      </c>
      <c r="B13" s="35" t="str">
        <f>IFERROR(__xludf.DUMMYFUNCTION("""COMPUTED_VALUE"""),"12")</f>
        <v>12</v>
      </c>
      <c r="C13" s="36">
        <f>IFERROR(__xludf.DUMMYFUNCTION("""COMPUTED_VALUE"""),1.0)</f>
        <v>1</v>
      </c>
      <c r="D13" s="44" t="str">
        <f>IFERROR(__xludf.DUMMYFUNCTION("""COMPUTED_VALUE"""),"Museum MACAN (Modern And Contemporary Art In Nusantara)")</f>
        <v>Museum MACAN (Modern And Contemporary Art In Nusantara)</v>
      </c>
      <c r="E13" s="36">
        <f>IFERROR(__xludf.DUMMYFUNCTION("""COMPUTED_VALUE"""),2.0)</f>
        <v>2</v>
      </c>
      <c r="F13" s="38" t="str">
        <f>IFERROR(__xludf.DUMMYFUNCTION("""COMPUTED_VALUE"""),"Immerse yourself in the world of contemporary art at Museum MACAN. Featuring a diverse collection of modern artworks, this museum provides a thought-provoking journey through Indonesia's vibrant art scene.
")</f>
        <v>Immerse yourself in the world of contemporary art at Museum MACAN. Featuring a diverse collection of modern artworks, this museum provides a thought-provoking journey through Indonesia's vibrant art scene.
</v>
      </c>
      <c r="G13" s="39" t="str">
        <f>IFERROR(__xludf.DUMMYFUNCTION("""COMPUTED_VALUE"""),"-6.1910434")</f>
        <v>-6.1910434</v>
      </c>
      <c r="H13" s="39" t="str">
        <f>IFERROR(__xludf.DUMMYFUNCTION("""COMPUTED_VALUE"""),"106.7679858")</f>
        <v>106.7679858</v>
      </c>
      <c r="I13" s="40" t="str">
        <f>IFERROR(__xludf.DUMMYFUNCTION("""COMPUTED_VALUE"""),"Everyday")</f>
        <v>Everyday</v>
      </c>
      <c r="J13" s="41" t="str">
        <f>IFERROR(__xludf.DUMMYFUNCTION("""COMPUTED_VALUE"""),"70000")</f>
        <v>70000</v>
      </c>
      <c r="K13" s="42"/>
      <c r="L13" s="43"/>
      <c r="M13" s="43"/>
      <c r="N13" s="43"/>
      <c r="O13" s="43"/>
      <c r="P13" s="43"/>
      <c r="Q13" s="43"/>
      <c r="R13" s="43"/>
      <c r="S13" s="43"/>
      <c r="T13" s="43"/>
      <c r="U13" s="43"/>
      <c r="V13" s="43"/>
      <c r="W13" s="43"/>
      <c r="X13" s="43"/>
      <c r="Y13" s="43"/>
      <c r="Z13" s="43"/>
    </row>
    <row r="14" ht="15.75" customHeight="1">
      <c r="A14" s="35" t="str">
        <f>IFERROR(__xludf.DUMMYFUNCTION("""COMPUTED_VALUE"""),"1313")</f>
        <v>1313</v>
      </c>
      <c r="B14" s="35" t="str">
        <f>IFERROR(__xludf.DUMMYFUNCTION("""COMPUTED_VALUE"""),"13")</f>
        <v>13</v>
      </c>
      <c r="C14" s="36">
        <f>IFERROR(__xludf.DUMMYFUNCTION("""COMPUTED_VALUE"""),1.0)</f>
        <v>1</v>
      </c>
      <c r="D14" s="37" t="str">
        <f>IFERROR(__xludf.DUMMYFUNCTION("""COMPUTED_VALUE"""),"HOLEO Golf &amp; Museum")</f>
        <v>HOLEO Golf &amp; Museum</v>
      </c>
      <c r="E14" s="36">
        <f>IFERROR(__xludf.DUMMYFUNCTION("""COMPUTED_VALUE"""),3.0)</f>
        <v>3</v>
      </c>
      <c r="F14" s="38" t="str">
        <f>IFERROR(__xludf.DUMMYFUNCTION("""COMPUTED_VALUE"""),"Combine leisure and culture at HOLEO Golf &amp; Museum. Tee off at the scenic golf course and explore the museum, showcasing a blend of art and golf history.")</f>
        <v>Combine leisure and culture at HOLEO Golf &amp; Museum. Tee off at the scenic golf course and explore the museum, showcasing a blend of art and golf history.</v>
      </c>
      <c r="G14" s="39" t="str">
        <f>IFERROR(__xludf.DUMMYFUNCTION("""COMPUTED_VALUE"""),"-6.1783645")</f>
        <v>-6.1783645</v>
      </c>
      <c r="H14" s="39" t="str">
        <f>IFERROR(__xludf.DUMMYFUNCTION("""COMPUTED_VALUE"""),"106.8105113")</f>
        <v>106.8105113</v>
      </c>
      <c r="I14" s="40" t="str">
        <f>IFERROR(__xludf.DUMMYFUNCTION("""COMPUTED_VALUE"""),"Everyday")</f>
        <v>Everyday</v>
      </c>
      <c r="J14" s="41" t="str">
        <f>IFERROR(__xludf.DUMMYFUNCTION("""COMPUTED_VALUE"""),"80000")</f>
        <v>80000</v>
      </c>
      <c r="K14" s="42"/>
      <c r="L14" s="43"/>
      <c r="M14" s="43"/>
      <c r="N14" s="43"/>
      <c r="O14" s="43"/>
      <c r="P14" s="43"/>
      <c r="Q14" s="43"/>
      <c r="R14" s="43"/>
      <c r="S14" s="43"/>
      <c r="T14" s="43"/>
      <c r="U14" s="43"/>
      <c r="V14" s="43"/>
      <c r="W14" s="43"/>
      <c r="X14" s="43"/>
      <c r="Y14" s="43"/>
      <c r="Z14" s="43"/>
    </row>
    <row r="15" ht="15.75" customHeight="1">
      <c r="A15" s="35" t="str">
        <f>IFERROR(__xludf.DUMMYFUNCTION("""COMPUTED_VALUE"""),"1114")</f>
        <v>1114</v>
      </c>
      <c r="B15" s="35" t="str">
        <f>IFERROR(__xludf.DUMMYFUNCTION("""COMPUTED_VALUE"""),"14")</f>
        <v>14</v>
      </c>
      <c r="C15" s="36">
        <f>IFERROR(__xludf.DUMMYFUNCTION("""COMPUTED_VALUE"""),1.0)</f>
        <v>1</v>
      </c>
      <c r="D15" s="40" t="str">
        <f>IFERROR(__xludf.DUMMYFUNCTION("""COMPUTED_VALUE"""),"Jakarta Aquarium")</f>
        <v>Jakarta Aquarium</v>
      </c>
      <c r="E15" s="36">
        <f>IFERROR(__xludf.DUMMYFUNCTION("""COMPUTED_VALUE"""),1.0)</f>
        <v>1</v>
      </c>
      <c r="F15" s="45" t="str">
        <f>IFERROR(__xludf.DUMMYFUNCTION("""COMPUTED_VALUE"""),"Dive into a world of aquatic wonders at Jakarta Aquarium. From mesmerizing jellyfish displays to interactive touch pools, this attraction offers an immersive experience for marine enthusiasts.")</f>
        <v>Dive into a world of aquatic wonders at Jakarta Aquarium. From mesmerizing jellyfish displays to interactive touch pools, this attraction offers an immersive experience for marine enthusiasts.</v>
      </c>
      <c r="G15" s="39" t="str">
        <f>IFERROR(__xludf.DUMMYFUNCTION("""COMPUTED_VALUE"""),"-6.1748990")</f>
        <v>-6.1748990</v>
      </c>
      <c r="H15" s="39" t="str">
        <f>IFERROR(__xludf.DUMMYFUNCTION("""COMPUTED_VALUE"""),"106.7900112")</f>
        <v>106.7900112</v>
      </c>
      <c r="I15" s="40" t="str">
        <f>IFERROR(__xludf.DUMMYFUNCTION("""COMPUTED_VALUE"""),"Everyday")</f>
        <v>Everyday</v>
      </c>
      <c r="J15" s="46" t="str">
        <f>IFERROR(__xludf.DUMMYFUNCTION("""COMPUTED_VALUE"""),"76800")</f>
        <v>76800</v>
      </c>
      <c r="K15" s="42"/>
      <c r="L15" s="43"/>
      <c r="M15" s="43"/>
      <c r="N15" s="43"/>
      <c r="O15" s="43"/>
      <c r="P15" s="43"/>
      <c r="Q15" s="43"/>
      <c r="R15" s="43"/>
      <c r="S15" s="43"/>
      <c r="T15" s="43"/>
      <c r="U15" s="43"/>
      <c r="V15" s="43"/>
      <c r="W15" s="43"/>
      <c r="X15" s="43"/>
      <c r="Y15" s="43"/>
      <c r="Z15" s="43"/>
    </row>
    <row r="16" ht="15.75" customHeight="1">
      <c r="A16" s="35" t="str">
        <f>IFERROR(__xludf.DUMMYFUNCTION("""COMPUTED_VALUE"""),"1215")</f>
        <v>1215</v>
      </c>
      <c r="B16" s="35" t="str">
        <f>IFERROR(__xludf.DUMMYFUNCTION("""COMPUTED_VALUE"""),"15")</f>
        <v>15</v>
      </c>
      <c r="C16" s="36">
        <f>IFERROR(__xludf.DUMMYFUNCTION("""COMPUTED_VALUE"""),1.0)</f>
        <v>1</v>
      </c>
      <c r="D16" s="40" t="str">
        <f>IFERROR(__xludf.DUMMYFUNCTION("""COMPUTED_VALUE"""),"OneThreeLand di TMII")</f>
        <v>OneThreeLand di TMII</v>
      </c>
      <c r="E16" s="36">
        <f>IFERROR(__xludf.DUMMYFUNCTION("""COMPUTED_VALUE"""),2.0)</f>
        <v>2</v>
      </c>
      <c r="F16" s="38" t="str">
        <f>IFERROR(__xludf.DUMMYFUNCTION("""COMPUTED_VALUE"""),"Step into the fantastical realm of OneThreeLand at TMII, where whimsical characters and enchanting landscapes come to life. Perfect for families and those seeking a touch of magic.")</f>
        <v>Step into the fantastical realm of OneThreeLand at TMII, where whimsical characters and enchanting landscapes come to life. Perfect for families and those seeking a touch of magic.</v>
      </c>
      <c r="G16" s="39" t="str">
        <f>IFERROR(__xludf.DUMMYFUNCTION("""COMPUTED_VALUE"""),"-6.3020386")</f>
        <v>-6.3020386</v>
      </c>
      <c r="H16" s="39" t="str">
        <f>IFERROR(__xludf.DUMMYFUNCTION("""COMPUTED_VALUE"""),"106.8898924")</f>
        <v>106.8898924</v>
      </c>
      <c r="I16" s="40" t="str">
        <f>IFERROR(__xludf.DUMMYFUNCTION("""COMPUTED_VALUE"""),"Everyday")</f>
        <v>Everyday</v>
      </c>
      <c r="J16" s="46" t="str">
        <f>IFERROR(__xludf.DUMMYFUNCTION("""COMPUTED_VALUE"""),"30000")</f>
        <v>30000</v>
      </c>
      <c r="K16" s="42"/>
      <c r="L16" s="43"/>
      <c r="M16" s="43"/>
      <c r="N16" s="43"/>
      <c r="O16" s="43"/>
      <c r="P16" s="43"/>
      <c r="Q16" s="43"/>
      <c r="R16" s="43"/>
      <c r="S16" s="43"/>
      <c r="T16" s="43"/>
      <c r="U16" s="43"/>
      <c r="V16" s="43"/>
      <c r="W16" s="43"/>
      <c r="X16" s="43"/>
      <c r="Y16" s="43"/>
      <c r="Z16" s="43"/>
    </row>
    <row r="17" ht="15.75" customHeight="1">
      <c r="A17" s="35" t="str">
        <f>IFERROR(__xludf.DUMMYFUNCTION("""COMPUTED_VALUE"""),"1416")</f>
        <v>1416</v>
      </c>
      <c r="B17" s="35" t="str">
        <f>IFERROR(__xludf.DUMMYFUNCTION("""COMPUTED_VALUE"""),"16")</f>
        <v>16</v>
      </c>
      <c r="C17" s="36">
        <f>IFERROR(__xludf.DUMMYFUNCTION("""COMPUTED_VALUE"""),1.0)</f>
        <v>1</v>
      </c>
      <c r="D17" s="40" t="str">
        <f>IFERROR(__xludf.DUMMYFUNCTION("""COMPUTED_VALUE"""),"Pestapora")</f>
        <v>Pestapora</v>
      </c>
      <c r="E17" s="36">
        <f>IFERROR(__xludf.DUMMYFUNCTION("""COMPUTED_VALUE"""),4.0)</f>
        <v>4</v>
      </c>
      <c r="F17" s="38" t="str">
        <f>IFERROR(__xludf.DUMMYFUNCTION("""COMPUTED_VALUE"""),"Join the celebration at Pestapora, an event that brings together music, art, and culture. Experience a vibrant atmosphere with live performances, artistic displays, and a gathering of creative minds.")</f>
        <v>Join the celebration at Pestapora, an event that brings together music, art, and culture. Experience a vibrant atmosphere with live performances, artistic displays, and a gathering of creative minds.</v>
      </c>
      <c r="G17" s="39" t="str">
        <f>IFERROR(__xludf.DUMMYFUNCTION("""COMPUTED_VALUE"""),"-6.1464353")</f>
        <v>-6.1464353</v>
      </c>
      <c r="H17" s="39" t="str">
        <f>IFERROR(__xludf.DUMMYFUNCTION("""COMPUTED_VALUE"""),"106.8452360")</f>
        <v>106.8452360</v>
      </c>
      <c r="I17" s="40" t="str">
        <f>IFERROR(__xludf.DUMMYFUNCTION("""COMPUTED_VALUE"""),"21 - 22 Juli 2023")</f>
        <v>21 - 22 Juli 2023</v>
      </c>
      <c r="J17" s="46" t="str">
        <f>IFERROR(__xludf.DUMMYFUNCTION("""COMPUTED_VALUE"""),"275000")</f>
        <v>275000</v>
      </c>
      <c r="K17" s="42"/>
      <c r="L17" s="43"/>
      <c r="M17" s="43"/>
      <c r="N17" s="43"/>
      <c r="O17" s="43"/>
      <c r="P17" s="43"/>
      <c r="Q17" s="43"/>
      <c r="R17" s="43"/>
      <c r="S17" s="43"/>
      <c r="T17" s="43"/>
      <c r="U17" s="43"/>
      <c r="V17" s="43"/>
      <c r="W17" s="43"/>
      <c r="X17" s="43"/>
      <c r="Y17" s="43"/>
      <c r="Z17" s="43"/>
    </row>
    <row r="18" ht="15.75" customHeight="1">
      <c r="A18" s="35" t="str">
        <f>IFERROR(__xludf.DUMMYFUNCTION("""COMPUTED_VALUE"""),"1417")</f>
        <v>1417</v>
      </c>
      <c r="B18" s="35" t="str">
        <f>IFERROR(__xludf.DUMMYFUNCTION("""COMPUTED_VALUE"""),"17")</f>
        <v>17</v>
      </c>
      <c r="C18" s="36">
        <f>IFERROR(__xludf.DUMMYFUNCTION("""COMPUTED_VALUE"""),1.0)</f>
        <v>1</v>
      </c>
      <c r="D18" s="40" t="str">
        <f>IFERROR(__xludf.DUMMYFUNCTION("""COMPUTED_VALUE"""),"Djakarta Warehouse Project")</f>
        <v>Djakarta Warehouse Project</v>
      </c>
      <c r="E18" s="36">
        <f>IFERROR(__xludf.DUMMYFUNCTION("""COMPUTED_VALUE"""),4.0)</f>
        <v>4</v>
      </c>
      <c r="F18" s="38" t="str">
        <f>IFERROR(__xludf.DUMMYFUNCTION("""COMPUTED_VALUE"""),"For electronic music enthusiasts, Djakarta Warehouse Project is a must-attend event. Immerse yourself in the beats of renowned DJs, creating an unforgettable nightlife experience.")</f>
        <v>For electronic music enthusiasts, Djakarta Warehouse Project is a must-attend event. Immerse yourself in the beats of renowned DJs, creating an unforgettable nightlife experience.</v>
      </c>
      <c r="G18" s="39" t="str">
        <f>IFERROR(__xludf.DUMMYFUNCTION("""COMPUTED_VALUE"""),"-6.1464353")</f>
        <v>-6.1464353</v>
      </c>
      <c r="H18" s="39" t="str">
        <f>IFERROR(__xludf.DUMMYFUNCTION("""COMPUTED_VALUE"""),"106.8452360")</f>
        <v>106.8452360</v>
      </c>
      <c r="I18" s="40" t="str">
        <f>IFERROR(__xludf.DUMMYFUNCTION("""COMPUTED_VALUE"""),"25 - 27 Agustus 2023")</f>
        <v>25 - 27 Agustus 2023</v>
      </c>
      <c r="J18" s="46" t="str">
        <f>IFERROR(__xludf.DUMMYFUNCTION("""COMPUTED_VALUE"""),"1800000")</f>
        <v>1800000</v>
      </c>
      <c r="K18" s="42"/>
      <c r="L18" s="43"/>
      <c r="M18" s="43"/>
      <c r="N18" s="43"/>
      <c r="O18" s="43"/>
      <c r="P18" s="43"/>
      <c r="Q18" s="43"/>
      <c r="R18" s="43"/>
      <c r="S18" s="43"/>
      <c r="T18" s="43"/>
      <c r="U18" s="43"/>
      <c r="V18" s="43"/>
      <c r="W18" s="43"/>
      <c r="X18" s="43"/>
      <c r="Y18" s="43"/>
      <c r="Z18" s="43"/>
    </row>
    <row r="19" ht="15.75" customHeight="1">
      <c r="A19" s="35" t="str">
        <f>IFERROR(__xludf.DUMMYFUNCTION("""COMPUTED_VALUE"""),"1418")</f>
        <v>1418</v>
      </c>
      <c r="B19" s="35" t="str">
        <f>IFERROR(__xludf.DUMMYFUNCTION("""COMPUTED_VALUE"""),"18")</f>
        <v>18</v>
      </c>
      <c r="C19" s="36">
        <f>IFERROR(__xludf.DUMMYFUNCTION("""COMPUTED_VALUE"""),1.0)</f>
        <v>1</v>
      </c>
      <c r="D19" s="40" t="str">
        <f>IFERROR(__xludf.DUMMYFUNCTION("""COMPUTED_VALUE"""),"We the Fest")</f>
        <v>We the Fest</v>
      </c>
      <c r="E19" s="36">
        <f>IFERROR(__xludf.DUMMYFUNCTION("""COMPUTED_VALUE"""),4.0)</f>
        <v>4</v>
      </c>
      <c r="F19" s="38" t="str">
        <f>IFERROR(__xludf.DUMMYFUNCTION("""COMPUTED_VALUE"""),"We the Fest is a music and arts festival that promises a diverse lineup of performers, art installations, and a vibrant atmosphere. Join the community and celebrate 2 in all its forms.")</f>
        <v>We the Fest is a music and arts festival that promises a diverse lineup of performers, art installations, and a vibrant atmosphere. Join the community and celebrate 2 in all its forms.</v>
      </c>
      <c r="G19" s="39" t="str">
        <f>IFERROR(__xludf.DUMMYFUNCTION("""COMPUTED_VALUE"""),"-6.2186488")</f>
        <v>-6.2186488</v>
      </c>
      <c r="H19" s="39" t="str">
        <f>IFERROR(__xludf.DUMMYFUNCTION("""COMPUTED_VALUE"""),"106.8017727")</f>
        <v>106.8017727</v>
      </c>
      <c r="I19" s="40" t="str">
        <f>IFERROR(__xludf.DUMMYFUNCTION("""COMPUTED_VALUE"""),"22 - 24 September 2023")</f>
        <v>22 - 24 September 2023</v>
      </c>
      <c r="J19" s="46" t="str">
        <f>IFERROR(__xludf.DUMMYFUNCTION("""COMPUTED_VALUE"""),"1200000")</f>
        <v>1200000</v>
      </c>
      <c r="K19" s="42"/>
      <c r="L19" s="43"/>
      <c r="M19" s="43"/>
      <c r="N19" s="43"/>
      <c r="O19" s="43"/>
      <c r="P19" s="43"/>
      <c r="Q19" s="43"/>
      <c r="R19" s="43"/>
      <c r="S19" s="43"/>
      <c r="T19" s="43"/>
      <c r="U19" s="43"/>
      <c r="V19" s="43"/>
      <c r="W19" s="43"/>
      <c r="X19" s="43"/>
      <c r="Y19" s="43"/>
      <c r="Z19" s="43"/>
    </row>
    <row r="20" ht="15.75" customHeight="1">
      <c r="A20" s="35" t="str">
        <f>IFERROR(__xludf.DUMMYFUNCTION("""COMPUTED_VALUE"""),"1519")</f>
        <v>1519</v>
      </c>
      <c r="B20" s="35" t="str">
        <f>IFERROR(__xludf.DUMMYFUNCTION("""COMPUTED_VALUE"""),"19")</f>
        <v>19</v>
      </c>
      <c r="C20" s="36">
        <f>IFERROR(__xludf.DUMMYFUNCTION("""COMPUTED_VALUE"""),1.0)</f>
        <v>1</v>
      </c>
      <c r="D20" s="40" t="str">
        <f>IFERROR(__xludf.DUMMYFUNCTION("""COMPUTED_VALUE"""),"Festival Jajan Bango")</f>
        <v>Festival Jajan Bango</v>
      </c>
      <c r="E20" s="36">
        <f>IFERROR(__xludf.DUMMYFUNCTION("""COMPUTED_VALUE"""),5.0)</f>
        <v>5</v>
      </c>
      <c r="F20" s="38" t="str">
        <f>IFERROR(__xludf.DUMMYFUNCTION("""COMPUTED_VALUE"""),"Indulge your taste buds at Festival Jajan Bango, where culinary delights take center stage. Explore a variety of flavorful dishes, snacks, and street food from local and international cuisines.")</f>
        <v>Indulge your taste buds at Festival Jajan Bango, where culinary delights take center stage. Explore a variety of flavorful dishes, snacks, and street food from local and international cuisines.</v>
      </c>
      <c r="G20" s="39" t="str">
        <f>IFERROR(__xludf.DUMMYFUNCTION("""COMPUTED_VALUE"""),"-6.2186488")</f>
        <v>-6.2186488</v>
      </c>
      <c r="H20" s="39" t="str">
        <f>IFERROR(__xludf.DUMMYFUNCTION("""COMPUTED_VALUE"""),"106.8017727")</f>
        <v>106.8017727</v>
      </c>
      <c r="I20" s="40" t="str">
        <f>IFERROR(__xludf.DUMMYFUNCTION("""COMPUTED_VALUE"""),"2 - 3 September 2023")</f>
        <v>2 - 3 September 2023</v>
      </c>
      <c r="J20" s="46" t="str">
        <f>IFERROR(__xludf.DUMMYFUNCTION("""COMPUTED_VALUE"""),"Free")</f>
        <v>Free</v>
      </c>
      <c r="K20" s="42"/>
      <c r="L20" s="43"/>
      <c r="M20" s="43"/>
      <c r="N20" s="43"/>
      <c r="O20" s="43"/>
      <c r="P20" s="43"/>
      <c r="Q20" s="43"/>
      <c r="R20" s="43"/>
      <c r="S20" s="43"/>
      <c r="T20" s="43"/>
      <c r="U20" s="43"/>
      <c r="V20" s="43"/>
      <c r="W20" s="43"/>
      <c r="X20" s="43"/>
      <c r="Y20" s="43"/>
      <c r="Z20" s="43"/>
    </row>
    <row r="21" ht="15.75" customHeight="1">
      <c r="A21" s="35" t="str">
        <f>IFERROR(__xludf.DUMMYFUNCTION("""COMPUTED_VALUE"""),"1420")</f>
        <v>1420</v>
      </c>
      <c r="B21" s="35" t="str">
        <f>IFERROR(__xludf.DUMMYFUNCTION("""COMPUTED_VALUE"""),"20")</f>
        <v>20</v>
      </c>
      <c r="C21" s="36">
        <f>IFERROR(__xludf.DUMMYFUNCTION("""COMPUTED_VALUE"""),1.0)</f>
        <v>1</v>
      </c>
      <c r="D21" s="40" t="str">
        <f>IFERROR(__xludf.DUMMYFUNCTION("""COMPUTED_VALUE"""),"Synchronize Fest")</f>
        <v>Synchronize Fest</v>
      </c>
      <c r="E21" s="36">
        <f>IFERROR(__xludf.DUMMYFUNCTION("""COMPUTED_VALUE"""),4.0)</f>
        <v>4</v>
      </c>
      <c r="F21" s="38" t="str">
        <f>IFERROR(__xludf.DUMMYFUNCTION("""COMPUTED_VALUE"""),"Synchronize Fest is a celebration of music diversity, featuring a lineup that spans genres and styles. Join fellow music lovers for an unforgettable experience of live performances and energetic vibes.")</f>
        <v>Synchronize Fest is a celebration of music diversity, featuring a lineup that spans genres and styles. Join fellow music lovers for an unforgettable experience of live performances and energetic vibes.</v>
      </c>
      <c r="G21" s="39" t="str">
        <f>IFERROR(__xludf.DUMMYFUNCTION("""COMPUTED_VALUE"""),"-6.1464353")</f>
        <v>-6.1464353</v>
      </c>
      <c r="H21" s="39" t="str">
        <f>IFERROR(__xludf.DUMMYFUNCTION("""COMPUTED_VALUE"""),"106.8452360")</f>
        <v>106.8452360</v>
      </c>
      <c r="I21" s="40" t="str">
        <f>IFERROR(__xludf.DUMMYFUNCTION("""COMPUTED_VALUE"""),"29 - 31 Juli 2023")</f>
        <v>29 - 31 Juli 2023</v>
      </c>
      <c r="J21" s="46" t="str">
        <f>IFERROR(__xludf.DUMMYFUNCTION("""COMPUTED_VALUE"""),"27500")</f>
        <v>27500</v>
      </c>
      <c r="K21" s="42"/>
      <c r="L21" s="43"/>
      <c r="M21" s="43"/>
      <c r="N21" s="43"/>
      <c r="O21" s="43"/>
      <c r="P21" s="43"/>
      <c r="Q21" s="43"/>
      <c r="R21" s="43"/>
      <c r="S21" s="43"/>
      <c r="T21" s="43"/>
      <c r="U21" s="43"/>
      <c r="V21" s="43"/>
      <c r="W21" s="43"/>
      <c r="X21" s="43"/>
      <c r="Y21" s="43"/>
      <c r="Z21" s="43"/>
    </row>
    <row r="22" ht="15.75" customHeight="1">
      <c r="A22" s="35" t="str">
        <f>IFERROR(__xludf.DUMMYFUNCTION("""COMPUTED_VALUE"""),"1421")</f>
        <v>1421</v>
      </c>
      <c r="B22" s="35" t="str">
        <f>IFERROR(__xludf.DUMMYFUNCTION("""COMPUTED_VALUE"""),"21")</f>
        <v>21</v>
      </c>
      <c r="C22" s="36">
        <f>IFERROR(__xludf.DUMMYFUNCTION("""COMPUTED_VALUE"""),1.0)</f>
        <v>1</v>
      </c>
      <c r="D22" s="40" t="str">
        <f>IFERROR(__xludf.DUMMYFUNCTION("""COMPUTED_VALUE"""),"Soundrenaline")</f>
        <v>Soundrenaline</v>
      </c>
      <c r="E22" s="36">
        <f>IFERROR(__xludf.DUMMYFUNCTION("""COMPUTED_VALUE"""),4.0)</f>
        <v>4</v>
      </c>
      <c r="F22" s="38" t="str">
        <f>IFERROR(__xludf.DUMMYFUNCTION("""COMPUTED_VALUE"""),"Experience the adrenaline of live music at Soundrenaline. This festival showcases a dynamic lineup of bands and artists, creating an electric atmosphere for music enthusiasts.")</f>
        <v>Experience the adrenaline of live music at Soundrenaline. This festival showcases a dynamic lineup of bands and artists, creating an electric atmosphere for music enthusiasts.</v>
      </c>
      <c r="G22" s="39" t="str">
        <f>IFERROR(__xludf.DUMMYFUNCTION("""COMPUTED_VALUE"""),"-6.1554057")</f>
        <v>-6.1554057</v>
      </c>
      <c r="H22" s="39" t="str">
        <f>IFERROR(__xludf.DUMMYFUNCTION("""COMPUTED_VALUE"""),"106.8926634")</f>
        <v>106.8926634</v>
      </c>
      <c r="I22" s="40" t="str">
        <f>IFERROR(__xludf.DUMMYFUNCTION("""COMPUTED_VALUE"""),"20 - 22 Agustus 2023")</f>
        <v>20 - 22 Agustus 2023</v>
      </c>
      <c r="J22" s="46" t="str">
        <f>IFERROR(__xludf.DUMMYFUNCTION("""COMPUTED_VALUE"""),"30000")</f>
        <v>30000</v>
      </c>
      <c r="K22" s="42"/>
      <c r="L22" s="43"/>
      <c r="M22" s="43"/>
      <c r="N22" s="43"/>
      <c r="O22" s="43"/>
      <c r="P22" s="43"/>
      <c r="Q22" s="43"/>
      <c r="R22" s="43"/>
      <c r="S22" s="43"/>
      <c r="T22" s="43"/>
      <c r="U22" s="43"/>
      <c r="V22" s="43"/>
      <c r="W22" s="43"/>
      <c r="X22" s="43"/>
      <c r="Y22" s="43"/>
      <c r="Z22" s="43"/>
    </row>
    <row r="23" ht="15.75" customHeight="1">
      <c r="A23" s="35" t="str">
        <f>IFERROR(__xludf.DUMMYFUNCTION("""COMPUTED_VALUE"""),"1422")</f>
        <v>1422</v>
      </c>
      <c r="B23" s="35" t="str">
        <f>IFERROR(__xludf.DUMMYFUNCTION("""COMPUTED_VALUE"""),"22")</f>
        <v>22</v>
      </c>
      <c r="C23" s="36">
        <f>IFERROR(__xludf.DUMMYFUNCTION("""COMPUTED_VALUE"""),1.0)</f>
        <v>1</v>
      </c>
      <c r="D23" s="40" t="str">
        <f>IFERROR(__xludf.DUMMYFUNCTION("""COMPUTED_VALUE"""),"Joyland Festival")</f>
        <v>Joyland Festival</v>
      </c>
      <c r="E23" s="36">
        <f>IFERROR(__xludf.DUMMYFUNCTION("""COMPUTED_VALUE"""),4.0)</f>
        <v>4</v>
      </c>
      <c r="F23" s="38" t="str">
        <f>IFERROR(__xludf.DUMMYFUNCTION("""COMPUTED_VALUE"""),"Joyland Festival is a family-friendly event that combines entertainment and education. With interactive exhibits, live performances, and engaging activities, it's a joyful experience for all ages.")</f>
        <v>Joyland Festival is a family-friendly event that combines entertainment and education. With interactive exhibits, live performances, and engaging activities, it's a joyful experience for all ages.</v>
      </c>
      <c r="G23" s="39" t="str">
        <f>IFERROR(__xludf.DUMMYFUNCTION("""COMPUTED_VALUE"""),"-6.2186488")</f>
        <v>-6.2186488</v>
      </c>
      <c r="H23" s="39" t="str">
        <f>IFERROR(__xludf.DUMMYFUNCTION("""COMPUTED_VALUE"""),"106.8017727")</f>
        <v>106.8017727</v>
      </c>
      <c r="I23" s="40" t="str">
        <f>IFERROR(__xludf.DUMMYFUNCTION("""COMPUTED_VALUE"""),"12 - 14 Agustus 2023")</f>
        <v>12 - 14 Agustus 2023</v>
      </c>
      <c r="J23" s="46" t="str">
        <f>IFERROR(__xludf.DUMMYFUNCTION("""COMPUTED_VALUE"""),"1200000")</f>
        <v>1200000</v>
      </c>
      <c r="K23" s="42"/>
      <c r="L23" s="43"/>
      <c r="M23" s="43"/>
      <c r="N23" s="43"/>
      <c r="O23" s="43"/>
      <c r="P23" s="43"/>
      <c r="Q23" s="43"/>
      <c r="R23" s="43"/>
      <c r="S23" s="43"/>
      <c r="T23" s="43"/>
      <c r="U23" s="43"/>
      <c r="V23" s="43"/>
      <c r="W23" s="43"/>
      <c r="X23" s="43"/>
      <c r="Y23" s="43"/>
      <c r="Z23" s="43"/>
    </row>
    <row r="24" ht="15.75" customHeight="1">
      <c r="A24" s="35" t="str">
        <f>IFERROR(__xludf.DUMMYFUNCTION("""COMPUTED_VALUE"""),"1423")</f>
        <v>1423</v>
      </c>
      <c r="B24" s="35" t="str">
        <f>IFERROR(__xludf.DUMMYFUNCTION("""COMPUTED_VALUE"""),"23")</f>
        <v>23</v>
      </c>
      <c r="C24" s="36">
        <f>IFERROR(__xludf.DUMMYFUNCTION("""COMPUTED_VALUE"""),1.0)</f>
        <v>1</v>
      </c>
      <c r="D24" s="40" t="str">
        <f>IFERROR(__xludf.DUMMYFUNCTION("""COMPUTED_VALUE"""),"Java Jazz Festival")</f>
        <v>Java Jazz Festival</v>
      </c>
      <c r="E24" s="36">
        <f>IFERROR(__xludf.DUMMYFUNCTION("""COMPUTED_VALUE"""),4.0)</f>
        <v>4</v>
      </c>
      <c r="F24" s="38" t="str">
        <f>IFERROR(__xludf.DUMMYFUNCTION("""COMPUTED_VALUE"""),"Jazz enthusiasts unite at the Java Jazz Festival, where world-class musicians gather to showcase their talents. Enjoy a weekend filled with smooth melodies and the soulful sounds of jazz.")</f>
        <v>Jazz enthusiasts unite at the Java Jazz Festival, where world-class musicians gather to showcase their talents. Enjoy a weekend filled with smooth melodies and the soulful sounds of jazz.</v>
      </c>
      <c r="G24" s="39" t="str">
        <f>IFERROR(__xludf.DUMMYFUNCTION("""COMPUTED_VALUE"""),"-6.1464353")</f>
        <v>-6.1464353</v>
      </c>
      <c r="H24" s="39" t="str">
        <f>IFERROR(__xludf.DUMMYFUNCTION("""COMPUTED_VALUE"""),"106.8452360")</f>
        <v>106.8452360</v>
      </c>
      <c r="I24" s="40" t="str">
        <f>IFERROR(__xludf.DUMMYFUNCTION("""COMPUTED_VALUE"""),"1 - 3 Desember 2023")</f>
        <v>1 - 3 Desember 2023</v>
      </c>
      <c r="J24" s="46" t="str">
        <f>IFERROR(__xludf.DUMMYFUNCTION("""COMPUTED_VALUE"""),"1800000")</f>
        <v>1800000</v>
      </c>
      <c r="K24" s="42"/>
      <c r="L24" s="43"/>
      <c r="M24" s="43"/>
      <c r="N24" s="43"/>
      <c r="O24" s="43"/>
      <c r="P24" s="43"/>
      <c r="Q24" s="43"/>
      <c r="R24" s="43"/>
      <c r="S24" s="43"/>
      <c r="T24" s="43"/>
      <c r="U24" s="43"/>
      <c r="V24" s="43"/>
      <c r="W24" s="43"/>
      <c r="X24" s="43"/>
      <c r="Y24" s="43"/>
      <c r="Z24" s="43"/>
    </row>
    <row r="25" ht="15.75" customHeight="1">
      <c r="A25" s="35" t="str">
        <f>IFERROR(__xludf.DUMMYFUNCTION("""COMPUTED_VALUE"""),"1424")</f>
        <v>1424</v>
      </c>
      <c r="B25" s="35" t="str">
        <f>IFERROR(__xludf.DUMMYFUNCTION("""COMPUTED_VALUE"""),"24")</f>
        <v>24</v>
      </c>
      <c r="C25" s="36">
        <f>IFERROR(__xludf.DUMMYFUNCTION("""COMPUTED_VALUE"""),1.0)</f>
        <v>1</v>
      </c>
      <c r="D25" s="40" t="str">
        <f>IFERROR(__xludf.DUMMYFUNCTION("""COMPUTED_VALUE"""),"Hammersonic")</f>
        <v>Hammersonic</v>
      </c>
      <c r="E25" s="36">
        <f>IFERROR(__xludf.DUMMYFUNCTION("""COMPUTED_VALUE"""),4.0)</f>
        <v>4</v>
      </c>
      <c r="F25" s="38" t="str">
        <f>IFERROR(__xludf.DUMMYFUNCTION("""COMPUTED_VALUE"""),"For metalheads, Hammersonic is the ultimate destination. This metal music festival features intense performances, headbanging beats, and an atmosphere of pure energy.")</f>
        <v>For metalheads, Hammersonic is the ultimate destination. This metal music festival features intense performances, headbanging beats, and an atmosphere of pure energy.</v>
      </c>
      <c r="G25" s="47" t="str">
        <f>IFERROR(__xludf.DUMMYFUNCTION("""COMPUTED_VALUE"""),"-6.1175836")</f>
        <v>-6.1175836</v>
      </c>
      <c r="H25" s="48" t="str">
        <f>IFERROR(__xludf.DUMMYFUNCTION("""COMPUTED_VALUE"""),"106.8578154")</f>
        <v>106.8578154</v>
      </c>
      <c r="I25" s="40" t="str">
        <f>IFERROR(__xludf.DUMMYFUNCTION("""COMPUTED_VALUE"""),"29 - 30 Juli 2023")</f>
        <v>29 - 30 Juli 2023</v>
      </c>
      <c r="J25" s="46" t="str">
        <f>IFERROR(__xludf.DUMMYFUNCTION("""COMPUTED_VALUE"""),"1500000")</f>
        <v>1500000</v>
      </c>
      <c r="K25" s="42"/>
      <c r="L25" s="43"/>
      <c r="M25" s="43"/>
      <c r="N25" s="43"/>
      <c r="O25" s="43"/>
      <c r="P25" s="43"/>
      <c r="Q25" s="43"/>
      <c r="R25" s="43"/>
      <c r="S25" s="43"/>
      <c r="T25" s="43"/>
      <c r="U25" s="43"/>
      <c r="V25" s="43"/>
      <c r="W25" s="43"/>
      <c r="X25" s="43"/>
      <c r="Y25" s="43"/>
      <c r="Z25" s="43"/>
    </row>
    <row r="26" ht="15.75" customHeight="1">
      <c r="A26" s="35" t="str">
        <f>IFERROR(__xludf.DUMMYFUNCTION("""COMPUTED_VALUE"""),"1425")</f>
        <v>1425</v>
      </c>
      <c r="B26" s="35" t="str">
        <f>IFERROR(__xludf.DUMMYFUNCTION("""COMPUTED_VALUE"""),"25")</f>
        <v>25</v>
      </c>
      <c r="C26" s="36">
        <f>IFERROR(__xludf.DUMMYFUNCTION("""COMPUTED_VALUE"""),1.0)</f>
        <v>1</v>
      </c>
      <c r="D26" s="40" t="str">
        <f>IFERROR(__xludf.DUMMYFUNCTION("""COMPUTED_VALUE"""),"Skyavenue")</f>
        <v>Skyavenue</v>
      </c>
      <c r="E26" s="36">
        <f>IFERROR(__xludf.DUMMYFUNCTION("""COMPUTED_VALUE"""),4.0)</f>
        <v>4</v>
      </c>
      <c r="F26" s="38" t="str">
        <f>IFERROR(__xludf.DUMMYFUNCTION("""COMPUTED_VALUE"""),"Elevate your senses at Skyavenue, an event that combines music, art, and breathtaking views. Experience a fusion of 2 against the backdrop of the city skyline.")</f>
        <v>Elevate your senses at Skyavenue, an event that combines music, art, and breathtaking views. Experience a fusion of 2 against the backdrop of the city skyline.</v>
      </c>
      <c r="G26" s="48" t="str">
        <f>IFERROR(__xludf.DUMMYFUNCTION("""COMPUTED_VALUE"""),"-6.2202283")</f>
        <v>-6.2202283</v>
      </c>
      <c r="H26" s="48" t="str">
        <f>IFERROR(__xludf.DUMMYFUNCTION("""COMPUTED_VALUE"""),"106.8056639")</f>
        <v>106.8056639</v>
      </c>
      <c r="I26" s="40" t="str">
        <f>IFERROR(__xludf.DUMMYFUNCTION("""COMPUTED_VALUE"""),"1 - 2 Desember")</f>
        <v>1 - 2 Desember</v>
      </c>
      <c r="J26" s="46" t="str">
        <f>IFERROR(__xludf.DUMMYFUNCTION("""COMPUTED_VALUE"""),"25000")</f>
        <v>25000</v>
      </c>
      <c r="K26" s="42"/>
      <c r="L26" s="43"/>
      <c r="M26" s="43"/>
      <c r="N26" s="43"/>
      <c r="O26" s="43"/>
      <c r="P26" s="43"/>
      <c r="Q26" s="43"/>
      <c r="R26" s="43"/>
      <c r="S26" s="43"/>
      <c r="T26" s="43"/>
      <c r="U26" s="43"/>
      <c r="V26" s="43"/>
      <c r="W26" s="43"/>
      <c r="X26" s="43"/>
      <c r="Y26" s="43"/>
      <c r="Z26" s="43"/>
    </row>
    <row r="27" ht="15.75" customHeight="1">
      <c r="A27" s="35" t="str">
        <f>IFERROR(__xludf.DUMMYFUNCTION("""COMPUTED_VALUE"""),"1526")</f>
        <v>1526</v>
      </c>
      <c r="B27" s="35" t="str">
        <f>IFERROR(__xludf.DUMMYFUNCTION("""COMPUTED_VALUE"""),"26")</f>
        <v>26</v>
      </c>
      <c r="C27" s="36">
        <f>IFERROR(__xludf.DUMMYFUNCTION("""COMPUTED_VALUE"""),1.0)</f>
        <v>1</v>
      </c>
      <c r="D27" s="40" t="str">
        <f>IFERROR(__xludf.DUMMYFUNCTION("""COMPUTED_VALUE"""),"Brightspot Jakarta")</f>
        <v>Brightspot Jakarta</v>
      </c>
      <c r="E27" s="36">
        <f>IFERROR(__xludf.DUMMYFUNCTION("""COMPUTED_VALUE"""),5.0)</f>
        <v>5</v>
      </c>
      <c r="F27" s="38" t="str">
        <f>IFERROR(__xludf.DUMMYFUNCTION("""COMPUTED_VALUE"""),"Celebrate 2 and design at Brightspot Jakarta. This event showcases a curated selection of fashion, art, and lifestyle products from emerging and established designers.")</f>
        <v>Celebrate 2 and design at Brightspot Jakarta. This event showcases a curated selection of fashion, art, and lifestyle products from emerging and established designers.</v>
      </c>
      <c r="G27" s="48" t="str">
        <f>IFERROR(__xludf.DUMMYFUNCTION("""COMPUTED_VALUE"""),"-6.2255865")</f>
        <v>-6.2255865</v>
      </c>
      <c r="H27" s="48" t="str">
        <f>IFERROR(__xludf.DUMMYFUNCTION("""COMPUTED_VALUE"""),"106.7967224")</f>
        <v>106.7967224</v>
      </c>
      <c r="I27" s="40" t="str">
        <f>IFERROR(__xludf.DUMMYFUNCTION("""COMPUTED_VALUE"""),"22 - 24 Juli 2023")</f>
        <v>22 - 24 Juli 2023</v>
      </c>
      <c r="J27" s="46" t="str">
        <f>IFERROR(__xludf.DUMMYFUNCTION("""COMPUTED_VALUE"""),"Free")</f>
        <v>Free</v>
      </c>
      <c r="K27" s="42"/>
      <c r="L27" s="43"/>
      <c r="M27" s="43"/>
      <c r="N27" s="43"/>
      <c r="O27" s="43"/>
      <c r="P27" s="43"/>
      <c r="Q27" s="43"/>
      <c r="R27" s="43"/>
      <c r="S27" s="43"/>
      <c r="T27" s="43"/>
      <c r="U27" s="43"/>
      <c r="V27" s="43"/>
      <c r="W27" s="43"/>
      <c r="X27" s="43"/>
      <c r="Y27" s="43"/>
      <c r="Z27" s="43"/>
    </row>
    <row r="28" ht="15.75" customHeight="1">
      <c r="A28" s="35" t="str">
        <f>IFERROR(__xludf.DUMMYFUNCTION("""COMPUTED_VALUE"""),"1427")</f>
        <v>1427</v>
      </c>
      <c r="B28" s="35" t="str">
        <f>IFERROR(__xludf.DUMMYFUNCTION("""COMPUTED_VALUE"""),"27")</f>
        <v>27</v>
      </c>
      <c r="C28" s="36">
        <f>IFERROR(__xludf.DUMMYFUNCTION("""COMPUTED_VALUE"""),1.0)</f>
        <v>1</v>
      </c>
      <c r="D28" s="40" t="str">
        <f>IFERROR(__xludf.DUMMYFUNCTION("""COMPUTED_VALUE"""),"High School Celebration 34")</f>
        <v>High School Celebration 34</v>
      </c>
      <c r="E28" s="36">
        <f>IFERROR(__xludf.DUMMYFUNCTION("""COMPUTED_VALUE"""),4.0)</f>
        <v>4</v>
      </c>
      <c r="F28" s="38" t="str">
        <f>IFERROR(__xludf.DUMMYFUNCTION("""COMPUTED_VALUE"""),"High School Celebration 34 is a spirited gathering for high school students, filled with festivities, performances, and the chance to create lasting memories with friends.")</f>
        <v>High School Celebration 34 is a spirited gathering for high school students, filled with festivities, performances, and the chance to create lasting memories with friends.</v>
      </c>
      <c r="G28" s="48" t="str">
        <f>IFERROR(__xludf.DUMMYFUNCTION("""COMPUTED_VALUE"""),"-6.3134118")</f>
        <v>-6.3134118</v>
      </c>
      <c r="H28" s="48" t="str">
        <f>IFERROR(__xludf.DUMMYFUNCTION("""COMPUTED_VALUE"""),"106.7922743")</f>
        <v>106.7922743</v>
      </c>
      <c r="I28" s="40" t="str">
        <f>IFERROR(__xludf.DUMMYFUNCTION("""COMPUTED_VALUE"""),"15 - 17 September 2023")</f>
        <v>15 - 17 September 2023</v>
      </c>
      <c r="J28" s="46" t="str">
        <f>IFERROR(__xludf.DUMMYFUNCTION("""COMPUTED_VALUE"""),"10000")</f>
        <v>10000</v>
      </c>
      <c r="K28" s="42"/>
      <c r="L28" s="43"/>
      <c r="M28" s="43"/>
      <c r="N28" s="43"/>
      <c r="O28" s="43"/>
      <c r="P28" s="43"/>
      <c r="Q28" s="43"/>
      <c r="R28" s="43"/>
      <c r="S28" s="43"/>
      <c r="T28" s="43"/>
      <c r="U28" s="43"/>
      <c r="V28" s="43"/>
      <c r="W28" s="43"/>
      <c r="X28" s="43"/>
      <c r="Y28" s="43"/>
      <c r="Z28" s="43"/>
    </row>
    <row r="29" ht="15.75" customHeight="1">
      <c r="A29" s="35" t="str">
        <f>IFERROR(__xludf.DUMMYFUNCTION("""COMPUTED_VALUE"""),"1528")</f>
        <v>1528</v>
      </c>
      <c r="B29" s="35" t="str">
        <f>IFERROR(__xludf.DUMMYFUNCTION("""COMPUTED_VALUE"""),"28")</f>
        <v>28</v>
      </c>
      <c r="C29" s="36">
        <f>IFERROR(__xludf.DUMMYFUNCTION("""COMPUTED_VALUE"""),1.0)</f>
        <v>1</v>
      </c>
      <c r="D29" s="40" t="str">
        <f>IFERROR(__xludf.DUMMYFUNCTION("""COMPUTED_VALUE"""),"Urban Sneaker Society")</f>
        <v>Urban Sneaker Society</v>
      </c>
      <c r="E29" s="36">
        <f>IFERROR(__xludf.DUMMYFUNCTION("""COMPUTED_VALUE"""),5.0)</f>
        <v>5</v>
      </c>
      <c r="F29" s="38" t="str">
        <f>IFERROR(__xludf.DUMMYFUNCTION("""COMPUTED_VALUE"""),"Sneaker enthusiasts, unite at Urban Sneaker Society. Explore the latest trends, limited editions, and connect with fellow sneakerheads in this vibrant event.")</f>
        <v>Sneaker enthusiasts, unite at Urban Sneaker Society. Explore the latest trends, limited editions, and connect with fellow sneakerheads in this vibrant event.</v>
      </c>
      <c r="G29" s="48" t="str">
        <f>IFERROR(__xludf.DUMMYFUNCTION("""COMPUTED_VALUE"""),"-6.217601")</f>
        <v>-6.217601</v>
      </c>
      <c r="H29" s="48" t="str">
        <f>IFERROR(__xludf.DUMMYFUNCTION("""COMPUTED_VALUE"""),"106.7983324")</f>
        <v>106.7983324</v>
      </c>
      <c r="I29" s="40" t="str">
        <f>IFERROR(__xludf.DUMMYFUNCTION("""COMPUTED_VALUE"""),"26 - 28 Agustus 2023")</f>
        <v>26 - 28 Agustus 2023</v>
      </c>
      <c r="J29" s="46" t="str">
        <f>IFERROR(__xludf.DUMMYFUNCTION("""COMPUTED_VALUE"""),"100000")</f>
        <v>100000</v>
      </c>
      <c r="K29" s="42"/>
      <c r="L29" s="43"/>
      <c r="M29" s="43"/>
      <c r="N29" s="43"/>
      <c r="O29" s="43"/>
      <c r="P29" s="43"/>
      <c r="Q29" s="43"/>
      <c r="R29" s="43"/>
      <c r="S29" s="43"/>
      <c r="T29" s="43"/>
      <c r="U29" s="43"/>
      <c r="V29" s="43"/>
      <c r="W29" s="43"/>
      <c r="X29" s="43"/>
      <c r="Y29" s="43"/>
      <c r="Z29" s="43"/>
    </row>
    <row r="30" ht="15.75" customHeight="1">
      <c r="A30" s="35" t="str">
        <f>IFERROR(__xludf.DUMMYFUNCTION("""COMPUTED_VALUE"""),"1529")</f>
        <v>1529</v>
      </c>
      <c r="B30" s="35" t="str">
        <f>IFERROR(__xludf.DUMMYFUNCTION("""COMPUTED_VALUE"""),"29")</f>
        <v>29</v>
      </c>
      <c r="C30" s="36">
        <f>IFERROR(__xludf.DUMMYFUNCTION("""COMPUTED_VALUE"""),1.0)</f>
        <v>1</v>
      </c>
      <c r="D30" s="40" t="str">
        <f>IFERROR(__xludf.DUMMYFUNCTION("""COMPUTED_VALUE"""),"Lala Market")</f>
        <v>Lala Market</v>
      </c>
      <c r="E30" s="36">
        <f>IFERROR(__xludf.DUMMYFUNCTION("""COMPUTED_VALUE"""),5.0)</f>
        <v>5</v>
      </c>
      <c r="F30" s="38" t="str">
        <f>IFERROR(__xludf.DUMMYFUNCTION("""COMPUTED_VALUE"""),"Lala Market is a trendy marketplace featuring a curated selection of fashion, accessories, and lifestyle products. Discover unique finds and enjoy a day of shopping and socializing.")</f>
        <v>Lala Market is a trendy marketplace featuring a curated selection of fashion, accessories, and lifestyle products. Discover unique finds and enjoy a day of shopping and socializing.</v>
      </c>
      <c r="G30" s="48" t="str">
        <f>IFERROR(__xludf.DUMMYFUNCTION("""COMPUTED_VALUE"""),"-6.2115934")</f>
        <v>-6.2115934</v>
      </c>
      <c r="H30" s="48" t="str">
        <f>IFERROR(__xludf.DUMMYFUNCTION("""COMPUTED_VALUE"""),"106.8187208")</f>
        <v>106.8187208</v>
      </c>
      <c r="I30" s="40" t="str">
        <f>IFERROR(__xludf.DUMMYFUNCTION("""COMPUTED_VALUE"""),"5 - 7  Agustus 2023")</f>
        <v>5 - 7  Agustus 2023</v>
      </c>
      <c r="J30" s="46" t="str">
        <f>IFERROR(__xludf.DUMMYFUNCTION("""COMPUTED_VALUE"""),"Free")</f>
        <v>Free</v>
      </c>
      <c r="K30" s="42"/>
      <c r="L30" s="43"/>
      <c r="M30" s="43"/>
      <c r="N30" s="43"/>
      <c r="O30" s="43"/>
      <c r="P30" s="43"/>
      <c r="Q30" s="43"/>
      <c r="R30" s="43"/>
      <c r="S30" s="43"/>
      <c r="T30" s="43"/>
      <c r="U30" s="43"/>
      <c r="V30" s="43"/>
      <c r="W30" s="43"/>
      <c r="X30" s="43"/>
      <c r="Y30" s="43"/>
      <c r="Z30" s="43"/>
    </row>
    <row r="31" ht="15.75" customHeight="1">
      <c r="A31" s="35" t="str">
        <f>IFERROR(__xludf.DUMMYFUNCTION("""COMPUTED_VALUE"""),"1530")</f>
        <v>1530</v>
      </c>
      <c r="B31" s="35" t="str">
        <f>IFERROR(__xludf.DUMMYFUNCTION("""COMPUTED_VALUE"""),"30")</f>
        <v>30</v>
      </c>
      <c r="C31" s="36">
        <f>IFERROR(__xludf.DUMMYFUNCTION("""COMPUTED_VALUE"""),1.0)</f>
        <v>1</v>
      </c>
      <c r="D31" s="40" t="str">
        <f>IFERROR(__xludf.DUMMYFUNCTION("""COMPUTED_VALUE"""),"Market Museum")</f>
        <v>Market Museum</v>
      </c>
      <c r="E31" s="36">
        <f>IFERROR(__xludf.DUMMYFUNCTION("""COMPUTED_VALUE"""),5.0)</f>
        <v>5</v>
      </c>
      <c r="F31" s="38" t="str">
        <f>IFERROR(__xludf.DUMMYFUNCTION("""COMPUTED_VALUE"""),"Market Museum is a creative hub that brings together artists, designers, and makers. Explore unique products, engage in workshops, and immerse yourself in the local creative scene.")</f>
        <v>Market Museum is a creative hub that brings together artists, designers, and makers. Explore unique products, engage in workshops, and immerse yourself in the local creative scene.</v>
      </c>
      <c r="G31" s="48" t="str">
        <f>IFERROR(__xludf.DUMMYFUNCTION("""COMPUTED_VALUE"""),"-6.2579655")</f>
        <v>-6.2579655</v>
      </c>
      <c r="H31" s="48" t="str">
        <f>IFERROR(__xludf.DUMMYFUNCTION("""COMPUTED_VALUE"""),"106.8057629")</f>
        <v>106.8057629</v>
      </c>
      <c r="I31" s="40" t="str">
        <f>IFERROR(__xludf.DUMMYFUNCTION("""COMPUTED_VALUE"""),"29 - 31 Juli 2023")</f>
        <v>29 - 31 Juli 2023</v>
      </c>
      <c r="J31" s="46" t="str">
        <f>IFERROR(__xludf.DUMMYFUNCTION("""COMPUTED_VALUE"""),"Free")</f>
        <v>Free</v>
      </c>
      <c r="K31" s="42"/>
      <c r="L31" s="43"/>
      <c r="M31" s="43"/>
      <c r="N31" s="43"/>
      <c r="O31" s="43"/>
      <c r="P31" s="43"/>
      <c r="Q31" s="43"/>
      <c r="R31" s="43"/>
      <c r="S31" s="43"/>
      <c r="T31" s="43"/>
      <c r="U31" s="43"/>
      <c r="V31" s="43"/>
      <c r="W31" s="43"/>
      <c r="X31" s="43"/>
      <c r="Y31" s="43"/>
      <c r="Z31" s="43"/>
    </row>
    <row r="32" ht="15.75" customHeight="1">
      <c r="A32" s="35" t="str">
        <f>IFERROR(__xludf.DUMMYFUNCTION("""COMPUTED_VALUE"""),"1531")</f>
        <v>1531</v>
      </c>
      <c r="B32" s="35" t="str">
        <f>IFERROR(__xludf.DUMMYFUNCTION("""COMPUTED_VALUE"""),"31")</f>
        <v>31</v>
      </c>
      <c r="C32" s="36">
        <f>IFERROR(__xludf.DUMMYFUNCTION("""COMPUTED_VALUE"""),1.0)</f>
        <v>1</v>
      </c>
      <c r="D32" s="40" t="str">
        <f>IFERROR(__xludf.DUMMYFUNCTION("""COMPUTED_VALUE"""),"Jakarta Culinary Feastival (JCF)")</f>
        <v>Jakarta Culinary Feastival (JCF)</v>
      </c>
      <c r="E32" s="36">
        <f>IFERROR(__xludf.DUMMYFUNCTION("""COMPUTED_VALUE"""),5.0)</f>
        <v>5</v>
      </c>
      <c r="F32" s="38" t="str">
        <f>IFERROR(__xludf.DUMMYFUNCTION("""COMPUTED_VALUE"""),"Indulge in a culinary extravaganza at Jakarta Culinary Feastival (JCF). From gourmet dishes to street food delights, this festival celebrates the diverse and delicious world of food.")</f>
        <v>Indulge in a culinary extravaganza at Jakarta Culinary Feastival (JCF). From gourmet dishes to street food delights, this festival celebrates the diverse and delicious world of food.</v>
      </c>
      <c r="G32" s="48" t="str">
        <f>IFERROR(__xludf.DUMMYFUNCTION("""COMPUTED_VALUE"""),"-6.22719")</f>
        <v>-6.22719</v>
      </c>
      <c r="H32" s="48" t="str">
        <f>IFERROR(__xludf.DUMMYFUNCTION("""COMPUTED_VALUE"""),"106.7944314")</f>
        <v>106.7944314</v>
      </c>
      <c r="I32" s="40" t="str">
        <f>IFERROR(__xludf.DUMMYFUNCTION("""COMPUTED_VALUE"""),"15 - 17 September 2023")</f>
        <v>15 - 17 September 2023</v>
      </c>
      <c r="J32" s="46" t="str">
        <f>IFERROR(__xludf.DUMMYFUNCTION("""COMPUTED_VALUE"""),"Free")</f>
        <v>Free</v>
      </c>
      <c r="K32" s="42"/>
      <c r="L32" s="43"/>
      <c r="M32" s="43"/>
      <c r="N32" s="43"/>
      <c r="O32" s="43"/>
      <c r="P32" s="43"/>
      <c r="Q32" s="43"/>
      <c r="R32" s="43"/>
      <c r="S32" s="43"/>
      <c r="T32" s="43"/>
      <c r="U32" s="43"/>
      <c r="V32" s="43"/>
      <c r="W32" s="43"/>
      <c r="X32" s="43"/>
      <c r="Y32" s="43"/>
      <c r="Z32" s="43"/>
    </row>
    <row r="33" ht="15.75" customHeight="1">
      <c r="A33" s="35" t="str">
        <f>IFERROR(__xludf.DUMMYFUNCTION("""COMPUTED_VALUE"""),"1332")</f>
        <v>1332</v>
      </c>
      <c r="B33" s="35" t="str">
        <f>IFERROR(__xludf.DUMMYFUNCTION("""COMPUTED_VALUE"""),"32")</f>
        <v>32</v>
      </c>
      <c r="C33" s="36">
        <f>IFERROR(__xludf.DUMMYFUNCTION("""COMPUTED_VALUE"""),1.0)</f>
        <v>1</v>
      </c>
      <c r="D33" s="40" t="str">
        <f>IFERROR(__xludf.DUMMYFUNCTION("""COMPUTED_VALUE"""),"Rocca Space")</f>
        <v>Rocca Space</v>
      </c>
      <c r="E33" s="36">
        <f>IFERROR(__xludf.DUMMYFUNCTION("""COMPUTED_VALUE"""),3.0)</f>
        <v>3</v>
      </c>
      <c r="F33" s="38" t="str">
        <f>IFERROR(__xludf.DUMMYFUNCTION("""COMPUTED_VALUE"""),"We are a community hub located in the heart of Jakarta, where like minded people interact and train together. A space to inspire one another with experiences and share knowledge's.")</f>
        <v>We are a community hub located in the heart of Jakarta, where like minded people interact and train together. A space to inspire one another with experiences and share knowledge's.</v>
      </c>
      <c r="G33" s="48" t="str">
        <f>IFERROR(__xludf.DUMMYFUNCTION("""COMPUTED_VALUE"""),"-6.2235029")</f>
        <v>-6.2235029</v>
      </c>
      <c r="H33" s="48" t="str">
        <f>IFERROR(__xludf.DUMMYFUNCTION("""COMPUTED_VALUE"""),"106.8022677")</f>
        <v>106.8022677</v>
      </c>
      <c r="I33" s="49" t="str">
        <f>IFERROR(__xludf.DUMMYFUNCTION("""COMPUTED_VALUE"""),"26 - 28 Agustus 2023")</f>
        <v>26 - 28 Agustus 2023</v>
      </c>
      <c r="J33" s="46" t="str">
        <f>IFERROR(__xludf.DUMMYFUNCTION("""COMPUTED_VALUE"""),"4000")</f>
        <v>4000</v>
      </c>
      <c r="K33" s="42"/>
      <c r="L33" s="43"/>
      <c r="M33" s="43"/>
      <c r="N33" s="43"/>
      <c r="O33" s="43"/>
      <c r="P33" s="43"/>
      <c r="Q33" s="43"/>
      <c r="R33" s="43"/>
      <c r="S33" s="43"/>
      <c r="T33" s="43"/>
      <c r="U33" s="43"/>
      <c r="V33" s="43"/>
      <c r="W33" s="43"/>
      <c r="X33" s="43"/>
      <c r="Y33" s="43"/>
      <c r="Z33" s="43"/>
    </row>
    <row r="34" ht="15.75" customHeight="1">
      <c r="A34" s="35" t="str">
        <f>IFERROR(__xludf.DUMMYFUNCTION("""COMPUTED_VALUE"""),"1333")</f>
        <v>1333</v>
      </c>
      <c r="B34" s="35" t="str">
        <f>IFERROR(__xludf.DUMMYFUNCTION("""COMPUTED_VALUE"""),"33")</f>
        <v>33</v>
      </c>
      <c r="C34" s="36">
        <f>IFERROR(__xludf.DUMMYFUNCTION("""COMPUTED_VALUE"""),1.0)</f>
        <v>1</v>
      </c>
      <c r="D34" s="40" t="str">
        <f>IFERROR(__xludf.DUMMYFUNCTION("""COMPUTED_VALUE"""),"Skyrun")</f>
        <v>Skyrun</v>
      </c>
      <c r="E34" s="36">
        <f>IFERROR(__xludf.DUMMYFUNCTION("""COMPUTED_VALUE"""),3.0)</f>
        <v>3</v>
      </c>
      <c r="F34" s="38" t="str">
        <f>IFERROR(__xludf.DUMMYFUNCTION("""COMPUTED_VALUE"""),"Challenge your limits at Skyrun, a thrilling vertical race that takes you to new heights. Experience the adrenaline rush as you conquer staircases and reach the summit.")</f>
        <v>Challenge your limits at Skyrun, a thrilling vertical race that takes you to new heights. Experience the adrenaline rush as you conquer staircases and reach the summit.</v>
      </c>
      <c r="G34" s="48" t="str">
        <f>IFERROR(__xludf.DUMMYFUNCTION("""COMPUTED_VALUE"""),"-6.2451839")</f>
        <v>-6.2451839</v>
      </c>
      <c r="H34" s="48" t="str">
        <f>IFERROR(__xludf.DUMMYFUNCTION("""COMPUTED_VALUE"""),"106.7890856")</f>
        <v>106.7890856</v>
      </c>
      <c r="I34" s="49">
        <f>IFERROR(__xludf.DUMMYFUNCTION("""COMPUTED_VALUE"""),45179.0)</f>
        <v>45179</v>
      </c>
      <c r="J34" s="46" t="str">
        <f>IFERROR(__xludf.DUMMYFUNCTION("""COMPUTED_VALUE"""),"250000")</f>
        <v>250000</v>
      </c>
      <c r="K34" s="42"/>
      <c r="L34" s="43"/>
      <c r="M34" s="43"/>
      <c r="N34" s="43"/>
      <c r="O34" s="43"/>
      <c r="P34" s="43"/>
      <c r="Q34" s="43"/>
      <c r="R34" s="43"/>
      <c r="S34" s="43"/>
      <c r="T34" s="43"/>
      <c r="U34" s="43"/>
      <c r="V34" s="43"/>
      <c r="W34" s="43"/>
      <c r="X34" s="43"/>
      <c r="Y34" s="43"/>
      <c r="Z34" s="43"/>
    </row>
    <row r="35" ht="15.75" customHeight="1">
      <c r="A35" s="35" t="str">
        <f>IFERROR(__xludf.DUMMYFUNCTION("""COMPUTED_VALUE"""),"1334")</f>
        <v>1334</v>
      </c>
      <c r="B35" s="35" t="str">
        <f>IFERROR(__xludf.DUMMYFUNCTION("""COMPUTED_VALUE"""),"34")</f>
        <v>34</v>
      </c>
      <c r="C35" s="36">
        <f>IFERROR(__xludf.DUMMYFUNCTION("""COMPUTED_VALUE"""),1.0)</f>
        <v>1</v>
      </c>
      <c r="D35" s="40" t="str">
        <f>IFERROR(__xludf.DUMMYFUNCTION("""COMPUTED_VALUE"""),"Eco Run Pertamina")</f>
        <v>Eco Run Pertamina</v>
      </c>
      <c r="E35" s="36">
        <f>IFERROR(__xludf.DUMMYFUNCTION("""COMPUTED_VALUE"""),3.0)</f>
        <v>3</v>
      </c>
      <c r="F35" s="38" t="str">
        <f>IFERROR(__xludf.DUMMYFUNCTION("""COMPUTED_VALUE"""),"Run for a cause at Eco Run Pertamina, a marathon that promotes environmental awareness and sustainability. Lace up your running shoes and join the movement for a greener future.")</f>
        <v>Run for a cause at Eco Run Pertamina, a marathon that promotes environmental awareness and sustainability. Lace up your running shoes and join the movement for a greener future.</v>
      </c>
      <c r="G35" s="48" t="str">
        <f>IFERROR(__xludf.DUMMYFUNCTION("""COMPUTED_VALUE"""),"-6.220223")</f>
        <v>-6.220223</v>
      </c>
      <c r="H35" s="48" t="str">
        <f>IFERROR(__xludf.DUMMYFUNCTION("""COMPUTED_VALUE"""),"106.8030836")</f>
        <v>106.8030836</v>
      </c>
      <c r="I35" s="49">
        <f>IFERROR(__xludf.DUMMYFUNCTION("""COMPUTED_VALUE"""),45193.0)</f>
        <v>45193</v>
      </c>
      <c r="J35" s="50" t="str">
        <f>IFERROR(__xludf.DUMMYFUNCTION("""COMPUTED_VALUE"""),"200000")</f>
        <v>200000</v>
      </c>
      <c r="K35" s="42"/>
      <c r="L35" s="43"/>
      <c r="M35" s="43"/>
      <c r="N35" s="43"/>
      <c r="O35" s="43"/>
      <c r="P35" s="43"/>
      <c r="Q35" s="43"/>
      <c r="R35" s="43"/>
      <c r="S35" s="43"/>
      <c r="T35" s="43"/>
      <c r="U35" s="43"/>
      <c r="V35" s="43"/>
      <c r="W35" s="43"/>
      <c r="X35" s="43"/>
      <c r="Y35" s="43"/>
      <c r="Z35" s="43"/>
    </row>
    <row r="36" ht="15.75" customHeight="1">
      <c r="A36" s="35" t="str">
        <f>IFERROR(__xludf.DUMMYFUNCTION("""COMPUTED_VALUE"""),"1335")</f>
        <v>1335</v>
      </c>
      <c r="B36" s="35" t="str">
        <f>IFERROR(__xludf.DUMMYFUNCTION("""COMPUTED_VALUE"""),"35")</f>
        <v>35</v>
      </c>
      <c r="C36" s="36">
        <f>IFERROR(__xludf.DUMMYFUNCTION("""COMPUTED_VALUE"""),1.0)</f>
        <v>1</v>
      </c>
      <c r="D36" s="37" t="str">
        <f>IFERROR(__xludf.DUMMYFUNCTION("""COMPUTED_VALUE"""),"J&amp;T Connect Run")</f>
        <v>J&amp;T Connect Run</v>
      </c>
      <c r="E36" s="36">
        <f>IFERROR(__xludf.DUMMYFUNCTION("""COMPUTED_VALUE"""),3.0)</f>
        <v>3</v>
      </c>
      <c r="F36" s="51" t="str">
        <f>IFERROR(__xludf.DUMMYFUNCTION("""COMPUTED_VALUE"""),"Participate in the J&amp;T Connect Run, a community")</f>
        <v>Participate in the J&amp;T Connect Run, a community</v>
      </c>
      <c r="G36" s="48" t="str">
        <f>IFERROR(__xludf.DUMMYFUNCTION("""COMPUTED_VALUE"""),"-6.2186012")</f>
        <v>-6.2186012</v>
      </c>
      <c r="H36" s="48" t="str">
        <f>IFERROR(__xludf.DUMMYFUNCTION("""COMPUTED_VALUE"""),"106.8025991")</f>
        <v>106.8025991</v>
      </c>
      <c r="I36" s="49">
        <f>IFERROR(__xludf.DUMMYFUNCTION("""COMPUTED_VALUE"""),45186.0)</f>
        <v>45186</v>
      </c>
      <c r="J36" s="50" t="str">
        <f>IFERROR(__xludf.DUMMYFUNCTION("""COMPUTED_VALUE"""),"150000")</f>
        <v>150000</v>
      </c>
      <c r="K36" s="50"/>
      <c r="L36" s="43"/>
      <c r="M36" s="43"/>
      <c r="N36" s="43"/>
      <c r="O36" s="43"/>
      <c r="P36" s="43"/>
      <c r="Q36" s="43"/>
      <c r="R36" s="43"/>
      <c r="S36" s="43"/>
      <c r="T36" s="43"/>
      <c r="U36" s="43"/>
      <c r="V36" s="43"/>
      <c r="W36" s="43"/>
      <c r="X36" s="43"/>
      <c r="Y36" s="43"/>
      <c r="Z36" s="43"/>
    </row>
    <row r="37" ht="15.75" customHeight="1">
      <c r="A37" s="35" t="str">
        <f>IFERROR(__xludf.DUMMYFUNCTION("""COMPUTED_VALUE"""),"1636")</f>
        <v>1636</v>
      </c>
      <c r="B37" s="35" t="str">
        <f>IFERROR(__xludf.DUMMYFUNCTION("""COMPUTED_VALUE"""),"36")</f>
        <v>36</v>
      </c>
      <c r="C37" s="36">
        <f>IFERROR(__xludf.DUMMYFUNCTION("""COMPUTED_VALUE"""),1.0)</f>
        <v>1</v>
      </c>
      <c r="D37" s="37" t="str">
        <f>IFERROR(__xludf.DUMMYFUNCTION("""COMPUTED_VALUE"""),"Workshop Turning Data into Product Strategy and Business Decision Making")</f>
        <v>Workshop Turning Data into Product Strategy and Business Decision Making</v>
      </c>
      <c r="E37" s="36">
        <f>IFERROR(__xludf.DUMMYFUNCTION("""COMPUTED_VALUE"""),6.0)</f>
        <v>6</v>
      </c>
      <c r="F37" s="52" t="str">
        <f>IFERROR(__xludf.DUMMYFUNCTION("""COMPUTED_VALUE"""),"Product Strategy and Busin…")</f>
        <v>Product Strategy and Busin…</v>
      </c>
      <c r="G37" s="53" t="str">
        <f>IFERROR(__xludf.DUMMYFUNCTION("""COMPUTED_VALUE"""),"Online")</f>
        <v>Online</v>
      </c>
      <c r="H37" s="53" t="str">
        <f>IFERROR(__xludf.DUMMYFUNCTION("""COMPUTED_VALUE"""),"Online")</f>
        <v>Online</v>
      </c>
      <c r="I37" s="40" t="str">
        <f>IFERROR(__xludf.DUMMYFUNCTION("""COMPUTED_VALUE"""),"07 - 08 Desember 2023")</f>
        <v>07 - 08 Desember 2023</v>
      </c>
      <c r="J37" s="50" t="str">
        <f>IFERROR(__xludf.DUMMYFUNCTION("""COMPUTED_VALUE"""),"150000")</f>
        <v>150000</v>
      </c>
      <c r="K37" s="50"/>
      <c r="L37" s="43"/>
      <c r="M37" s="43"/>
      <c r="N37" s="43"/>
      <c r="O37" s="43"/>
      <c r="P37" s="43"/>
      <c r="Q37" s="43"/>
      <c r="R37" s="43"/>
      <c r="S37" s="43"/>
      <c r="T37" s="43"/>
      <c r="U37" s="43"/>
      <c r="V37" s="43"/>
      <c r="W37" s="43"/>
      <c r="X37" s="43"/>
      <c r="Y37" s="43"/>
      <c r="Z37" s="43"/>
    </row>
    <row r="38" ht="15.75" customHeight="1">
      <c r="A38" s="35" t="str">
        <f>IFERROR(__xludf.DUMMYFUNCTION("""COMPUTED_VALUE"""),"1637")</f>
        <v>1637</v>
      </c>
      <c r="B38" s="35" t="str">
        <f>IFERROR(__xludf.DUMMYFUNCTION("""COMPUTED_VALUE"""),"37")</f>
        <v>37</v>
      </c>
      <c r="C38" s="36">
        <f>IFERROR(__xludf.DUMMYFUNCTION("""COMPUTED_VALUE"""),1.0)</f>
        <v>1</v>
      </c>
      <c r="D38" s="37" t="str">
        <f>IFERROR(__xludf.DUMMYFUNCTION("""COMPUTED_VALUE"""),"Reflection from 2023 and Preparation for 2024 - The Trends and Future Outlook")</f>
        <v>Reflection from 2023 and Preparation for 2024 - The Trends and Future Outlook</v>
      </c>
      <c r="E38" s="36">
        <f>IFERROR(__xludf.DUMMYFUNCTION("""COMPUTED_VALUE"""),6.0)</f>
        <v>6</v>
      </c>
      <c r="F38" s="51" t="str">
        <f>IFERROR(__xludf.DUMMYFUNCTION("""COMPUTED_VALUE"""),"Menjelang akhir tahun, Apiary Academy mengadakan pertemuan akhir tahunan untuk para komunitas produk. Acara ini sebagai ajang untuk merefleksikan tahun 2023 dan mempersiapkan tahun 2024 yang akan datang. Pertemuan ini akan mengaplikasikan format unconfere"&amp;"nce yang interaktif: mendorong para peserta untuk membentuk grup diskusi dan secara spontan memilih topik selama acara. Acara ini berfokus pada tema refleksi (peristiwa penting di tahun 2023) dan persiapan (tren dan prospek di tahun 2024).")</f>
        <v>Menjelang akhir tahun, Apiary Academy mengadakan pertemuan akhir tahunan untuk para komunitas produk. Acara ini sebagai ajang untuk merefleksikan tahun 2023 dan mempersiapkan tahun 2024 yang akan datang. Pertemuan ini akan mengaplikasikan format unconference yang interaktif: mendorong para peserta untuk membentuk grup diskusi dan secara spontan memilih topik selama acara. Acara ini berfokus pada tema refleksi (peristiwa penting di tahun 2023) dan persiapan (tren dan prospek di tahun 2024).</v>
      </c>
      <c r="G38" s="48" t="str">
        <f>IFERROR(__xludf.DUMMYFUNCTION("""COMPUTED_VALUE"""),"-6.2,914,797")</f>
        <v>-6.2,914,797</v>
      </c>
      <c r="H38" s="48" t="str">
        <f>IFERROR(__xludf.DUMMYFUNCTION("""COMPUTED_VALUE"""),"1,067,996,865")</f>
        <v>1,067,996,865</v>
      </c>
      <c r="I38" s="40" t="str">
        <f>IFERROR(__xludf.DUMMYFUNCTION("""COMPUTED_VALUE"""),"16 Desember 2023")</f>
        <v>16 Desember 2023</v>
      </c>
      <c r="J38" s="50" t="str">
        <f>IFERROR(__xludf.DUMMYFUNCTION("""COMPUTED_VALUE"""),"33000")</f>
        <v>33000</v>
      </c>
      <c r="K38" s="50"/>
      <c r="L38" s="43"/>
      <c r="M38" s="43"/>
      <c r="N38" s="43"/>
      <c r="O38" s="43"/>
      <c r="P38" s="43"/>
      <c r="Q38" s="43"/>
      <c r="R38" s="43"/>
      <c r="S38" s="43"/>
      <c r="T38" s="43"/>
      <c r="U38" s="43"/>
      <c r="V38" s="43"/>
      <c r="W38" s="43"/>
      <c r="X38" s="43"/>
      <c r="Y38" s="43"/>
      <c r="Z38" s="43"/>
    </row>
    <row r="39" ht="15.75" customHeight="1">
      <c r="A39" s="35" t="str">
        <f>IFERROR(__xludf.DUMMYFUNCTION("""COMPUTED_VALUE"""),"1638")</f>
        <v>1638</v>
      </c>
      <c r="B39" s="35" t="str">
        <f>IFERROR(__xludf.DUMMYFUNCTION("""COMPUTED_VALUE"""),"38")</f>
        <v>38</v>
      </c>
      <c r="C39" s="36">
        <f>IFERROR(__xludf.DUMMYFUNCTION("""COMPUTED_VALUE"""),1.0)</f>
        <v>1</v>
      </c>
      <c r="D39" s="37" t="str">
        <f>IFERROR(__xludf.DUMMYFUNCTION("""COMPUTED_VALUE"""),"5 Strategi Memenangkan Persaingan Pasar dan Mempercepat Pertumbuhan Bisnis by GRATYO")</f>
        <v>5 Strategi Memenangkan Persaingan Pasar dan Mempercepat Pertumbuhan Bisnis by GRATYO</v>
      </c>
      <c r="E39" s="36">
        <f>IFERROR(__xludf.DUMMYFUNCTION("""COMPUTED_VALUE"""),6.0)</f>
        <v>6</v>
      </c>
      <c r="F39" s="51" t="str">
        <f>IFERROR(__xludf.DUMMYFUNCTION("""COMPUTED_VALUE"""),"Persaingan Pasar dan Mem…")</f>
        <v>Persaingan Pasar dan Mem…</v>
      </c>
      <c r="G39" s="48" t="str">
        <f>IFERROR(__xludf.DUMMYFUNCTION("""COMPUTED_VALUE"""),"Online")</f>
        <v>Online</v>
      </c>
      <c r="H39" s="48" t="str">
        <f>IFERROR(__xludf.DUMMYFUNCTION("""COMPUTED_VALUE"""),"Online")</f>
        <v>Online</v>
      </c>
      <c r="I39" s="40" t="str">
        <f>IFERROR(__xludf.DUMMYFUNCTION("""COMPUTED_VALUE"""),"12 Desember 2023")</f>
        <v>12 Desember 2023</v>
      </c>
      <c r="J39" s="50" t="str">
        <f>IFERROR(__xludf.DUMMYFUNCTION("""COMPUTED_VALUE"""),"195000")</f>
        <v>195000</v>
      </c>
      <c r="K39" s="50"/>
      <c r="L39" s="43"/>
      <c r="M39" s="43"/>
      <c r="N39" s="43"/>
      <c r="O39" s="43"/>
      <c r="P39" s="43"/>
      <c r="Q39" s="43"/>
      <c r="R39" s="43"/>
      <c r="S39" s="43"/>
      <c r="T39" s="43"/>
      <c r="U39" s="43"/>
      <c r="V39" s="43"/>
      <c r="W39" s="43"/>
      <c r="X39" s="43"/>
      <c r="Y39" s="43"/>
      <c r="Z39" s="43"/>
    </row>
    <row r="40" ht="15.75" customHeight="1">
      <c r="A40" s="35" t="str">
        <f>IFERROR(__xludf.DUMMYFUNCTION("""COMPUTED_VALUE"""),"1639")</f>
        <v>1639</v>
      </c>
      <c r="B40" s="35" t="str">
        <f>IFERROR(__xludf.DUMMYFUNCTION("""COMPUTED_VALUE"""),"39")</f>
        <v>39</v>
      </c>
      <c r="C40" s="36">
        <f>IFERROR(__xludf.DUMMYFUNCTION("""COMPUTED_VALUE"""),1.0)</f>
        <v>1</v>
      </c>
      <c r="D40" s="37" t="str">
        <f>IFERROR(__xludf.DUMMYFUNCTION("""COMPUTED_VALUE"""),"20 Hours to Master Performance Marketing Strategies")</f>
        <v>20 Hours to Master Performance Marketing Strategies</v>
      </c>
      <c r="E40" s="36">
        <f>IFERROR(__xludf.DUMMYFUNCTION("""COMPUTED_VALUE"""),6.0)</f>
        <v>6</v>
      </c>
      <c r="F40" s="51" t="str">
        <f>IFERROR(__xludf.DUMMYFUNCTION("""COMPUTED_VALUE"""),"Performance Marketing Stra…")</f>
        <v>Performance Marketing Stra…</v>
      </c>
      <c r="G40" s="53" t="str">
        <f>IFERROR(__xludf.DUMMYFUNCTION("""COMPUTED_VALUE"""),"Online")</f>
        <v>Online</v>
      </c>
      <c r="H40" s="53" t="str">
        <f>IFERROR(__xludf.DUMMYFUNCTION("""COMPUTED_VALUE"""),"Online")</f>
        <v>Online</v>
      </c>
      <c r="I40" s="40" t="str">
        <f>IFERROR(__xludf.DUMMYFUNCTION("""COMPUTED_VALUE"""),"31 Desember 2023")</f>
        <v>31 Desember 2023</v>
      </c>
      <c r="J40" s="50" t="str">
        <f>IFERROR(__xludf.DUMMYFUNCTION("""COMPUTED_VALUE"""),"299000")</f>
        <v>299000</v>
      </c>
      <c r="K40" s="50"/>
      <c r="L40" s="43"/>
      <c r="M40" s="43"/>
      <c r="N40" s="43"/>
      <c r="O40" s="43"/>
      <c r="P40" s="43"/>
      <c r="Q40" s="43"/>
      <c r="R40" s="43"/>
      <c r="S40" s="43"/>
      <c r="T40" s="43"/>
      <c r="U40" s="43"/>
      <c r="V40" s="43"/>
      <c r="W40" s="43"/>
      <c r="X40" s="43"/>
      <c r="Y40" s="43"/>
      <c r="Z40" s="43"/>
    </row>
    <row r="41" ht="15.75" customHeight="1">
      <c r="A41" s="35" t="str">
        <f>IFERROR(__xludf.DUMMYFUNCTION("""COMPUTED_VALUE"""),"1640")</f>
        <v>1640</v>
      </c>
      <c r="B41" s="35" t="str">
        <f>IFERROR(__xludf.DUMMYFUNCTION("""COMPUTED_VALUE"""),"40")</f>
        <v>40</v>
      </c>
      <c r="C41" s="36">
        <f>IFERROR(__xludf.DUMMYFUNCTION("""COMPUTED_VALUE"""),1.0)</f>
        <v>1</v>
      </c>
      <c r="D41" s="37" t="str">
        <f>IFERROR(__xludf.DUMMYFUNCTION("""COMPUTED_VALUE"""),"Training of Trainers #3, In-Person Course, 28-29 February, Jakarta")</f>
        <v>Training of Trainers #3, In-Person Course, 28-29 February, Jakarta</v>
      </c>
      <c r="E41" s="36">
        <f>IFERROR(__xludf.DUMMYFUNCTION("""COMPUTED_VALUE"""),6.0)</f>
        <v>6</v>
      </c>
      <c r="F41" s="52" t="str">
        <f>IFERROR(__xludf.DUMMYFUNCTION("""COMPUTED_VALUE"""),"In-Person Course, 28-29 Feb…")</f>
        <v>In-Person Course, 28-29 Feb…</v>
      </c>
      <c r="G41" s="48" t="str">
        <f>IFERROR(__xludf.DUMMYFUNCTION("""COMPUTED_VALUE"""),"-6.2,301,644")</f>
        <v>-6.2,301,644</v>
      </c>
      <c r="H41" s="48" t="str">
        <f>IFERROR(__xludf.DUMMYFUNCTION("""COMPUTED_VALUE"""),"1,068,208,449")</f>
        <v>1,068,208,449</v>
      </c>
      <c r="I41" s="49" t="str">
        <f>IFERROR(__xludf.DUMMYFUNCTION("""COMPUTED_VALUE"""),"28 - 29 Februari 2024")</f>
        <v>28 - 29 Februari 2024</v>
      </c>
      <c r="J41" s="50" t="str">
        <f>IFERROR(__xludf.DUMMYFUNCTION("""COMPUTED_VALUE"""),"16900000")</f>
        <v>16900000</v>
      </c>
      <c r="K41" s="50"/>
      <c r="L41" s="43"/>
      <c r="M41" s="43"/>
      <c r="N41" s="43"/>
      <c r="O41" s="43"/>
      <c r="P41" s="43"/>
      <c r="Q41" s="43"/>
      <c r="R41" s="43"/>
      <c r="S41" s="43"/>
      <c r="T41" s="43"/>
      <c r="U41" s="43"/>
      <c r="V41" s="43"/>
      <c r="W41" s="43"/>
      <c r="X41" s="43"/>
      <c r="Y41" s="43"/>
      <c r="Z41" s="43"/>
    </row>
    <row r="42" ht="15.75" customHeight="1">
      <c r="A42" s="35" t="str">
        <f>IFERROR(__xludf.DUMMYFUNCTION("""COMPUTED_VALUE"""),"1641")</f>
        <v>1641</v>
      </c>
      <c r="B42" s="35" t="str">
        <f>IFERROR(__xludf.DUMMYFUNCTION("""COMPUTED_VALUE"""),"41")</f>
        <v>41</v>
      </c>
      <c r="C42" s="36">
        <f>IFERROR(__xludf.DUMMYFUNCTION("""COMPUTED_VALUE"""),1.0)</f>
        <v>1</v>
      </c>
      <c r="D42" s="44" t="str">
        <f>IFERROR(__xludf.DUMMYFUNCTION("""COMPUTED_VALUE"""),"Kelas Profesi - Internal Audit ISO 19011:2018 by Latih")</f>
        <v>Kelas Profesi - Internal Audit ISO 19011:2018 by Latih</v>
      </c>
      <c r="E42" s="36">
        <f>IFERROR(__xludf.DUMMYFUNCTION("""COMPUTED_VALUE"""),6.0)</f>
        <v>6</v>
      </c>
      <c r="F42" s="52" t="str">
        <f>IFERROR(__xludf.DUMMYFUNCTION("""COMPUTED_VALUE"""),"Audit adalah kegiatan yang penting dilakukan untuk kemajuan dan peningkatan kinerja organisasi. Dari hasil audit yang baik, manajemen dapat mengetahui kondisi proses-proses di organisasi sehingga dapat segera melakukan perbaikan-perbaikan dan lebih daripa"&amp;"da itu, melakukan peningkatan dan pengembangan secara terus-menerus. Sedangkan untuk Auditor Internal memiliki peranan penting dalam sebuah organisasi atau perusahaan. Tanpa keberadaan auditor internal, perbaikan sistem sulit untuk dicapai. Karena sistem "&amp;"akan berjalan apa adanya tanpa adanya upaya untuk melakukan evaluasi. Audit internal merupakan upaya melakukan Check (Periksa) untuk memastikan sistem yang direncanakan sedari awal berjalan dengan baik dan efektif. Pelaksanaan Audit yang intensif mendoron"&amp;"g perusahaan untuk mengetahui secara lebih dini setiap penyimpangan yang terjadi dalam penerapannya. Dengan demikian upaya untuk mengantisipasi perbaikan dapat segera dilakukan.
Pelaksanaan Audit Mutu ISO 19011:2018 yang efektif, hanya dapat dilakukan bi"&amp;"la Tim Audit perusahaan menguasai materi dan teknik dengan baik. Pelatihan adalah alat yang sangat ampuh bagi organisasi untuk mencapai sasaran pengembangan Sumber Daya Manusia ke arah kinerja yang tinggi. Salah satu persyaratan ISO 9001 2015 adalah Organ"&amp;"isasi harus memastikan kompetensi personil yang aktivitasnya berdampak terhadap mutu. Organisasi harus mengadakan pelatihan atau langkah lain untuk meningkatkan kompetensi SDM-nya.
Berdasarkan hal tersebut Latih berinisiatif menyelenggarakan Pelatihan Be"&amp;"rbasis Kompetensi Profesi, yaitu Internal Audit ISO 19011:2018.
Kelas ini akan dilatih oleh Bapak Wahyu Wibowo, seorang Professional Food Safety Quality Auditor &amp; Trainer (CQI IRCA Certified Lead Auditor)
Kelas ini dilaksanakan dengan format Online Clas"&amp;"s via Zoom, dibagai menjadi berbagai segmen
- Presentasi materi
- Workshop
- Diskusi interaktif
- Kuis")</f>
        <v>Audit adalah kegiatan yang penting dilakukan untuk kemajuan dan peningkatan kinerja organisasi. Dari hasil audit yang baik, manajemen dapat mengetahui kondisi proses-proses di organisasi sehingga dapat segera melakukan perbaikan-perbaikan dan lebih daripada itu, melakukan peningkatan dan pengembangan secara terus-menerus. Sedangkan untuk Auditor Internal memiliki peranan penting dalam sebuah organisasi atau perusahaan. Tanpa keberadaan auditor internal, perbaikan sistem sulit untuk dicapai. Karena sistem akan berjalan apa adanya tanpa adanya upaya untuk melakukan evaluasi. Audit internal merupakan upaya melakukan Check (Periksa) untuk memastikan sistem yang direncanakan sedari awal berjalan dengan baik dan efektif. Pelaksanaan Audit yang intensif mendorong perusahaan untuk mengetahui secara lebih dini setiap penyimpangan yang terjadi dalam penerapannya. Dengan demikian upaya untuk mengantisipasi perbaikan dapat segera dilakukan.
Pelaksanaan Audit Mutu ISO 19011:2018 yang efektif, hanya dapat dilakukan bila Tim Audit perusahaan menguasai materi dan teknik dengan baik. Pelatihan adalah alat yang sangat ampuh bagi organisasi untuk mencapai sasaran pengembangan Sumber Daya Manusia ke arah kinerja yang tinggi. Salah satu persyaratan ISO 9001 2015 adalah Organisasi harus memastikan kompetensi personil yang aktivitasnya berdampak terhadap mutu. Organisasi harus mengadakan pelatihan atau langkah lain untuk meningkatkan kompetensi SDM-nya.
Berdasarkan hal tersebut Latih berinisiatif menyelenggarakan Pelatihan Berbasis Kompetensi Profesi, yaitu Internal Audit ISO 19011:2018.
Kelas ini akan dilatih oleh Bapak Wahyu Wibowo, seorang Professional Food Safety Quality Auditor &amp; Trainer (CQI IRCA Certified Lead Auditor)
Kelas ini dilaksanakan dengan format Online Class via Zoom, dibagai menjadi berbagai segmen
- Presentasi materi
- Workshop
- Diskusi interaktif
- Kuis</v>
      </c>
      <c r="G42" s="48" t="str">
        <f>IFERROR(__xludf.DUMMYFUNCTION("""COMPUTED_VALUE"""),"Online")</f>
        <v>Online</v>
      </c>
      <c r="H42" s="48" t="str">
        <f>IFERROR(__xludf.DUMMYFUNCTION("""COMPUTED_VALUE"""),"Online")</f>
        <v>Online</v>
      </c>
      <c r="I42" s="49">
        <f>IFERROR(__xludf.DUMMYFUNCTION("""COMPUTED_VALUE"""),45256.0)</f>
        <v>45256</v>
      </c>
      <c r="J42" s="50" t="str">
        <f>IFERROR(__xludf.DUMMYFUNCTION("""COMPUTED_VALUE"""),"175000")</f>
        <v>175000</v>
      </c>
      <c r="K42" s="50"/>
      <c r="L42" s="43"/>
      <c r="M42" s="43"/>
      <c r="N42" s="43"/>
      <c r="O42" s="43"/>
      <c r="P42" s="43"/>
      <c r="Q42" s="43"/>
      <c r="R42" s="43"/>
      <c r="S42" s="43"/>
      <c r="T42" s="43"/>
      <c r="U42" s="43"/>
      <c r="V42" s="43"/>
      <c r="W42" s="43"/>
      <c r="X42" s="43"/>
      <c r="Y42" s="43"/>
      <c r="Z42" s="43"/>
    </row>
    <row r="43" ht="15.75" customHeight="1">
      <c r="A43" s="35" t="str">
        <f>IFERROR(__xludf.DUMMYFUNCTION("""COMPUTED_VALUE"""),"1642")</f>
        <v>1642</v>
      </c>
      <c r="B43" s="35" t="str">
        <f>IFERROR(__xludf.DUMMYFUNCTION("""COMPUTED_VALUE"""),"42")</f>
        <v>42</v>
      </c>
      <c r="C43" s="36">
        <f>IFERROR(__xludf.DUMMYFUNCTION("""COMPUTED_VALUE"""),1.0)</f>
        <v>1</v>
      </c>
      <c r="D43" s="44" t="str">
        <f>IFERROR(__xludf.DUMMYFUNCTION("""COMPUTED_VALUE"""),"ALL Access e-Learning")</f>
        <v>ALL Access e-Learning</v>
      </c>
      <c r="E43" s="36">
        <f>IFERROR(__xludf.DUMMYFUNCTION("""COMPUTED_VALUE"""),6.0)</f>
        <v>6</v>
      </c>
      <c r="F43" s="52" t="str">
        <f>IFERROR(__xludf.DUMMYFUNCTION("""COMPUTED_VALUE"""),"Apiary Life-long Access e-Learning Program adalah program e-Learning yang memberikan akses tanpa batas ke semua materi Product Management, dengan berbagai pilihan paket berlangganan yang tentunya sesuai dengan kebutuhanmu.")</f>
        <v>Apiary Life-long Access e-Learning Program adalah program e-Learning yang memberikan akses tanpa batas ke semua materi Product Management, dengan berbagai pilihan paket berlangganan yang tentunya sesuai dengan kebutuhanmu.</v>
      </c>
      <c r="G43" s="48" t="str">
        <f>IFERROR(__xludf.DUMMYFUNCTION("""COMPUTED_VALUE"""),"Online")</f>
        <v>Online</v>
      </c>
      <c r="H43" s="48" t="str">
        <f>IFERROR(__xludf.DUMMYFUNCTION("""COMPUTED_VALUE"""),"Online")</f>
        <v>Online</v>
      </c>
      <c r="I43" s="40" t="str">
        <f>IFERROR(__xludf.DUMMYFUNCTION("""COMPUTED_VALUE"""),"31 Desember 2023")</f>
        <v>31 Desember 2023</v>
      </c>
      <c r="J43" s="50" t="str">
        <f>IFERROR(__xludf.DUMMYFUNCTION("""COMPUTED_VALUE"""),"55000`")</f>
        <v>55000`</v>
      </c>
      <c r="K43" s="50"/>
      <c r="L43" s="43"/>
      <c r="M43" s="43"/>
      <c r="N43" s="43"/>
      <c r="O43" s="43"/>
      <c r="P43" s="43"/>
      <c r="Q43" s="43"/>
      <c r="R43" s="43"/>
      <c r="S43" s="43"/>
      <c r="T43" s="43"/>
      <c r="U43" s="43"/>
      <c r="V43" s="43"/>
      <c r="W43" s="43"/>
      <c r="X43" s="43"/>
      <c r="Y43" s="43"/>
      <c r="Z43" s="43"/>
    </row>
    <row r="44" ht="15.75" customHeight="1">
      <c r="A44" s="35" t="str">
        <f>IFERROR(__xludf.DUMMYFUNCTION("""COMPUTED_VALUE"""),"1643")</f>
        <v>1643</v>
      </c>
      <c r="B44" s="35" t="str">
        <f>IFERROR(__xludf.DUMMYFUNCTION("""COMPUTED_VALUE"""),"43")</f>
        <v>43</v>
      </c>
      <c r="C44" s="36">
        <f>IFERROR(__xludf.DUMMYFUNCTION("""COMPUTED_VALUE"""),1.0)</f>
        <v>1</v>
      </c>
      <c r="D44" s="37" t="str">
        <f>IFERROR(__xludf.DUMMYFUNCTION("""COMPUTED_VALUE"""),"Fibonacci Masterclass")</f>
        <v>Fibonacci Masterclass</v>
      </c>
      <c r="E44" s="36">
        <f>IFERROR(__xludf.DUMMYFUNCTION("""COMPUTED_VALUE"""),6.0)</f>
        <v>6</v>
      </c>
      <c r="F44" s="51" t="str">
        <f>IFERROR(__xludf.DUMMYFUNCTION("""COMPUTED_VALUE"""),"Frustasi dengan hasil trading yang kurang memuaskan, bahkan cenderung lebih banyak loss ketimbang profit ?
Saya yakin, pada dasarnya profit konsisten di trading forex bukanlah hal yang mustahil. Meskipun sebagian besar orang menganggap itu hal yang san"&amp;"gat sulit. Setiap trader berhak dan punya kesempatan untuk menghasilkan profit yang konsisten di trading forex. Tentang profit yang belum stabil, barangkali disebabkan kurangnya pemahaman tentang fungsi dan cara penggunaan indikator yang digunakan.
Sal"&amp;"ah satu indikator yang cukup populer di kalangan trader, adalah Fibonacci. Yang konon katanya, merupakan ilmu matematika kuno namun sangat efektif saat diterapkan di pasar forex.
Dalam workshop ini, anda akan belajar tentang :
Teknik setup indikator"&amp;" Fibonacci untuk jangka pendek dan panjang
Pemahaman support dan resistance menggunakan Fibonacci
Analisis trend market berdasarkan Fibonacci
Strategi open entry buy, sell dan penentuan stop loss dengan Fibonacci
Setiap peserta tidak hanya berhak "&amp;"mengikuti sesi workshop, namun juga akan mendapatkan :
Rekaman video tutorial untuk belajar mandiri setelah sesi workshop
Indikator gratis MT4 / MT5 yang bisa digunakan sebagai alat analisis trading
Akses komunitas trading untuk sharing dan diskusi s"&amp;"etelah sesi
Jadi, tunggu apalagi ? Gabung sekarang juga dan dapatkan pemahaman lebih mendalam tentang Fibonacci di workshop ini !")</f>
        <v>Frustasi dengan hasil trading yang kurang memuaskan, bahkan cenderung lebih banyak loss ketimbang profit ?
Saya yakin, pada dasarnya profit konsisten di trading forex bukanlah hal yang mustahil. Meskipun sebagian besar orang menganggap itu hal yang sangat sulit. Setiap trader berhak dan punya kesempatan untuk menghasilkan profit yang konsisten di trading forex. Tentang profit yang belum stabil, barangkali disebabkan kurangnya pemahaman tentang fungsi dan cara penggunaan indikator yang digunakan.
Salah satu indikator yang cukup populer di kalangan trader, adalah Fibonacci. Yang konon katanya, merupakan ilmu matematika kuno namun sangat efektif saat diterapkan di pasar forex.
Dalam workshop ini, anda akan belajar tentang :
Teknik setup indikator Fibonacci untuk jangka pendek dan panjang
Pemahaman support dan resistance menggunakan Fibonacci
Analisis trend market berdasarkan Fibonacci
Strategi open entry buy, sell dan penentuan stop loss dengan Fibonacci
Setiap peserta tidak hanya berhak mengikuti sesi workshop, namun juga akan mendapatkan :
Rekaman video tutorial untuk belajar mandiri setelah sesi workshop
Indikator gratis MT4 / MT5 yang bisa digunakan sebagai alat analisis trading
Akses komunitas trading untuk sharing dan diskusi setelah sesi
Jadi, tunggu apalagi ? Gabung sekarang juga dan dapatkan pemahaman lebih mendalam tentang Fibonacci di workshop ini !</v>
      </c>
      <c r="G44" s="48" t="str">
        <f>IFERROR(__xludf.DUMMYFUNCTION("""COMPUTED_VALUE"""),"Online")</f>
        <v>Online</v>
      </c>
      <c r="H44" s="48" t="str">
        <f>IFERROR(__xludf.DUMMYFUNCTION("""COMPUTED_VALUE"""),"Online")</f>
        <v>Online</v>
      </c>
      <c r="I44" s="40" t="str">
        <f>IFERROR(__xludf.DUMMYFUNCTION("""COMPUTED_VALUE"""),"01 Oktober 2023 - 04 Februari 2024")</f>
        <v>01 Oktober 2023 - 04 Februari 2024</v>
      </c>
      <c r="J44" s="50" t="str">
        <f>IFERROR(__xludf.DUMMYFUNCTION("""COMPUTED_VALUE"""),"24000000")</f>
        <v>24000000</v>
      </c>
      <c r="K44" s="50"/>
      <c r="L44" s="43"/>
      <c r="M44" s="43"/>
      <c r="N44" s="43"/>
      <c r="O44" s="43"/>
      <c r="P44" s="43"/>
      <c r="Q44" s="43"/>
      <c r="R44" s="43"/>
      <c r="S44" s="43"/>
      <c r="T44" s="43"/>
      <c r="U44" s="43"/>
      <c r="V44" s="43"/>
      <c r="W44" s="43"/>
      <c r="X44" s="43"/>
      <c r="Y44" s="43"/>
      <c r="Z44" s="43"/>
    </row>
    <row r="45" ht="15.75" customHeight="1">
      <c r="A45" s="35" t="str">
        <f>IFERROR(__xludf.DUMMYFUNCTION("""COMPUTED_VALUE"""),"1644")</f>
        <v>1644</v>
      </c>
      <c r="B45" s="35" t="str">
        <f>IFERROR(__xludf.DUMMYFUNCTION("""COMPUTED_VALUE"""),"44")</f>
        <v>44</v>
      </c>
      <c r="C45" s="36">
        <f>IFERROR(__xludf.DUMMYFUNCTION("""COMPUTED_VALUE"""),1.0)</f>
        <v>1</v>
      </c>
      <c r="D45" s="44" t="str">
        <f>IFERROR(__xludf.DUMMYFUNCTION("""COMPUTED_VALUE"""),"Kelas Profesi - Risk Management Batch 8 by Latih")</f>
        <v>Kelas Profesi - Risk Management Batch 8 by Latih</v>
      </c>
      <c r="E45" s="36">
        <f>IFERROR(__xludf.DUMMYFUNCTION("""COMPUTED_VALUE"""),6.0)</f>
        <v>6</v>
      </c>
      <c r="F45" s="52" t="str">
        <f>IFERROR(__xludf.DUMMYFUNCTION("""COMPUTED_VALUE"""),"Management Batch 8 by Lat…")</f>
        <v>Management Batch 8 by Lat…</v>
      </c>
      <c r="G45" s="48" t="str">
        <f>IFERROR(__xludf.DUMMYFUNCTION("""COMPUTED_VALUE"""),"Online")</f>
        <v>Online</v>
      </c>
      <c r="H45" s="48" t="str">
        <f>IFERROR(__xludf.DUMMYFUNCTION("""COMPUTED_VALUE"""),"Online")</f>
        <v>Online</v>
      </c>
      <c r="I45" s="49" t="str">
        <f>IFERROR(__xludf.DUMMYFUNCTION("""COMPUTED_VALUE"""),"09 Desember 2023")</f>
        <v>09 Desember 2023</v>
      </c>
      <c r="J45" s="50" t="str">
        <f>IFERROR(__xludf.DUMMYFUNCTION("""COMPUTED_VALUE"""),"17500")</f>
        <v>17500</v>
      </c>
      <c r="K45" s="50"/>
      <c r="L45" s="43"/>
      <c r="M45" s="43"/>
      <c r="N45" s="43"/>
      <c r="O45" s="43"/>
      <c r="P45" s="43"/>
      <c r="Q45" s="43"/>
      <c r="R45" s="43"/>
      <c r="S45" s="43"/>
      <c r="T45" s="43"/>
      <c r="U45" s="43"/>
      <c r="V45" s="43"/>
      <c r="W45" s="43"/>
      <c r="X45" s="43"/>
      <c r="Y45" s="43"/>
      <c r="Z45" s="43"/>
    </row>
    <row r="46" ht="15.75" customHeight="1">
      <c r="A46" s="35" t="str">
        <f>IFERROR(__xludf.DUMMYFUNCTION("""COMPUTED_VALUE"""),"1645")</f>
        <v>1645</v>
      </c>
      <c r="B46" s="35" t="str">
        <f>IFERROR(__xludf.DUMMYFUNCTION("""COMPUTED_VALUE"""),"45")</f>
        <v>45</v>
      </c>
      <c r="C46" s="36">
        <f>IFERROR(__xludf.DUMMYFUNCTION("""COMPUTED_VALUE"""),1.0)</f>
        <v>1</v>
      </c>
      <c r="D46" s="44" t="str">
        <f>IFERROR(__xludf.DUMMYFUNCTION("""COMPUTED_VALUE"""),"#broadentechid 2024")</f>
        <v>#broadentechid 2024</v>
      </c>
      <c r="E46" s="36">
        <f>IFERROR(__xludf.DUMMYFUNCTION("""COMPUTED_VALUE"""),6.0)</f>
        <v>6</v>
      </c>
      <c r="F46" s="52" t="str">
        <f>IFERROR(__xludf.DUMMYFUNCTION("""COMPUTED_VALUE"""),"Hi! #broadentechid kembali di tahun 2024 dengan konsep dan pembicara yang lebih greget! Acara akan dimulai dengan seminar dengan 2 sesi dan 1 workshop yang akan dipersembahkan oleh Algoritma Data Science.
Pembicara: To Be Announce
------------------"&amp;"-----
#broadentechid 2024 ikuti seminar dan workshop yang akan diadakan pada 21 November 2024. Early bird sebelum 27 Febuari 2024 harga tiket Rp 1.000.000,- menjadi Rp 350.000,-; terbatas untuk 50 orang pertama.
#datasciencecommunity #teknologiinfor"&amp;"masi #eventjakarta #pengusahateknologi #algoritmajakarta #datasciencejakarta #datasciencecourses")</f>
        <v>Hi! #broadentechid kembali di tahun 2024 dengan konsep dan pembicara yang lebih greget! Acara akan dimulai dengan seminar dengan 2 sesi dan 1 workshop yang akan dipersembahkan oleh Algoritma Data Science.
Pembicara: To Be Announce
-----------------------
#broadentechid 2024 ikuti seminar dan workshop yang akan diadakan pada 21 November 2024. Early bird sebelum 27 Febuari 2024 harga tiket Rp 1.000.000,- menjadi Rp 350.000,-; terbatas untuk 50 orang pertama.
#datasciencecommunity #teknologiinformasi #eventjakarta #pengusahateknologi #algoritmajakarta #datasciencejakarta #datasciencecourses</v>
      </c>
      <c r="G46" s="48" t="str">
        <f>IFERROR(__xludf.DUMMYFUNCTION("""COMPUTED_VALUE"""),"-6.2240761")</f>
        <v>-6.2240761</v>
      </c>
      <c r="H46" s="48" t="str">
        <f>IFERROR(__xludf.DUMMYFUNCTION("""COMPUTED_VALUE"""),"106.8234824")</f>
        <v>106.8234824</v>
      </c>
      <c r="I46" s="49">
        <f>IFERROR(__xludf.DUMMYFUNCTION("""COMPUTED_VALUE"""),45617.0)</f>
        <v>45617</v>
      </c>
      <c r="J46" s="50" t="str">
        <f>IFERROR(__xludf.DUMMYFUNCTION("""COMPUTED_VALUE"""),"350000")</f>
        <v>350000</v>
      </c>
      <c r="K46" s="50"/>
      <c r="L46" s="43"/>
      <c r="M46" s="43"/>
      <c r="N46" s="43"/>
      <c r="O46" s="43"/>
      <c r="P46" s="43"/>
      <c r="Q46" s="43"/>
      <c r="R46" s="43"/>
      <c r="S46" s="43"/>
      <c r="T46" s="43"/>
      <c r="U46" s="43"/>
      <c r="V46" s="43"/>
      <c r="W46" s="43"/>
      <c r="X46" s="43"/>
      <c r="Y46" s="43"/>
      <c r="Z46" s="43"/>
    </row>
    <row r="47" ht="15.75" customHeight="1">
      <c r="A47" s="35" t="str">
        <f>IFERROR(__xludf.DUMMYFUNCTION("""COMPUTED_VALUE"""),"1646")</f>
        <v>1646</v>
      </c>
      <c r="B47" s="35" t="str">
        <f>IFERROR(__xludf.DUMMYFUNCTION("""COMPUTED_VALUE"""),"46")</f>
        <v>46</v>
      </c>
      <c r="C47" s="36">
        <f>IFERROR(__xludf.DUMMYFUNCTION("""COMPUTED_VALUE"""),1.0)</f>
        <v>1</v>
      </c>
      <c r="D47" s="44" t="str">
        <f>IFERROR(__xludf.DUMMYFUNCTION("""COMPUTED_VALUE"""),"Google Ads Masterclass")</f>
        <v>Google Ads Masterclass</v>
      </c>
      <c r="E47" s="36">
        <f>IFERROR(__xludf.DUMMYFUNCTION("""COMPUTED_VALUE"""),6.0)</f>
        <v>6</v>
      </c>
      <c r="F47" s="52" t="str">
        <f>IFERROR(__xludf.DUMMYFUNCTION("""COMPUTED_VALUE"""),"Menjadi Nomor 1 di hasil penelusuran Google secara organik bukanlah hal yang mudah. Namun, ada sebuah shortcut atau cara mudah untuk dapat muncul di nomor 1 hasil penelusuran Google lewat kata kunci potensial yang kita targetkan. Yaitu dengan layanan ikla"&amp;"n berbayar Google yang bernama Google Ads.
Dengan Google Ads, anda akan lebih mudah untuk tampil nomor 1 di hasil penelusuran Google, lebih mudah mendapatkan pengunjung untuk website anda, dan berpeluang meningkatkan omset penjualan secara signifikan.
"&amp;"
Dalam acara ini, anda akan belajar tentang :
* Pengenalan apa itu Google Ads dan keuntungan yang didapatkan
* Pembuatan akun Google Ads dan cara melakukan top-up saldo
* Memahami tujuan dan jenis kampanye di Google Ads
* Riset dan penerapan kata ku"&amp;"nci potensial untuk Google Ads
* Teknis pembuatan iklan dan optimalisasi
* Evaluasi dan perencanaan iklan berdasarkan data
DIlengkapi dengan software riset kata kunci yang akan memudahkan anda untuk dapat mencari kata kunci potensial yang siap ditarg"&amp;"et.
Jadi, tunggu apalagi ? Segera daftarkan diri anda dan pelajari bagaimana membuat promosi bisnis di Google Ads sekarang juga !")</f>
        <v>Menjadi Nomor 1 di hasil penelusuran Google secara organik bukanlah hal yang mudah. Namun, ada sebuah shortcut atau cara mudah untuk dapat muncul di nomor 1 hasil penelusuran Google lewat kata kunci potensial yang kita targetkan. Yaitu dengan layanan iklan berbayar Google yang bernama Google Ads.
Dengan Google Ads, anda akan lebih mudah untuk tampil nomor 1 di hasil penelusuran Google, lebih mudah mendapatkan pengunjung untuk website anda, dan berpeluang meningkatkan omset penjualan secara signifikan.
Dalam acara ini, anda akan belajar tentang :
* Pengenalan apa itu Google Ads dan keuntungan yang didapatkan
* Pembuatan akun Google Ads dan cara melakukan top-up saldo
* Memahami tujuan dan jenis kampanye di Google Ads
* Riset dan penerapan kata kunci potensial untuk Google Ads
* Teknis pembuatan iklan dan optimalisasi
* Evaluasi dan perencanaan iklan berdasarkan data
DIlengkapi dengan software riset kata kunci yang akan memudahkan anda untuk dapat mencari kata kunci potensial yang siap ditarget.
Jadi, tunggu apalagi ? Segera daftarkan diri anda dan pelajari bagaimana membuat promosi bisnis di Google Ads sekarang juga !</v>
      </c>
      <c r="G47" s="48" t="str">
        <f>IFERROR(__xludf.DUMMYFUNCTION("""COMPUTED_VALUE"""),"Online")</f>
        <v>Online</v>
      </c>
      <c r="H47" s="48" t="str">
        <f>IFERROR(__xludf.DUMMYFUNCTION("""COMPUTED_VALUE"""),"Online")</f>
        <v>Online</v>
      </c>
      <c r="I47" s="40" t="str">
        <f>IFERROR(__xludf.DUMMYFUNCTION("""COMPUTED_VALUE"""),"15 Oktober 2023 - 17 Desember 2023")</f>
        <v>15 Oktober 2023 - 17 Desember 2023</v>
      </c>
      <c r="J47" s="41" t="str">
        <f>IFERROR(__xludf.DUMMYFUNCTION("""COMPUTED_VALUE"""),"2499000")</f>
        <v>2499000</v>
      </c>
      <c r="K47" s="41"/>
      <c r="L47" s="43"/>
      <c r="M47" s="43"/>
      <c r="N47" s="43"/>
      <c r="O47" s="43"/>
      <c r="P47" s="43"/>
      <c r="Q47" s="43"/>
      <c r="R47" s="43"/>
      <c r="S47" s="43"/>
      <c r="T47" s="43"/>
      <c r="U47" s="43"/>
      <c r="V47" s="43"/>
      <c r="W47" s="43"/>
      <c r="X47" s="43"/>
      <c r="Y47" s="43"/>
      <c r="Z47" s="43"/>
    </row>
    <row r="48" ht="15.75" customHeight="1">
      <c r="A48" s="35" t="str">
        <f>IFERROR(__xludf.DUMMYFUNCTION("""COMPUTED_VALUE"""),"1647")</f>
        <v>1647</v>
      </c>
      <c r="B48" s="35" t="str">
        <f>IFERROR(__xludf.DUMMYFUNCTION("""COMPUTED_VALUE"""),"47")</f>
        <v>47</v>
      </c>
      <c r="C48" s="36">
        <f>IFERROR(__xludf.DUMMYFUNCTION("""COMPUTED_VALUE"""),1.0)</f>
        <v>1</v>
      </c>
      <c r="D48" s="37" t="str">
        <f>IFERROR(__xludf.DUMMYFUNCTION("""COMPUTED_VALUE"""),"Google Data Studio 101")</f>
        <v>Google Data Studio 101</v>
      </c>
      <c r="E48" s="36">
        <f>IFERROR(__xludf.DUMMYFUNCTION("""COMPUTED_VALUE"""),6.0)</f>
        <v>6</v>
      </c>
      <c r="F48" s="51" t="str">
        <f>IFERROR(__xludf.DUMMYFUNCTION("""COMPUTED_VALUE"""),"Join us for ""Google Data Studio 101: A Beginner's Guide to Crafting Personal Budgeting Dashboards,"" a comprehensive workshop designed for individuals eager to harness the power of Google Data Studio in managing personal finances.
In this hands-on ses"&amp;"sion, our expert instructors will guide you through the fundamentals of Google Data Studio, providing you with the skills to create personalized and visually appealing dashboards to track and analyze your budget effectively. Whether you're new to data vis"&amp;"ualization or looking to enhance your financial management skills, this workshop is tailored for you.
Key Topics Covered:
1. Introduction to Google Data Studio: Learn the basics of navigating the platform and understanding its key features.
2. Connec"&amp;"ting Data Sources: Explore how to import and connect various data sources relevant to personal budgeting, such as income, expenses, and savings.
3. Dashboard Design Principles: Discover best practices for designing clear and insightful dashboards, ensuri"&amp;"ng that your financial data is presented in a visually engaging manner.
4. Building Personal Budgeting Dashboards: Step-by-step guidance on creating customized dashboards that suit your financial goals and preferences.
5. Interactive Elements: Learn how"&amp;" to incorporate interactive elements into your dashboards, allowing for dynamic exploration of your financial data.
6. Tips for Effective Financial Analysis: Gain insights into interpreting and drawing meaningful conclusions from your budgeting dashboard"&amp;"s.
By the end of this workshop, you'll have the skills and confidence to build your own personalized budgeting dashboards using Google Data Studio, empowering you to take control of your finances and make informed decisions.
Don't miss this opportun"&amp;"ity to level up your personal finance game! Reserve your spot now for ""Google Data Studio 101"" and embark on a journey to financial empowerment through data visualization")</f>
        <v>Join us for "Google Data Studio 101: A Beginner's Guide to Crafting Personal Budgeting Dashboards," a comprehensive workshop designed for individuals eager to harness the power of Google Data Studio in managing personal finances.
In this hands-on session, our expert instructors will guide you through the fundamentals of Google Data Studio, providing you with the skills to create personalized and visually appealing dashboards to track and analyze your budget effectively. Whether you're new to data visualization or looking to enhance your financial management skills, this workshop is tailored for you.
Key Topics Covered:
1. Introduction to Google Data Studio: Learn the basics of navigating the platform and understanding its key features.
2. Connecting Data Sources: Explore how to import and connect various data sources relevant to personal budgeting, such as income, expenses, and savings.
3. Dashboard Design Principles: Discover best practices for designing clear and insightful dashboards, ensuring that your financial data is presented in a visually engaging manner.
4. Building Personal Budgeting Dashboards: Step-by-step guidance on creating customized dashboards that suit your financial goals and preferences.
5. Interactive Elements: Learn how to incorporate interactive elements into your dashboards, allowing for dynamic exploration of your financial data.
6. Tips for Effective Financial Analysis: Gain insights into interpreting and drawing meaningful conclusions from your budgeting dashboards.
By the end of this workshop, you'll have the skills and confidence to build your own personalized budgeting dashboards using Google Data Studio, empowering you to take control of your finances and make informed decisions.
Don't miss this opportunity to level up your personal finance game! Reserve your spot now for "Google Data Studio 101" and embark on a journey to financial empowerment through data visualization</v>
      </c>
      <c r="G48" s="48" t="str">
        <f>IFERROR(__xludf.DUMMYFUNCTION("""COMPUTED_VALUE"""),"Online")</f>
        <v>Online</v>
      </c>
      <c r="H48" s="48" t="str">
        <f>IFERROR(__xludf.DUMMYFUNCTION("""COMPUTED_VALUE"""),"Online")</f>
        <v>Online</v>
      </c>
      <c r="I48" s="49" t="str">
        <f>IFERROR(__xludf.DUMMYFUNCTION("""COMPUTED_VALUE"""),"30 Desember 2023")</f>
        <v>30 Desember 2023</v>
      </c>
      <c r="J48" s="41" t="str">
        <f>IFERROR(__xludf.DUMMYFUNCTION("""COMPUTED_VALUE"""),"Free")</f>
        <v>Free</v>
      </c>
      <c r="K48" s="41"/>
      <c r="L48" s="43"/>
      <c r="M48" s="43"/>
      <c r="N48" s="43"/>
      <c r="O48" s="43"/>
      <c r="P48" s="43"/>
      <c r="Q48" s="43"/>
      <c r="R48" s="43"/>
      <c r="S48" s="43"/>
      <c r="T48" s="43"/>
      <c r="U48" s="43"/>
      <c r="V48" s="43"/>
      <c r="W48" s="43"/>
      <c r="X48" s="43"/>
      <c r="Y48" s="43"/>
      <c r="Z48" s="43"/>
    </row>
    <row r="49" ht="15.75" customHeight="1">
      <c r="A49" s="35" t="str">
        <f>IFERROR(__xludf.DUMMYFUNCTION("""COMPUTED_VALUE"""),"1648")</f>
        <v>1648</v>
      </c>
      <c r="B49" s="35" t="str">
        <f>IFERROR(__xludf.DUMMYFUNCTION("""COMPUTED_VALUE"""),"48")</f>
        <v>48</v>
      </c>
      <c r="C49" s="36">
        <f>IFERROR(__xludf.DUMMYFUNCTION("""COMPUTED_VALUE"""),1.0)</f>
        <v>1</v>
      </c>
      <c r="D49" s="37" t="str">
        <f>IFERROR(__xludf.DUMMYFUNCTION("""COMPUTED_VALUE"""),"FOLKS #3 - Exploring Data Oasis: ""An Intro to Data Lake and Warehouse with Google Cloud Platform""")</f>
        <v>FOLKS #3 - Exploring Data Oasis: "An Intro to Data Lake and Warehouse with Google Cloud Platform"</v>
      </c>
      <c r="E49" s="36">
        <f>IFERROR(__xludf.DUMMYFUNCTION("""COMPUTED_VALUE"""),6.0)</f>
        <v>6</v>
      </c>
      <c r="F49" s="51" t="str">
        <f>IFERROR(__xludf.DUMMYFUNCTION("""COMPUTED_VALUE"""),"Oasis: ""An Intro to Data Lake…")</f>
        <v>Oasis: "An Intro to Data Lake…</v>
      </c>
      <c r="G49" s="48" t="str">
        <f>IFERROR(__xludf.DUMMYFUNCTION("""COMPUTED_VALUE"""),"Online")</f>
        <v>Online</v>
      </c>
      <c r="H49" s="48" t="str">
        <f>IFERROR(__xludf.DUMMYFUNCTION("""COMPUTED_VALUE"""),"Online")</f>
        <v>Online</v>
      </c>
      <c r="I49" s="49">
        <f>IFERROR(__xludf.DUMMYFUNCTION("""COMPUTED_VALUE"""),45260.0)</f>
        <v>45260</v>
      </c>
      <c r="J49" s="50" t="str">
        <f>IFERROR(__xludf.DUMMYFUNCTION("""COMPUTED_VALUE"""),"Free")</f>
        <v>Free</v>
      </c>
      <c r="K49" s="50"/>
      <c r="L49" s="43"/>
      <c r="M49" s="43"/>
      <c r="N49" s="43"/>
      <c r="O49" s="43"/>
      <c r="P49" s="43"/>
      <c r="Q49" s="43"/>
      <c r="R49" s="43"/>
      <c r="S49" s="43"/>
      <c r="T49" s="43"/>
      <c r="U49" s="43"/>
      <c r="V49" s="43"/>
      <c r="W49" s="43"/>
      <c r="X49" s="43"/>
      <c r="Y49" s="43"/>
      <c r="Z49" s="43"/>
    </row>
    <row r="50" ht="15.75" customHeight="1">
      <c r="A50" s="35" t="str">
        <f>IFERROR(__xludf.DUMMYFUNCTION("""COMPUTED_VALUE"""),"1649")</f>
        <v>1649</v>
      </c>
      <c r="B50" s="35" t="str">
        <f>IFERROR(__xludf.DUMMYFUNCTION("""COMPUTED_VALUE"""),"49")</f>
        <v>49</v>
      </c>
      <c r="C50" s="36">
        <f>IFERROR(__xludf.DUMMYFUNCTION("""COMPUTED_VALUE"""),1.0)</f>
        <v>1</v>
      </c>
      <c r="D50" s="44" t="str">
        <f>IFERROR(__xludf.DUMMYFUNCTION("""COMPUTED_VALUE"""),"Hour of Code 2023 by Generation Girl X SAP Indonesia")</f>
        <v>Hour of Code 2023 by Generation Girl X SAP Indonesia</v>
      </c>
      <c r="E50" s="36">
        <f>IFERROR(__xludf.DUMMYFUNCTION("""COMPUTED_VALUE"""),6.0)</f>
        <v>6</v>
      </c>
      <c r="F50" s="52" t="str">
        <f>IFERROR(__xludf.DUMMYFUNCTION("""COMPUTED_VALUE"""),"Generation Girl X SAP Indon…")</f>
        <v>Generation Girl X SAP Indon…</v>
      </c>
      <c r="G50" s="48" t="str">
        <f>IFERROR(__xludf.DUMMYFUNCTION("""COMPUTED_VALUE"""),"Online")</f>
        <v>Online</v>
      </c>
      <c r="H50" s="54" t="str">
        <f>IFERROR(__xludf.DUMMYFUNCTION("""COMPUTED_VALUE"""),"Online")</f>
        <v>Online</v>
      </c>
      <c r="I50" s="40" t="str">
        <f>IFERROR(__xludf.DUMMYFUNCTION("""COMPUTED_VALUE"""),"09 Desember 2023")</f>
        <v>09 Desember 2023</v>
      </c>
      <c r="J50" s="50" t="str">
        <f>IFERROR(__xludf.DUMMYFUNCTION("""COMPUTED_VALUE"""),"Free")</f>
        <v>Free</v>
      </c>
      <c r="K50" s="50"/>
      <c r="L50" s="43"/>
      <c r="M50" s="43"/>
      <c r="N50" s="43"/>
      <c r="O50" s="43"/>
      <c r="P50" s="43"/>
      <c r="Q50" s="43"/>
      <c r="R50" s="43"/>
      <c r="S50" s="43"/>
      <c r="T50" s="43"/>
      <c r="U50" s="43"/>
      <c r="V50" s="43"/>
      <c r="W50" s="43"/>
      <c r="X50" s="43"/>
      <c r="Y50" s="43"/>
      <c r="Z50" s="43"/>
    </row>
    <row r="51" ht="15.75" customHeight="1">
      <c r="A51" s="35" t="str">
        <f>IFERROR(__xludf.DUMMYFUNCTION("""COMPUTED_VALUE"""),"1650")</f>
        <v>1650</v>
      </c>
      <c r="B51" s="35" t="str">
        <f>IFERROR(__xludf.DUMMYFUNCTION("""COMPUTED_VALUE"""),"50")</f>
        <v>50</v>
      </c>
      <c r="C51" s="36">
        <f>IFERROR(__xludf.DUMMYFUNCTION("""COMPUTED_VALUE"""),1.0)</f>
        <v>1</v>
      </c>
      <c r="D51" s="44" t="str">
        <f>IFERROR(__xludf.DUMMYFUNCTION("""COMPUTED_VALUE"""),"Integrated Career Expo")</f>
        <v>Integrated Career Expo</v>
      </c>
      <c r="E51" s="36">
        <f>IFERROR(__xludf.DUMMYFUNCTION("""COMPUTED_VALUE"""),6.0)</f>
        <v>6</v>
      </c>
      <c r="F51" s="52" t="str">
        <f>IFERROR(__xludf.DUMMYFUNCTION("""COMPUTED_VALUE"""),"Career Expo
Tempat Pelaksanaan : Hybrid (GOR Utama &amp; Website CDC UPER)
Jadwal Pelaksanaan : Rabu - Kamis, 06 - 07 Desember 2023
Waktu : 09.00 15.00 WIB
Seminar Series
Tempat Pelaksanaan : Auditorium UPER
Jadwal Pelaksanaan : Rabu - Kamis, 06 - 07 "&amp;"Desember 2023
Waktu : 09.00 15.00 WIB")</f>
        <v>Career Expo
Tempat Pelaksanaan : Hybrid (GOR Utama &amp; Website CDC UPER)
Jadwal Pelaksanaan : Rabu - Kamis, 06 - 07 Desember 2023
Waktu : 09.00 15.00 WIB
Seminar Series
Tempat Pelaksanaan : Auditorium UPER
Jadwal Pelaksanaan : Rabu - Kamis, 06 - 07 Desember 2023
Waktu : 09.00 15.00 WIB</v>
      </c>
      <c r="G51" s="48" t="str">
        <f>IFERROR(__xludf.DUMMYFUNCTION("""COMPUTED_VALUE"""),"-6.22843634")</f>
        <v>-6.22843634</v>
      </c>
      <c r="H51" s="48" t="str">
        <f>IFERROR(__xludf.DUMMYFUNCTION("""COMPUTED_VALUE"""),"106.7896179")</f>
        <v>106.7896179</v>
      </c>
      <c r="I51" s="40" t="str">
        <f>IFERROR(__xludf.DUMMYFUNCTION("""COMPUTED_VALUE"""),"06 Desember - 07 Desember 2023")</f>
        <v>06 Desember - 07 Desember 2023</v>
      </c>
      <c r="J51" s="41" t="str">
        <f>IFERROR(__xludf.DUMMYFUNCTION("""COMPUTED_VALUE"""),"Free")</f>
        <v>Free</v>
      </c>
      <c r="K51" s="41"/>
      <c r="L51" s="43"/>
      <c r="M51" s="43"/>
      <c r="N51" s="43"/>
      <c r="O51" s="43"/>
      <c r="P51" s="43"/>
      <c r="Q51" s="43"/>
      <c r="R51" s="43"/>
      <c r="S51" s="43"/>
      <c r="T51" s="43"/>
      <c r="U51" s="43"/>
      <c r="V51" s="43"/>
      <c r="W51" s="43"/>
      <c r="X51" s="43"/>
      <c r="Y51" s="43"/>
      <c r="Z51" s="43"/>
    </row>
    <row r="52" ht="15.75" customHeight="1">
      <c r="A52" s="35" t="str">
        <f>IFERROR(__xludf.DUMMYFUNCTION("""COMPUTED_VALUE"""),"1651")</f>
        <v>1651</v>
      </c>
      <c r="B52" s="35" t="str">
        <f>IFERROR(__xludf.DUMMYFUNCTION("""COMPUTED_VALUE"""),"51")</f>
        <v>51</v>
      </c>
      <c r="C52" s="36">
        <f>IFERROR(__xludf.DUMMYFUNCTION("""COMPUTED_VALUE"""),1.0)</f>
        <v>1</v>
      </c>
      <c r="D52" s="44" t="str">
        <f>IFERROR(__xludf.DUMMYFUNCTION("""COMPUTED_VALUE"""),"OPUNG ANIES")</f>
        <v>OPUNG ANIES</v>
      </c>
      <c r="E52" s="36">
        <f>IFERROR(__xludf.DUMMYFUNCTION("""COMPUTED_VALUE"""),6.0)</f>
        <v>6</v>
      </c>
      <c r="F52" s="52" t="str">
        <f>IFERROR(__xludf.DUMMYFUNCTION("""COMPUTED_VALUE"""),"Obrlan Kampung Amanat Indonesia (OPUNG ANIES) merupakan kegiatan yang diinisiasi oleh Amanat Indonesia (ANIES). Kegiatan ini bisa diikuti oleh seluruh lapisan masyarakat diberbagai tempat atau daerah untuk bersilaturrahmi dan membangun kedekatan antar rel"&amp;"awan yang tergabung dalam Amanat Indonesia (ANIES). Susunan acara berisikan Menyanyikan Indonesia Raya, Mars Pemilu Gembira, Diskusi Seputar program maupun Visi Misi Bakal Calon Presiden Anies Baswedan, dan hiburan dari khas daerah setempat. Kegiatan ini "&amp;"dapat dilakukan dengan jumlah peserta minimal 15 Orang di Satu Titik. Ketua Kelompok dapat mendaftarkan peserta melalui link Pendaftaran OPUNG ANIES")</f>
        <v>Obrlan Kampung Amanat Indonesia (OPUNG ANIES) merupakan kegiatan yang diinisiasi oleh Amanat Indonesia (ANIES). Kegiatan ini bisa diikuti oleh seluruh lapisan masyarakat diberbagai tempat atau daerah untuk bersilaturrahmi dan membangun kedekatan antar relawan yang tergabung dalam Amanat Indonesia (ANIES). Susunan acara berisikan Menyanyikan Indonesia Raya, Mars Pemilu Gembira, Diskusi Seputar program maupun Visi Misi Bakal Calon Presiden Anies Baswedan, dan hiburan dari khas daerah setempat. Kegiatan ini dapat dilakukan dengan jumlah peserta minimal 15 Orang di Satu Titik. Ketua Kelompok dapat mendaftarkan peserta melalui link Pendaftaran OPUNG ANIES</v>
      </c>
      <c r="G52" s="48" t="str">
        <f>IFERROR(__xludf.DUMMYFUNCTION("""COMPUTED_VALUE"""),"-6.2538536")</f>
        <v>-6.2538536</v>
      </c>
      <c r="H52" s="48" t="str">
        <f>IFERROR(__xludf.DUMMYFUNCTION("""COMPUTED_VALUE"""),"106.8343094")</f>
        <v>106.8343094</v>
      </c>
      <c r="I52" s="40" t="str">
        <f>IFERROR(__xludf.DUMMYFUNCTION("""COMPUTED_VALUE"""),"26 Mei 2023 - 10 April 2024")</f>
        <v>26 Mei 2023 - 10 April 2024</v>
      </c>
      <c r="J52" s="41" t="str">
        <f>IFERROR(__xludf.DUMMYFUNCTION("""COMPUTED_VALUE"""),"Free")</f>
        <v>Free</v>
      </c>
      <c r="K52" s="41"/>
      <c r="L52" s="43"/>
      <c r="M52" s="43"/>
      <c r="N52" s="43"/>
      <c r="O52" s="43"/>
      <c r="P52" s="43"/>
      <c r="Q52" s="43"/>
      <c r="R52" s="43"/>
      <c r="S52" s="43"/>
      <c r="T52" s="43"/>
      <c r="U52" s="43"/>
      <c r="V52" s="43"/>
      <c r="W52" s="43"/>
      <c r="X52" s="43"/>
      <c r="Y52" s="43"/>
      <c r="Z52" s="43"/>
    </row>
    <row r="53" ht="15.75" customHeight="1">
      <c r="A53" s="35" t="str">
        <f>IFERROR(__xludf.DUMMYFUNCTION("""COMPUTED_VALUE"""),"1652")</f>
        <v>1652</v>
      </c>
      <c r="B53" s="35" t="str">
        <f>IFERROR(__xludf.DUMMYFUNCTION("""COMPUTED_VALUE"""),"52")</f>
        <v>52</v>
      </c>
      <c r="C53" s="36">
        <f>IFERROR(__xludf.DUMMYFUNCTION("""COMPUTED_VALUE"""),1.0)</f>
        <v>1</v>
      </c>
      <c r="D53" s="40" t="str">
        <f>IFERROR(__xludf.DUMMYFUNCTION("""COMPUTED_VALUE"""),"BIANG KEROK FEST 2023")</f>
        <v>BIANG KEROK FEST 2023</v>
      </c>
      <c r="E53" s="36">
        <f>IFERROR(__xludf.DUMMYFUNCTION("""COMPUTED_VALUE"""),6.0)</f>
        <v>6</v>
      </c>
      <c r="F53" s="38" t="str">
        <f>IFERROR(__xludf.DUMMYFUNCTION("""COMPUTED_VALUE"""),"Biang Kerok Fest 2023 is set to be a vibrant celebration of 2 and humor. Embracing the spirit of spontaneity, this festival promises a lively atmosphere filled with laughter and entertainment. From stand-up comedy performances to improvisational acts, Bia"&amp;"ng Kerok Fest aims to tickle the funny bones of its audience. Expect a diverse lineup of comedic talent, unexpected surprises, and an overall uproarious experience that brings people together for a memorable day of laughter.")</f>
        <v>Biang Kerok Fest 2023 is set to be a vibrant celebration of 2 and humor. Embracing the spirit of spontaneity, this festival promises a lively atmosphere filled with laughter and entertainment. From stand-up comedy performances to improvisational acts, Biang Kerok Fest aims to tickle the funny bones of its audience. Expect a diverse lineup of comedic talent, unexpected surprises, and an overall uproarious experience that brings people together for a memorable day of laughter.</v>
      </c>
      <c r="G53" s="48" t="str">
        <f>IFERROR(__xludf.DUMMYFUNCTION("""COMPUTED_VALUE"""),"-6.1594869")</f>
        <v>-6.1594869</v>
      </c>
      <c r="H53" s="48" t="str">
        <f>IFERROR(__xludf.DUMMYFUNCTION("""COMPUTED_VALUE"""),"106.8541776")</f>
        <v>106.8541776</v>
      </c>
      <c r="I53" s="40" t="str">
        <f>IFERROR(__xludf.DUMMYFUNCTION("""COMPUTED_VALUE"""),"24 - 25 November 2023")</f>
        <v>24 - 25 November 2023</v>
      </c>
      <c r="J53" s="46" t="str">
        <f>IFERROR(__xludf.DUMMYFUNCTION("""COMPUTED_VALUE"""),"Free")</f>
        <v>Free</v>
      </c>
      <c r="K53" s="42"/>
      <c r="L53" s="43"/>
      <c r="M53" s="43"/>
      <c r="N53" s="43"/>
      <c r="O53" s="43"/>
      <c r="P53" s="43"/>
      <c r="Q53" s="43"/>
      <c r="R53" s="43"/>
      <c r="S53" s="43"/>
      <c r="T53" s="43"/>
      <c r="U53" s="43"/>
      <c r="V53" s="43"/>
      <c r="W53" s="43"/>
      <c r="X53" s="43"/>
      <c r="Y53" s="43"/>
      <c r="Z53" s="43"/>
    </row>
    <row r="54">
      <c r="A54" s="35" t="str">
        <f>IFERROR(__xludf.DUMMYFUNCTION("""COMPUTED_VALUE"""),"1553")</f>
        <v>1553</v>
      </c>
      <c r="B54" s="35" t="str">
        <f>IFERROR(__xludf.DUMMYFUNCTION("""COMPUTED_VALUE"""),"53")</f>
        <v>53</v>
      </c>
      <c r="C54" s="55">
        <f>IFERROR(__xludf.DUMMYFUNCTION("""COMPUTED_VALUE"""),1.0)</f>
        <v>1</v>
      </c>
      <c r="D54" s="56" t="str">
        <f>IFERROR(__xludf.DUMMYFUNCTION("""COMPUTED_VALUE"""),"Oh Beauty Festival 2023")</f>
        <v>Oh Beauty Festival 2023</v>
      </c>
      <c r="E54" s="55">
        <f>IFERROR(__xludf.DUMMYFUNCTION("""COMPUTED_VALUE"""),5.0)</f>
        <v>5</v>
      </c>
      <c r="F54" s="57" t="str">
        <f>IFERROR(__xludf.DUMMYFUNCTION("""COMPUTED_VALUE"""),"Oh Beauty Festival 2023 is a captivating event dedicated to celebrating beauty in all its forms. From skincare and makeup demonstrations to fashion showcases and wellness activities, this festival is a haven for beauty enthusiasts. Attendees can indulge i"&amp;"n interactive beauty experiences, gain insights from industry experts, and discover the latest trends in cosmetics and self-care. Oh Beauty Festival 2023 is not just an event; it's a glamorous and empowering journey into the world of beauty and self-expre"&amp;"ssion.")</f>
        <v>Oh Beauty Festival 2023 is a captivating event dedicated to celebrating beauty in all its forms. From skincare and makeup demonstrations to fashion showcases and wellness activities, this festival is a haven for beauty enthusiasts. Attendees can indulge in interactive beauty experiences, gain insights from industry experts, and discover the latest trends in cosmetics and self-care. Oh Beauty Festival 2023 is not just an event; it's a glamorous and empowering journey into the world of beauty and self-expression.</v>
      </c>
      <c r="G54" s="58" t="str">
        <f>IFERROR(__xludf.DUMMYFUNCTION("""COMPUTED_VALUE"""),"-6.2637489")</f>
        <v>-6.2637489</v>
      </c>
      <c r="H54" s="58" t="str">
        <f>IFERROR(__xludf.DUMMYFUNCTION("""COMPUTED_VALUE"""),"106.778998")</f>
        <v>106.778998</v>
      </c>
      <c r="I54" s="59" t="str">
        <f>IFERROR(__xludf.DUMMYFUNCTION("""COMPUTED_VALUE"""),"5 - 8 Oktober 2023")</f>
        <v>5 - 8 Oktober 2023</v>
      </c>
      <c r="J54" s="60" t="str">
        <f>IFERROR(__xludf.DUMMYFUNCTION("""COMPUTED_VALUE"""),"50000")</f>
        <v>50000</v>
      </c>
      <c r="K54" s="43"/>
      <c r="L54" s="43"/>
      <c r="M54" s="43"/>
      <c r="N54" s="43"/>
      <c r="O54" s="43"/>
      <c r="P54" s="43"/>
      <c r="Q54" s="43"/>
      <c r="R54" s="43"/>
      <c r="S54" s="43"/>
      <c r="T54" s="43"/>
      <c r="U54" s="43"/>
      <c r="V54" s="43"/>
      <c r="W54" s="43"/>
      <c r="X54" s="43"/>
      <c r="Y54" s="43"/>
      <c r="Z54" s="43"/>
    </row>
    <row r="55">
      <c r="A55" s="35" t="str">
        <f>IFERROR(__xludf.DUMMYFUNCTION("""COMPUTED_VALUE"""),"3454")</f>
        <v>3454</v>
      </c>
      <c r="B55" s="35" t="str">
        <f>IFERROR(__xludf.DUMMYFUNCTION("""COMPUTED_VALUE"""),"54")</f>
        <v>54</v>
      </c>
      <c r="C55" s="55">
        <f>IFERROR(__xludf.DUMMYFUNCTION("""COMPUTED_VALUE"""),3.0)</f>
        <v>3</v>
      </c>
      <c r="D55" s="56" t="str">
        <f>IFERROR(__xludf.DUMMYFUNCTION("""COMPUTED_VALUE"""),"Dongkrak Seni UI")</f>
        <v>Dongkrak Seni UI</v>
      </c>
      <c r="E55" s="55">
        <f>IFERROR(__xludf.DUMMYFUNCTION("""COMPUTED_VALUE"""),4.0)</f>
        <v>4</v>
      </c>
      <c r="F55" s="43" t="str">
        <f>IFERROR(__xludf.DUMMYFUNCTION("""COMPUTED_VALUE"""),"Dongkrak Seni UI is the largest annual arts festival organized by the Faculty of Engineering, Universitas Indonesia (FT UI). It features a wide range of activities showcasing various art forms, including music, dance, theatre, visual arts, and more. The f"&amp;"estival aims to foster creativity and appreciation for the arts among students and the wider community.")</f>
        <v>Dongkrak Seni UI is the largest annual arts festival organized by the Faculty of Engineering, Universitas Indonesia (FT UI). It features a wide range of activities showcasing various art forms, including music, dance, theatre, visual arts, and more. The festival aims to foster creativity and appreciation for the arts among students and the wider community.</v>
      </c>
      <c r="G55" s="58" t="str">
        <f>IFERROR(__xludf.DUMMYFUNCTION("""COMPUTED_VALUE"""),"-6.3623898")</f>
        <v>-6.3623898</v>
      </c>
      <c r="H55" s="58" t="str">
        <f>IFERROR(__xludf.DUMMYFUNCTION("""COMPUTED_VALUE"""),"106.821496")</f>
        <v>106.821496</v>
      </c>
      <c r="I55" s="59">
        <f>IFERROR(__xludf.DUMMYFUNCTION("""COMPUTED_VALUE"""),45410.0)</f>
        <v>45410</v>
      </c>
      <c r="J55" s="60" t="str">
        <f>IFERROR(__xludf.DUMMYFUNCTION("""COMPUTED_VALUE"""),"75000")</f>
        <v>75000</v>
      </c>
      <c r="K55" s="43"/>
      <c r="L55" s="43"/>
      <c r="M55" s="43"/>
      <c r="N55" s="43"/>
      <c r="O55" s="43"/>
      <c r="P55" s="43"/>
      <c r="Q55" s="43"/>
      <c r="R55" s="43"/>
      <c r="S55" s="43"/>
      <c r="T55" s="43"/>
      <c r="U55" s="43"/>
      <c r="V55" s="43"/>
      <c r="W55" s="43"/>
      <c r="X55" s="43"/>
      <c r="Y55" s="43"/>
      <c r="Z55" s="43"/>
    </row>
    <row r="56">
      <c r="A56" s="35" t="str">
        <f>IFERROR(__xludf.DUMMYFUNCTION("""COMPUTED_VALUE"""),"3455")</f>
        <v>3455</v>
      </c>
      <c r="B56" s="35" t="str">
        <f>IFERROR(__xludf.DUMMYFUNCTION("""COMPUTED_VALUE"""),"55")</f>
        <v>55</v>
      </c>
      <c r="C56" s="55">
        <f>IFERROR(__xludf.DUMMYFUNCTION("""COMPUTED_VALUE"""),3.0)</f>
        <v>3</v>
      </c>
      <c r="D56" s="56" t="str">
        <f>IFERROR(__xludf.DUMMYFUNCTION("""COMPUTED_VALUE"""),"Jazz Goes to Campus")</f>
        <v>Jazz Goes to Campus</v>
      </c>
      <c r="E56" s="55">
        <f>IFERROR(__xludf.DUMMYFUNCTION("""COMPUTED_VALUE"""),4.0)</f>
        <v>4</v>
      </c>
      <c r="F56" s="43" t="str">
        <f>IFERROR(__xludf.DUMMYFUNCTION("""COMPUTED_VALUE"""),"Jazz Goes to Campus is a concert series featuring renowned jazz musicians from Indonesia and abroad. The series aims to promote jazz music among young people and provide a platform for talented musicians to showcase their skills.")</f>
        <v>Jazz Goes to Campus is a concert series featuring renowned jazz musicians from Indonesia and abroad. The series aims to promote jazz music among young people and provide a platform for talented musicians to showcase their skills.</v>
      </c>
      <c r="G56" s="58" t="str">
        <f>IFERROR(__xludf.DUMMYFUNCTION("""COMPUTED_VALUE"""),"-6.3599036")</f>
        <v>-6.3599036</v>
      </c>
      <c r="H56" s="61" t="str">
        <f>IFERROR(__xludf.DUMMYFUNCTION("""COMPUTED_VALUE"""),"106.8234789")</f>
        <v>106.8234789</v>
      </c>
      <c r="I56" s="62">
        <f>IFERROR(__xludf.DUMMYFUNCTION("""COMPUTED_VALUE"""),45242.0)</f>
        <v>45242</v>
      </c>
      <c r="J56" s="60" t="str">
        <f>IFERROR(__xludf.DUMMYFUNCTION("""COMPUTED_VALUE"""),"150000")</f>
        <v>150000</v>
      </c>
      <c r="K56" s="43"/>
      <c r="L56" s="43"/>
      <c r="M56" s="43"/>
      <c r="N56" s="43"/>
      <c r="O56" s="43"/>
      <c r="P56" s="43"/>
      <c r="Q56" s="43"/>
      <c r="R56" s="43"/>
      <c r="S56" s="43"/>
      <c r="T56" s="43"/>
      <c r="U56" s="43"/>
      <c r="V56" s="43"/>
      <c r="W56" s="43"/>
      <c r="X56" s="43"/>
      <c r="Y56" s="43"/>
      <c r="Z56" s="43"/>
    </row>
    <row r="57">
      <c r="A57" s="35" t="str">
        <f>IFERROR(__xludf.DUMMYFUNCTION("""COMPUTED_VALUE"""),"3356")</f>
        <v>3356</v>
      </c>
      <c r="B57" s="35" t="str">
        <f>IFERROR(__xludf.DUMMYFUNCTION("""COMPUTED_VALUE"""),"56")</f>
        <v>56</v>
      </c>
      <c r="C57" s="55">
        <f>IFERROR(__xludf.DUMMYFUNCTION("""COMPUTED_VALUE"""),3.0)</f>
        <v>3</v>
      </c>
      <c r="D57" s="56" t="str">
        <f>IFERROR(__xludf.DUMMYFUNCTION("""COMPUTED_VALUE"""),"BNI UI Half Marathon")</f>
        <v>BNI UI Half Marathon</v>
      </c>
      <c r="E57" s="55">
        <f>IFERROR(__xludf.DUMMYFUNCTION("""COMPUTED_VALUE"""),3.0)</f>
        <v>3</v>
      </c>
      <c r="F57" s="43" t="str">
        <f>IFERROR(__xludf.DUMMYFUNCTION("""COMPUTED_VALUE"""),"BNI UI Half Marathon is a popular running event held in the scenic Depok campus of Universitas Indonesia. The event features a 21.1 km half marathon, a 10 km run, and a 5 km fun run.")</f>
        <v>BNI UI Half Marathon is a popular running event held in the scenic Depok campus of Universitas Indonesia. The event features a 21.1 km half marathon, a 10 km run, and a 5 km fun run.</v>
      </c>
      <c r="G57" s="58" t="str">
        <f>IFERROR(__xludf.DUMMYFUNCTION("""COMPUTED_VALUE"""),"-6.3606176")</f>
        <v>-6.3606176</v>
      </c>
      <c r="H57" s="58" t="str">
        <f>IFERROR(__xludf.DUMMYFUNCTION("""COMPUTED_VALUE"""),"106.824654")</f>
        <v>106.824654</v>
      </c>
      <c r="I57" s="59" t="str">
        <f>IFERROR(__xludf.DUMMYFUNCTION("""COMPUTED_VALUE"""),"16 Juli 2023")</f>
        <v>16 Juli 2023</v>
      </c>
      <c r="J57" s="60" t="str">
        <f>IFERROR(__xludf.DUMMYFUNCTION("""COMPUTED_VALUE"""),"Free")</f>
        <v>Free</v>
      </c>
      <c r="K57" s="43"/>
      <c r="L57" s="43"/>
      <c r="M57" s="43"/>
      <c r="N57" s="43"/>
      <c r="O57" s="43"/>
      <c r="P57" s="43"/>
      <c r="Q57" s="43"/>
      <c r="R57" s="43"/>
      <c r="S57" s="43"/>
      <c r="T57" s="43"/>
      <c r="U57" s="43"/>
      <c r="V57" s="43"/>
      <c r="W57" s="43"/>
      <c r="X57" s="43"/>
      <c r="Y57" s="43"/>
      <c r="Z57" s="43"/>
    </row>
    <row r="58">
      <c r="A58" s="35" t="str">
        <f>IFERROR(__xludf.DUMMYFUNCTION("""COMPUTED_VALUE"""),"3657")</f>
        <v>3657</v>
      </c>
      <c r="B58" s="35" t="str">
        <f>IFERROR(__xludf.DUMMYFUNCTION("""COMPUTED_VALUE"""),"57")</f>
        <v>57</v>
      </c>
      <c r="C58" s="55">
        <f>IFERROR(__xludf.DUMMYFUNCTION("""COMPUTED_VALUE"""),3.0)</f>
        <v>3</v>
      </c>
      <c r="D58" s="56" t="str">
        <f>IFERROR(__xludf.DUMMYFUNCTION("""COMPUTED_VALUE"""),"Mettalurgy and Materials Weeks UI (MnMs UI)")</f>
        <v>Mettalurgy and Materials Weeks UI (MnMs UI)</v>
      </c>
      <c r="E58" s="55">
        <f>IFERROR(__xludf.DUMMYFUNCTION("""COMPUTED_VALUE"""),6.0)</f>
        <v>6</v>
      </c>
      <c r="F58" s="43" t="str">
        <f>IFERROR(__xludf.DUMMYFUNCTION("""COMPUTED_VALUE"""),"MnMs UI is a week-long event organized by the Department of Metallurgy and Materials Engineering, FT UI. The event features lectures, workshops, competitions, and other activities related to the field of metallurgy and materials science.")</f>
        <v>MnMs UI is a week-long event organized by the Department of Metallurgy and Materials Engineering, FT UI. The event features lectures, workshops, competitions, and other activities related to the field of metallurgy and materials science.</v>
      </c>
      <c r="G58" s="58" t="str">
        <f>IFERROR(__xludf.DUMMYFUNCTION("""COMPUTED_VALUE"""),"-6.3637129")</f>
        <v>-6.3637129</v>
      </c>
      <c r="H58" s="58" t="str">
        <f>IFERROR(__xludf.DUMMYFUNCTION("""COMPUTED_VALUE"""),"106.8269275")</f>
        <v>106.8269275</v>
      </c>
      <c r="I58" s="62">
        <f>IFERROR(__xludf.DUMMYFUNCTION("""COMPUTED_VALUE"""),45252.0)</f>
        <v>45252</v>
      </c>
      <c r="J58" s="60" t="str">
        <f>IFERROR(__xludf.DUMMYFUNCTION("""COMPUTED_VALUE"""),"50000")</f>
        <v>50000</v>
      </c>
      <c r="K58" s="43"/>
      <c r="L58" s="43"/>
      <c r="M58" s="43"/>
      <c r="N58" s="43"/>
      <c r="O58" s="43"/>
      <c r="P58" s="43"/>
      <c r="Q58" s="43"/>
      <c r="R58" s="43"/>
      <c r="S58" s="43"/>
      <c r="T58" s="43"/>
      <c r="U58" s="43"/>
      <c r="V58" s="43"/>
      <c r="W58" s="43"/>
      <c r="X58" s="43"/>
      <c r="Y58" s="43"/>
      <c r="Z58" s="43"/>
    </row>
    <row r="59">
      <c r="A59" s="35" t="str">
        <f>IFERROR(__xludf.DUMMYFUNCTION("""COMPUTED_VALUE"""),"3658")</f>
        <v>3658</v>
      </c>
      <c r="B59" s="35" t="str">
        <f>IFERROR(__xludf.DUMMYFUNCTION("""COMPUTED_VALUE"""),"58")</f>
        <v>58</v>
      </c>
      <c r="C59" s="55">
        <f>IFERROR(__xludf.DUMMYFUNCTION("""COMPUTED_VALUE"""),3.0)</f>
        <v>3</v>
      </c>
      <c r="D59" s="56" t="str">
        <f>IFERROR(__xludf.DUMMYFUNCTION("""COMPUTED_VALUE"""),"MMENE UI")</f>
        <v>MMENE UI</v>
      </c>
      <c r="E59" s="55">
        <f>IFERROR(__xludf.DUMMYFUNCTION("""COMPUTED_VALUE"""),6.0)</f>
        <v>6</v>
      </c>
      <c r="F59" s="43" t="str">
        <f>IFERROR(__xludf.DUMMYFUNCTION("""COMPUTED_VALUE"""),"MMENE UI is a national mechanical and marine engineering seminar hosted by the Department of Mechanical Engineering, FT UI. The seminar brings together experts from industry, academia, and government to discuss the latest trends and developments in the me"&amp;"chanical and energy sectors.
")</f>
        <v>MMENE UI is a national mechanical and marine engineering seminar hosted by the Department of Mechanical Engineering, FT UI. The seminar brings together experts from industry, academia, and government to discuss the latest trends and developments in the mechanical and energy sectors.
</v>
      </c>
      <c r="G59" s="58" t="str">
        <f>IFERROR(__xludf.DUMMYFUNCTION("""COMPUTED_VALUE"""),"-6.3697576")</f>
        <v>-6.3697576</v>
      </c>
      <c r="H59" s="58" t="str">
        <f>IFERROR(__xludf.DUMMYFUNCTION("""COMPUTED_VALUE"""),"106.8258728")</f>
        <v>106.8258728</v>
      </c>
      <c r="I59" s="43" t="str">
        <f>IFERROR(__xludf.DUMMYFUNCTION("""COMPUTED_VALUE"""),"22 Agustus 2023")</f>
        <v>22 Agustus 2023</v>
      </c>
      <c r="J59" s="63" t="str">
        <f>IFERROR(__xludf.DUMMYFUNCTION("""COMPUTED_VALUE"""),"50000")</f>
        <v>50000</v>
      </c>
      <c r="K59" s="43"/>
      <c r="L59" s="43"/>
      <c r="M59" s="43"/>
      <c r="N59" s="43"/>
      <c r="O59" s="43"/>
      <c r="P59" s="43"/>
      <c r="Q59" s="43"/>
      <c r="R59" s="43"/>
      <c r="S59" s="43"/>
      <c r="T59" s="43"/>
      <c r="U59" s="43"/>
      <c r="V59" s="43"/>
      <c r="W59" s="43"/>
      <c r="X59" s="43"/>
      <c r="Y59" s="43"/>
      <c r="Z59" s="43"/>
    </row>
    <row r="60">
      <c r="A60" s="35" t="str">
        <f>IFERROR(__xludf.DUMMYFUNCTION("""COMPUTED_VALUE"""),"3659")</f>
        <v>3659</v>
      </c>
      <c r="B60" s="35" t="str">
        <f>IFERROR(__xludf.DUMMYFUNCTION("""COMPUTED_VALUE"""),"59")</f>
        <v>59</v>
      </c>
      <c r="C60" s="55">
        <f>IFERROR(__xludf.DUMMYFUNCTION("""COMPUTED_VALUE"""),3.0)</f>
        <v>3</v>
      </c>
      <c r="D60" s="64" t="str">
        <f>IFERROR(__xludf.DUMMYFUNCTION("""COMPUTED_VALUE"""),"ISEEC UI")</f>
        <v>ISEEC UI</v>
      </c>
      <c r="E60" s="65">
        <f>IFERROR(__xludf.DUMMYFUNCTION("""COMPUTED_VALUE"""),6.0)</f>
        <v>6</v>
      </c>
      <c r="F60" s="64"/>
      <c r="G60" s="66" t="str">
        <f>IFERROR(__xludf.DUMMYFUNCTION("""COMPUTED_VALUE"""),"-6.3697576")</f>
        <v>-6.3697576</v>
      </c>
      <c r="H60" s="58" t="str">
        <f>IFERROR(__xludf.DUMMYFUNCTION("""COMPUTED_VALUE"""),"106.8258728")</f>
        <v>106.8258728</v>
      </c>
      <c r="I60" s="43" t="str">
        <f>IFERROR(__xludf.DUMMYFUNCTION("""COMPUTED_VALUE"""),"Everyday")</f>
        <v>Everyday</v>
      </c>
      <c r="J60" s="63" t="str">
        <f>IFERROR(__xludf.DUMMYFUNCTION("""COMPUTED_VALUE"""),"Free")</f>
        <v>Free</v>
      </c>
      <c r="K60" s="43"/>
      <c r="L60" s="43"/>
      <c r="M60" s="43"/>
      <c r="N60" s="43"/>
      <c r="O60" s="43"/>
      <c r="P60" s="43"/>
      <c r="Q60" s="43"/>
      <c r="R60" s="43"/>
      <c r="S60" s="43"/>
      <c r="T60" s="43"/>
      <c r="U60" s="43"/>
      <c r="V60" s="43"/>
      <c r="W60" s="43"/>
      <c r="X60" s="43"/>
      <c r="Y60" s="43"/>
      <c r="Z60" s="43"/>
    </row>
    <row r="61">
      <c r="A61" s="35" t="str">
        <f>IFERROR(__xludf.DUMMYFUNCTION("""COMPUTED_VALUE"""),"3162")</f>
        <v>3162</v>
      </c>
      <c r="B61" s="35" t="str">
        <f>IFERROR(__xludf.DUMMYFUNCTION("""COMPUTED_VALUE"""),"62")</f>
        <v>62</v>
      </c>
      <c r="C61" s="55">
        <f>IFERROR(__xludf.DUMMYFUNCTION("""COMPUTED_VALUE"""),3.0)</f>
        <v>3</v>
      </c>
      <c r="D61" s="64" t="str">
        <f>IFERROR(__xludf.DUMMYFUNCTION("""COMPUTED_VALUE"""),"Taman Wisata Pasir Putih")</f>
        <v>Taman Wisata Pasir Putih</v>
      </c>
      <c r="E61" s="65">
        <f>IFERROR(__xludf.DUMMYFUNCTION("""COMPUTED_VALUE"""),1.0)</f>
        <v>1</v>
      </c>
      <c r="F61" s="64" t="str">
        <f>IFERROR(__xludf.DUMMYFUNCTION("""COMPUTED_VALUE"""),"Taman wisata air dengan berbagai wahana permainan air, seperti kolam renang, seluncuran, dan waterboom.")</f>
        <v>Taman wisata air dengan berbagai wahana permainan air, seperti kolam renang, seluncuran, dan waterboom.</v>
      </c>
      <c r="G61" s="66" t="str">
        <f>IFERROR(__xludf.DUMMYFUNCTION("""COMPUTED_VALUE"""),"-6.4330627")</f>
        <v>-6.4330627</v>
      </c>
      <c r="H61" s="58" t="str">
        <f>IFERROR(__xludf.DUMMYFUNCTION("""COMPUTED_VALUE"""),"106.787352")</f>
        <v>106.787352</v>
      </c>
      <c r="I61" s="43" t="str">
        <f>IFERROR(__xludf.DUMMYFUNCTION("""COMPUTED_VALUE"""),"Everyday")</f>
        <v>Everyday</v>
      </c>
      <c r="J61" s="63" t="str">
        <f>IFERROR(__xludf.DUMMYFUNCTION("""COMPUTED_VALUE"""),"Free")</f>
        <v>Free</v>
      </c>
      <c r="K61" s="43"/>
      <c r="L61" s="43"/>
      <c r="M61" s="43"/>
      <c r="N61" s="43"/>
      <c r="O61" s="43"/>
      <c r="P61" s="43"/>
      <c r="Q61" s="43"/>
      <c r="R61" s="43"/>
      <c r="S61" s="43"/>
      <c r="T61" s="43"/>
      <c r="U61" s="43"/>
      <c r="V61" s="43"/>
      <c r="W61" s="43"/>
      <c r="X61" s="43"/>
      <c r="Y61" s="43"/>
      <c r="Z61" s="43"/>
    </row>
    <row r="62">
      <c r="A62" s="35" t="str">
        <f>IFERROR(__xludf.DUMMYFUNCTION("""COMPUTED_VALUE"""),"3163")</f>
        <v>3163</v>
      </c>
      <c r="B62" s="35" t="str">
        <f>IFERROR(__xludf.DUMMYFUNCTION("""COMPUTED_VALUE"""),"63")</f>
        <v>63</v>
      </c>
      <c r="C62" s="55">
        <f>IFERROR(__xludf.DUMMYFUNCTION("""COMPUTED_VALUE"""),3.0)</f>
        <v>3</v>
      </c>
      <c r="D62" s="64" t="str">
        <f>IFERROR(__xludf.DUMMYFUNCTION("""COMPUTED_VALUE"""),"Taman Bunga Wiladatika")</f>
        <v>Taman Bunga Wiladatika</v>
      </c>
      <c r="E62" s="65">
        <f>IFERROR(__xludf.DUMMYFUNCTION("""COMPUTED_VALUE"""),1.0)</f>
        <v>1</v>
      </c>
      <c r="F62" s="64" t="str">
        <f>IFERROR(__xludf.DUMMYFUNCTION("""COMPUTED_VALUE"""),"Taman bunga dengan berbagai macam bunga, seperti mawar, tulip, dan anggrek.")</f>
        <v>Taman bunga dengan berbagai macam bunga, seperti mawar, tulip, dan anggrek.</v>
      </c>
      <c r="G62" s="66" t="str">
        <f>IFERROR(__xludf.DUMMYFUNCTION("""COMPUTED_VALUE"""),"-6.3702")</f>
        <v>-6.3702</v>
      </c>
      <c r="H62" s="58" t="str">
        <f>IFERROR(__xludf.DUMMYFUNCTION("""COMPUTED_VALUE"""),"106.893327")</f>
        <v>106.893327</v>
      </c>
      <c r="I62" s="43" t="str">
        <f>IFERROR(__xludf.DUMMYFUNCTION("""COMPUTED_VALUE"""),"Everyday")</f>
        <v>Everyday</v>
      </c>
      <c r="J62" s="63" t="str">
        <f>IFERROR(__xludf.DUMMYFUNCTION("""COMPUTED_VALUE"""),"Free")</f>
        <v>Free</v>
      </c>
      <c r="K62" s="43"/>
      <c r="L62" s="43"/>
      <c r="M62" s="43"/>
      <c r="N62" s="43"/>
      <c r="O62" s="43"/>
      <c r="P62" s="43"/>
      <c r="Q62" s="43"/>
      <c r="R62" s="43"/>
      <c r="S62" s="43"/>
      <c r="T62" s="43"/>
      <c r="U62" s="43"/>
      <c r="V62" s="43"/>
      <c r="W62" s="43"/>
      <c r="X62" s="43"/>
      <c r="Y62" s="43"/>
      <c r="Z62" s="43"/>
    </row>
    <row r="63">
      <c r="A63" s="35" t="str">
        <f>IFERROR(__xludf.DUMMYFUNCTION("""COMPUTED_VALUE"""),"3164")</f>
        <v>3164</v>
      </c>
      <c r="B63" s="35" t="str">
        <f>IFERROR(__xludf.DUMMYFUNCTION("""COMPUTED_VALUE"""),"64")</f>
        <v>64</v>
      </c>
      <c r="C63" s="55">
        <f>IFERROR(__xludf.DUMMYFUNCTION("""COMPUTED_VALUE"""),3.0)</f>
        <v>3</v>
      </c>
      <c r="D63" s="64" t="str">
        <f>IFERROR(__xludf.DUMMYFUNCTION("""COMPUTED_VALUE"""),"D'Kandang Amazing Farm")</f>
        <v>D'Kandang Amazing Farm</v>
      </c>
      <c r="E63" s="65">
        <f>IFERROR(__xludf.DUMMYFUNCTION("""COMPUTED_VALUE"""),1.0)</f>
        <v>1</v>
      </c>
      <c r="F63" s="64" t="str">
        <f>IFERROR(__xludf.DUMMYFUNCTION("""COMPUTED_VALUE"""),"Tempat wisata edukasi yang mengajak pengunjung untuk belajar tentang pertanian dan peternakan.")</f>
        <v>Tempat wisata edukasi yang mengajak pengunjung untuk belajar tentang pertanian dan peternakan.</v>
      </c>
      <c r="G63" s="66" t="str">
        <f>IFERROR(__xludf.DUMMYFUNCTION("""COMPUTED_VALUE"""),"-6.4158763")</f>
        <v>-6.4158763</v>
      </c>
      <c r="H63" s="58" t="str">
        <f>IFERROR(__xludf.DUMMYFUNCTION("""COMPUTED_VALUE"""),"106.7845676")</f>
        <v>106.7845676</v>
      </c>
      <c r="I63" s="43" t="str">
        <f>IFERROR(__xludf.DUMMYFUNCTION("""COMPUTED_VALUE"""),"Everyday")</f>
        <v>Everyday</v>
      </c>
      <c r="J63" s="63" t="str">
        <f>IFERROR(__xludf.DUMMYFUNCTION("""COMPUTED_VALUE"""),"Free")</f>
        <v>Free</v>
      </c>
      <c r="K63" s="43"/>
      <c r="L63" s="43"/>
      <c r="M63" s="43"/>
      <c r="N63" s="43"/>
      <c r="O63" s="43"/>
      <c r="P63" s="43"/>
      <c r="Q63" s="43"/>
      <c r="R63" s="43"/>
      <c r="S63" s="43"/>
      <c r="T63" s="43"/>
      <c r="U63" s="43"/>
      <c r="V63" s="43"/>
      <c r="W63" s="43"/>
      <c r="X63" s="43"/>
      <c r="Y63" s="43"/>
      <c r="Z63" s="43"/>
    </row>
    <row r="64">
      <c r="A64" s="35" t="str">
        <f>IFERROR(__xludf.DUMMYFUNCTION("""COMPUTED_VALUE"""),"3165")</f>
        <v>3165</v>
      </c>
      <c r="B64" s="35" t="str">
        <f>IFERROR(__xludf.DUMMYFUNCTION("""COMPUTED_VALUE"""),"65")</f>
        <v>65</v>
      </c>
      <c r="C64" s="55">
        <f>IFERROR(__xludf.DUMMYFUNCTION("""COMPUTED_VALUE"""),3.0)</f>
        <v>3</v>
      </c>
      <c r="D64" s="64" t="str">
        <f>IFERROR(__xludf.DUMMYFUNCTION("""COMPUTED_VALUE"""),"Green Lake View Waterpark")</f>
        <v>Green Lake View Waterpark</v>
      </c>
      <c r="E64" s="65">
        <f>IFERROR(__xludf.DUMMYFUNCTION("""COMPUTED_VALUE"""),1.0)</f>
        <v>1</v>
      </c>
      <c r="F64" s="64" t="str">
        <f>IFERROR(__xludf.DUMMYFUNCTION("""COMPUTED_VALUE"""),"Taman wisata air dengan berbagai wahana permainan air, seperti kolam renang, seluncuran, dan waterboom.")</f>
        <v>Taman wisata air dengan berbagai wahana permainan air, seperti kolam renang, seluncuran, dan waterboom.</v>
      </c>
      <c r="G64" s="66" t="str">
        <f>IFERROR(__xludf.DUMMYFUNCTION("""COMPUTED_VALUE"""),"-6.3963844")</f>
        <v>-6.3963844</v>
      </c>
      <c r="H64" s="58" t="str">
        <f>IFERROR(__xludf.DUMMYFUNCTION("""COMPUTED_VALUE"""),"106.8690167")</f>
        <v>106.8690167</v>
      </c>
      <c r="I64" s="43" t="str">
        <f>IFERROR(__xludf.DUMMYFUNCTION("""COMPUTED_VALUE"""),"Everyday")</f>
        <v>Everyday</v>
      </c>
      <c r="J64" s="63" t="str">
        <f>IFERROR(__xludf.DUMMYFUNCTION("""COMPUTED_VALUE"""),"Free")</f>
        <v>Free</v>
      </c>
      <c r="K64" s="43"/>
      <c r="L64" s="43"/>
      <c r="M64" s="43"/>
      <c r="N64" s="43"/>
      <c r="O64" s="43"/>
      <c r="P64" s="43"/>
      <c r="Q64" s="43"/>
      <c r="R64" s="43"/>
      <c r="S64" s="43"/>
      <c r="T64" s="43"/>
      <c r="U64" s="43"/>
      <c r="V64" s="43"/>
      <c r="W64" s="43"/>
      <c r="X64" s="43"/>
      <c r="Y64" s="43"/>
      <c r="Z64" s="43"/>
    </row>
    <row r="65">
      <c r="A65" s="35" t="str">
        <f>IFERROR(__xludf.DUMMYFUNCTION("""COMPUTED_VALUE"""),"3166")</f>
        <v>3166</v>
      </c>
      <c r="B65" s="35" t="str">
        <f>IFERROR(__xludf.DUMMYFUNCTION("""COMPUTED_VALUE"""),"66")</f>
        <v>66</v>
      </c>
      <c r="C65" s="55">
        <f>IFERROR(__xludf.DUMMYFUNCTION("""COMPUTED_VALUE"""),3.0)</f>
        <v>3</v>
      </c>
      <c r="D65" s="64" t="str">
        <f>IFERROR(__xludf.DUMMYFUNCTION("""COMPUTED_VALUE"""),"Depok Fantasi Waterpark")</f>
        <v>Depok Fantasi Waterpark</v>
      </c>
      <c r="E65" s="65">
        <f>IFERROR(__xludf.DUMMYFUNCTION("""COMPUTED_VALUE"""),1.0)</f>
        <v>1</v>
      </c>
      <c r="F65" s="64" t="str">
        <f>IFERROR(__xludf.DUMMYFUNCTION("""COMPUTED_VALUE"""),"Taman wisata air dengan berbagai wahana permainan air, seperti kolam renang, seluncuran, dan waterboom.")</f>
        <v>Taman wisata air dengan berbagai wahana permainan air, seperti kolam renang, seluncuran, dan waterboom.</v>
      </c>
      <c r="G65" s="66" t="str">
        <f>IFERROR(__xludf.DUMMYFUNCTION("""COMPUTED_VALUE"""),"-6.4196227")</f>
        <v>-6.4196227</v>
      </c>
      <c r="H65" s="58" t="str">
        <f>IFERROR(__xludf.DUMMYFUNCTION("""COMPUTED_VALUE"""),"106.8284113")</f>
        <v>106.8284113</v>
      </c>
      <c r="I65" s="43" t="str">
        <f>IFERROR(__xludf.DUMMYFUNCTION("""COMPUTED_VALUE"""),"Everyday")</f>
        <v>Everyday</v>
      </c>
      <c r="J65" s="63" t="str">
        <f>IFERROR(__xludf.DUMMYFUNCTION("""COMPUTED_VALUE"""),"Free")</f>
        <v>Free</v>
      </c>
      <c r="K65" s="43"/>
      <c r="L65" s="43"/>
      <c r="M65" s="43"/>
      <c r="N65" s="43"/>
      <c r="O65" s="43"/>
      <c r="P65" s="43"/>
      <c r="Q65" s="43"/>
      <c r="R65" s="43"/>
      <c r="S65" s="43"/>
      <c r="T65" s="43"/>
      <c r="U65" s="43"/>
      <c r="V65" s="43"/>
      <c r="W65" s="43"/>
      <c r="X65" s="43"/>
      <c r="Y65" s="43"/>
      <c r="Z65" s="43"/>
    </row>
    <row r="66">
      <c r="A66" s="35" t="str">
        <f>IFERROR(__xludf.DUMMYFUNCTION("""COMPUTED_VALUE"""),"3167")</f>
        <v>3167</v>
      </c>
      <c r="B66" s="35" t="str">
        <f>IFERROR(__xludf.DUMMYFUNCTION("""COMPUTED_VALUE"""),"67")</f>
        <v>67</v>
      </c>
      <c r="C66" s="55">
        <f>IFERROR(__xludf.DUMMYFUNCTION("""COMPUTED_VALUE"""),3.0)</f>
        <v>3</v>
      </c>
      <c r="D66" s="64" t="str">
        <f>IFERROR(__xludf.DUMMYFUNCTION("""COMPUTED_VALUE"""),"Situ Pengasinan Depok")</f>
        <v>Situ Pengasinan Depok</v>
      </c>
      <c r="E66" s="65">
        <f>IFERROR(__xludf.DUMMYFUNCTION("""COMPUTED_VALUE"""),1.0)</f>
        <v>1</v>
      </c>
      <c r="F66" s="64" t="str">
        <f>IFERROR(__xludf.DUMMYFUNCTION("""COMPUTED_VALUE"""),"Danau yang menjadi tempat wisata favorit masyarakat Depok.")</f>
        <v>Danau yang menjadi tempat wisata favorit masyarakat Depok.</v>
      </c>
      <c r="G66" s="66" t="str">
        <f>IFERROR(__xludf.DUMMYFUNCTION("""COMPUTED_VALUE"""),"-6.4205351")</f>
        <v>-6.4205351</v>
      </c>
      <c r="H66" s="58" t="str">
        <f>IFERROR(__xludf.DUMMYFUNCTION("""COMPUTED_VALUE"""),"106.7487672")</f>
        <v>106.7487672</v>
      </c>
      <c r="I66" s="43" t="str">
        <f>IFERROR(__xludf.DUMMYFUNCTION("""COMPUTED_VALUE"""),"Everyday")</f>
        <v>Everyday</v>
      </c>
      <c r="J66" s="63" t="str">
        <f>IFERROR(__xludf.DUMMYFUNCTION("""COMPUTED_VALUE"""),"Free")</f>
        <v>Free</v>
      </c>
      <c r="K66" s="43"/>
      <c r="L66" s="43"/>
      <c r="M66" s="43"/>
      <c r="N66" s="43"/>
      <c r="O66" s="43"/>
      <c r="P66" s="43"/>
      <c r="Q66" s="43"/>
      <c r="R66" s="43"/>
      <c r="S66" s="43"/>
      <c r="T66" s="43"/>
      <c r="U66" s="43"/>
      <c r="V66" s="43"/>
      <c r="W66" s="43"/>
      <c r="X66" s="43"/>
      <c r="Y66" s="43"/>
      <c r="Z66" s="43"/>
    </row>
    <row r="67">
      <c r="A67" s="35" t="str">
        <f>IFERROR(__xludf.DUMMYFUNCTION("""COMPUTED_VALUE"""),"3168")</f>
        <v>3168</v>
      </c>
      <c r="B67" s="35" t="str">
        <f>IFERROR(__xludf.DUMMYFUNCTION("""COMPUTED_VALUE"""),"68")</f>
        <v>68</v>
      </c>
      <c r="C67" s="55">
        <f>IFERROR(__xludf.DUMMYFUNCTION("""COMPUTED_VALUE"""),3.0)</f>
        <v>3</v>
      </c>
      <c r="D67" s="64" t="str">
        <f>IFERROR(__xludf.DUMMYFUNCTION("""COMPUTED_VALUE"""),"Cagar Alam Kota Depok")</f>
        <v>Cagar Alam Kota Depok</v>
      </c>
      <c r="E67" s="65">
        <f>IFERROR(__xludf.DUMMYFUNCTION("""COMPUTED_VALUE"""),1.0)</f>
        <v>1</v>
      </c>
      <c r="F67" s="64" t="str">
        <f>IFERROR(__xludf.DUMMYFUNCTION("""COMPUTED_VALUE"""),"Cagar alam yang menjadi habitat bagi berbagai macam flora dan fauna, seperti rusa, banteng, dan burung.")</f>
        <v>Cagar alam yang menjadi habitat bagi berbagai macam flora dan fauna, seperti rusa, banteng, dan burung.</v>
      </c>
      <c r="G67" s="66" t="str">
        <f>IFERROR(__xludf.DUMMYFUNCTION("""COMPUTED_VALUE"""),"-6.4076315")</f>
        <v>-6.4076315</v>
      </c>
      <c r="H67" s="58" t="str">
        <f>IFERROR(__xludf.DUMMYFUNCTION("""COMPUTED_VALUE"""),"106.8140767")</f>
        <v>106.8140767</v>
      </c>
      <c r="I67" s="43" t="str">
        <f>IFERROR(__xludf.DUMMYFUNCTION("""COMPUTED_VALUE"""),"Everyday")</f>
        <v>Everyday</v>
      </c>
      <c r="J67" s="63" t="str">
        <f>IFERROR(__xludf.DUMMYFUNCTION("""COMPUTED_VALUE"""),"Free")</f>
        <v>Free</v>
      </c>
      <c r="K67" s="43"/>
      <c r="L67" s="43"/>
      <c r="M67" s="43"/>
      <c r="N67" s="43"/>
      <c r="O67" s="43"/>
      <c r="P67" s="43"/>
      <c r="Q67" s="43"/>
      <c r="R67" s="43"/>
      <c r="S67" s="43"/>
      <c r="T67" s="43"/>
      <c r="U67" s="43"/>
      <c r="V67" s="43"/>
      <c r="W67" s="43"/>
      <c r="X67" s="43"/>
      <c r="Y67" s="43"/>
      <c r="Z67" s="43"/>
    </row>
    <row r="68">
      <c r="A68" s="35" t="str">
        <f>IFERROR(__xludf.DUMMYFUNCTION("""COMPUTED_VALUE"""),"3169")</f>
        <v>3169</v>
      </c>
      <c r="B68" s="35" t="str">
        <f>IFERROR(__xludf.DUMMYFUNCTION("""COMPUTED_VALUE"""),"69")</f>
        <v>69</v>
      </c>
      <c r="C68" s="55">
        <f>IFERROR(__xludf.DUMMYFUNCTION("""COMPUTED_VALUE"""),3.0)</f>
        <v>3</v>
      </c>
      <c r="D68" s="64" t="str">
        <f>IFERROR(__xludf.DUMMYFUNCTION("""COMPUTED_VALUE"""),"Masjid Dian Al-Mahri")</f>
        <v>Masjid Dian Al-Mahri</v>
      </c>
      <c r="E68" s="65">
        <f>IFERROR(__xludf.DUMMYFUNCTION("""COMPUTED_VALUE"""),1.0)</f>
        <v>1</v>
      </c>
      <c r="F68" s="64" t="str">
        <f>IFERROR(__xludf.DUMMYFUNCTION("""COMPUTED_VALUE"""),"Masjid megah dengan kubah emas yang menjadi ikon Kota Depok.")</f>
        <v>Masjid megah dengan kubah emas yang menjadi ikon Kota Depok.</v>
      </c>
      <c r="G68" s="66" t="str">
        <f>IFERROR(__xludf.DUMMYFUNCTION("""COMPUTED_VALUE"""),"-6.3839091")</f>
        <v>-6.3839091</v>
      </c>
      <c r="H68" s="58" t="str">
        <f>IFERROR(__xludf.DUMMYFUNCTION("""COMPUTED_VALUE"""),"106.7719375")</f>
        <v>106.7719375</v>
      </c>
      <c r="I68" s="43" t="str">
        <f>IFERROR(__xludf.DUMMYFUNCTION("""COMPUTED_VALUE"""),"Everyday")</f>
        <v>Everyday</v>
      </c>
      <c r="J68" s="63" t="str">
        <f>IFERROR(__xludf.DUMMYFUNCTION("""COMPUTED_VALUE"""),"Free")</f>
        <v>Free</v>
      </c>
      <c r="K68" s="43"/>
      <c r="L68" s="43"/>
      <c r="M68" s="43"/>
      <c r="N68" s="43"/>
      <c r="O68" s="43"/>
      <c r="P68" s="43"/>
      <c r="Q68" s="43"/>
      <c r="R68" s="43"/>
      <c r="S68" s="43"/>
      <c r="T68" s="43"/>
      <c r="U68" s="43"/>
      <c r="V68" s="43"/>
      <c r="W68" s="43"/>
      <c r="X68" s="43"/>
      <c r="Y68" s="43"/>
      <c r="Z68" s="43"/>
    </row>
    <row r="69">
      <c r="A69" s="67" t="str">
        <f>IFERROR(__xludf.DUMMYFUNCTION("""COMPUTED_VALUE"""),"3170")</f>
        <v>3170</v>
      </c>
      <c r="B69" s="35" t="str">
        <f>IFERROR(__xludf.DUMMYFUNCTION("""COMPUTED_VALUE"""),"70")</f>
        <v>70</v>
      </c>
      <c r="C69" s="68">
        <f>IFERROR(__xludf.DUMMYFUNCTION("""COMPUTED_VALUE"""),3.0)</f>
        <v>3</v>
      </c>
      <c r="D69" s="69" t="str">
        <f>IFERROR(__xludf.DUMMYFUNCTION("""COMPUTED_VALUE"""),"Universitas Indonesia")</f>
        <v>Universitas Indonesia</v>
      </c>
      <c r="E69" s="68">
        <f>IFERROR(__xludf.DUMMYFUNCTION("""COMPUTED_VALUE"""),1.0)</f>
        <v>1</v>
      </c>
      <c r="F69" s="20" t="str">
        <f>IFERROR(__xludf.DUMMYFUNCTION("""COMPUTED_VALUE"""),"Kampus terbesar di Indonesia yang menjadi salah satu destinasi wisata edukasi favorit.")</f>
        <v>Kampus terbesar di Indonesia yang menjadi salah satu destinasi wisata edukasi favorit.</v>
      </c>
      <c r="G69" s="58" t="str">
        <f>IFERROR(__xludf.DUMMYFUNCTION("""COMPUTED_VALUE"""),"-6.3606229")</f>
        <v>-6.3606229</v>
      </c>
      <c r="H69" s="58" t="str">
        <f>IFERROR(__xludf.DUMMYFUNCTION("""COMPUTED_VALUE"""),"106.8272343")</f>
        <v>106.8272343</v>
      </c>
      <c r="I69" s="43" t="str">
        <f>IFERROR(__xludf.DUMMYFUNCTION("""COMPUTED_VALUE"""),"Everyday")</f>
        <v>Everyday</v>
      </c>
      <c r="J69" s="63" t="str">
        <f>IFERROR(__xludf.DUMMYFUNCTION("""COMPUTED_VALUE"""),"Free")</f>
        <v>Free</v>
      </c>
      <c r="K69" s="43"/>
      <c r="L69" s="43"/>
      <c r="M69" s="43"/>
      <c r="N69" s="43"/>
      <c r="O69" s="43"/>
      <c r="P69" s="43"/>
      <c r="Q69" s="43"/>
      <c r="R69" s="43"/>
      <c r="S69" s="43"/>
      <c r="T69" s="43"/>
      <c r="U69" s="43"/>
      <c r="V69" s="43"/>
      <c r="W69" s="43"/>
      <c r="X69" s="43"/>
      <c r="Y69" s="43"/>
      <c r="Z69" s="43"/>
    </row>
    <row r="70">
      <c r="A70" s="67" t="str">
        <f>IFERROR(__xludf.DUMMYFUNCTION("""COMPUTED_VALUE"""),"1671")</f>
        <v>1671</v>
      </c>
      <c r="B70" s="35" t="str">
        <f>IFERROR(__xludf.DUMMYFUNCTION("""COMPUTED_VALUE"""),"71")</f>
        <v>71</v>
      </c>
      <c r="C70" s="68">
        <f>IFERROR(__xludf.DUMMYFUNCTION("""COMPUTED_VALUE"""),1.0)</f>
        <v>1</v>
      </c>
      <c r="D70" s="70" t="str">
        <f>IFERROR(__xludf.DUMMYFUNCTION("""COMPUTED_VALUE"""),"KPPIKG 2024")</f>
        <v>KPPIKG 2024</v>
      </c>
      <c r="E70" s="68">
        <f>IFERROR(__xludf.DUMMYFUNCTION("""COMPUTED_VALUE"""),6.0)</f>
        <v>6</v>
      </c>
      <c r="F70" s="20" t="str">
        <f>IFERROR(__xludf.DUMMYFUNCTION("""COMPUTED_VALUE"""),"KPPIKG 2023 is a routine scientific activity held by the Faculty of Dentistry, University of Indonesia since 1967. In 2023, KPPIKG will be held for the 19th time. In the midst of the Covid-19 Pandemic situation, KPPIKG 2023 will be carried out offline by "&amp;"following the applicable health protocols. This activity will be filled by various national and international speakers in various fields of science including digital dentistry, aesthetics, restorative, orthodontics, and so on according to the latest scien"&amp;"tific developments. We hope that through KPPIKG 2023, dentist colleagues throughout Indonesia can improve their knowledge according to the demands of the times so that they can improve dental and oral health services in Indonesia.At KPPIKG 2023, the large"&amp;"st and most comprehensive Dental Exhibition in Indonesia will be held. The exhibition will be attended by various companies engaged in supporting dental services in Indonesia. This opportunity is expected to be an opportunity to introduce advances in clin"&amp;"ical science and technology at the clinical application level through the latest and greatest products in dentistry.")</f>
        <v>KPPIKG 2023 is a routine scientific activity held by the Faculty of Dentistry, University of Indonesia since 1967. In 2023, KPPIKG will be held for the 19th time. In the midst of the Covid-19 Pandemic situation, KPPIKG 2023 will be carried out offline by following the applicable health protocols. This activity will be filled by various national and international speakers in various fields of science including digital dentistry, aesthetics, restorative, orthodontics, and so on according to the latest scientific developments. We hope that through KPPIKG 2023, dentist colleagues throughout Indonesia can improve their knowledge according to the demands of the times so that they can improve dental and oral health services in Indonesia.At KPPIKG 2023, the largest and most comprehensive Dental Exhibition in Indonesia will be held. The exhibition will be attended by various companies engaged in supporting dental services in Indonesia. This opportunity is expected to be an opportunity to introduce advances in clinical science and technology at the clinical application level through the latest and greatest products in dentistry.</v>
      </c>
      <c r="G70" s="58" t="str">
        <f>IFERROR(__xludf.DUMMYFUNCTION("""COMPUTED_VALUE"""),"-6.1464353")</f>
        <v>-6.1464353</v>
      </c>
      <c r="H70" s="58" t="str">
        <f>IFERROR(__xludf.DUMMYFUNCTION("""COMPUTED_VALUE"""),"106.8452360")</f>
        <v>106.8452360</v>
      </c>
      <c r="I70" s="43" t="str">
        <f>IFERROR(__xludf.DUMMYFUNCTION("""COMPUTED_VALUE"""),"2 Februari - 4 Februari 2024")</f>
        <v>2 Februari - 4 Februari 2024</v>
      </c>
      <c r="J70" s="63" t="str">
        <f>IFERROR(__xludf.DUMMYFUNCTION("""COMPUTED_VALUE"""),"1900000")</f>
        <v>1900000</v>
      </c>
      <c r="K70" s="43"/>
      <c r="L70" s="43"/>
      <c r="M70" s="43"/>
      <c r="N70" s="43"/>
      <c r="O70" s="43"/>
      <c r="P70" s="43"/>
      <c r="Q70" s="43"/>
      <c r="R70" s="43"/>
      <c r="S70" s="43"/>
      <c r="T70" s="43"/>
      <c r="U70" s="43"/>
      <c r="V70" s="43"/>
      <c r="W70" s="43"/>
      <c r="X70" s="43"/>
      <c r="Y70" s="43"/>
      <c r="Z70" s="43"/>
    </row>
    <row r="71">
      <c r="A71" s="67" t="str">
        <f>IFERROR(__xludf.DUMMYFUNCTION("""COMPUTED_VALUE"""),"1672")</f>
        <v>1672</v>
      </c>
      <c r="B71" s="35" t="str">
        <f>IFERROR(__xludf.DUMMYFUNCTION("""COMPUTED_VALUE"""),"72")</f>
        <v>72</v>
      </c>
      <c r="C71" s="68">
        <f>IFERROR(__xludf.DUMMYFUNCTION("""COMPUTED_VALUE"""),1.0)</f>
        <v>1</v>
      </c>
      <c r="D71" s="70" t="str">
        <f>IFERROR(__xludf.DUMMYFUNCTION("""COMPUTED_VALUE"""),"INDONESIA INTERNATIONAL EDUCATION TRAINING EXPO &amp; CONFERENCE 2024")</f>
        <v>INDONESIA INTERNATIONAL EDUCATION TRAINING EXPO &amp; CONFERENCE 2024</v>
      </c>
      <c r="E71" s="68">
        <f>IFERROR(__xludf.DUMMYFUNCTION("""COMPUTED_VALUE"""),6.0)</f>
        <v>6</v>
      </c>
      <c r="F71" s="20" t="str">
        <f>IFERROR(__xludf.DUMMYFUNCTION("""COMPUTED_VALUE"""),"The longest running exhibition on higher education, training &amp; technology in Indonesia")</f>
        <v>The longest running exhibition on higher education, training &amp; technology in Indonesia</v>
      </c>
      <c r="G71" s="58" t="str">
        <f>IFERROR(__xludf.DUMMYFUNCTION("""COMPUTED_VALUE"""),"-6.1464353")</f>
        <v>-6.1464353</v>
      </c>
      <c r="H71" s="58" t="str">
        <f>IFERROR(__xludf.DUMMYFUNCTION("""COMPUTED_VALUE"""),"106.8452360")</f>
        <v>106.8452360</v>
      </c>
      <c r="I71" s="43" t="str">
        <f>IFERROR(__xludf.DUMMYFUNCTION("""COMPUTED_VALUE"""),"16 Februari - 19 Februari 2024")</f>
        <v>16 Februari - 19 Februari 2024</v>
      </c>
      <c r="J71" s="63" t="str">
        <f>IFERROR(__xludf.DUMMYFUNCTION("""COMPUTED_VALUE"""),"Free")</f>
        <v>Free</v>
      </c>
      <c r="K71" s="43"/>
      <c r="L71" s="43"/>
      <c r="M71" s="43"/>
      <c r="N71" s="43"/>
      <c r="O71" s="43"/>
      <c r="P71" s="43"/>
      <c r="Q71" s="43"/>
      <c r="R71" s="43"/>
      <c r="S71" s="43"/>
      <c r="T71" s="43"/>
      <c r="U71" s="43"/>
      <c r="V71" s="43"/>
      <c r="W71" s="43"/>
      <c r="X71" s="43"/>
      <c r="Y71" s="43"/>
      <c r="Z71" s="43"/>
    </row>
    <row r="72">
      <c r="A72" s="67" t="str">
        <f>IFERROR(__xludf.DUMMYFUNCTION("""COMPUTED_VALUE"""),"1573")</f>
        <v>1573</v>
      </c>
      <c r="B72" s="35" t="str">
        <f>IFERROR(__xludf.DUMMYFUNCTION("""COMPUTED_VALUE"""),"73")</f>
        <v>73</v>
      </c>
      <c r="C72" s="68">
        <f>IFERROR(__xludf.DUMMYFUNCTION("""COMPUTED_VALUE"""),1.0)</f>
        <v>1</v>
      </c>
      <c r="D72" s="70" t="str">
        <f>IFERROR(__xludf.DUMMYFUNCTION("""COMPUTED_VALUE"""),"THE 14TH JAKARTA INTERNATIONAL JEWELLERY FAIR 2024")</f>
        <v>THE 14TH JAKARTA INTERNATIONAL JEWELLERY FAIR 2024</v>
      </c>
      <c r="E72" s="68">
        <f>IFERROR(__xludf.DUMMYFUNCTION("""COMPUTED_VALUE"""),5.0)</f>
        <v>5</v>
      </c>
      <c r="F72" s="20" t="str">
        <f>IFERROR(__xludf.DUMMYFUNCTION("""COMPUTED_VALUE"""),"IJF in Jakarta named Jakarta International Jewellery Fair is the largest international jewellery trade fair in Western Indonesia and hold its annual event in every 2nd quarter of the year. Its annual event in every 4th quarter of the year.")</f>
        <v>IJF in Jakarta named Jakarta International Jewellery Fair is the largest international jewellery trade fair in Western Indonesia and hold its annual event in every 2nd quarter of the year. Its annual event in every 4th quarter of the year.</v>
      </c>
      <c r="G72" s="58" t="str">
        <f>IFERROR(__xludf.DUMMYFUNCTION("""COMPUTED_VALUE"""),"-6.1464353")</f>
        <v>-6.1464353</v>
      </c>
      <c r="H72" s="58" t="str">
        <f>IFERROR(__xludf.DUMMYFUNCTION("""COMPUTED_VALUE"""),"106.8452360")</f>
        <v>106.8452360</v>
      </c>
      <c r="I72" s="43" t="str">
        <f>IFERROR(__xludf.DUMMYFUNCTION("""COMPUTED_VALUE"""),"16 Februari - 19 Februari 2024")</f>
        <v>16 Februari - 19 Februari 2024</v>
      </c>
      <c r="J72" s="63" t="str">
        <f>IFERROR(__xludf.DUMMYFUNCTION("""COMPUTED_VALUE"""),"Free")</f>
        <v>Free</v>
      </c>
      <c r="K72" s="43"/>
      <c r="L72" s="43"/>
      <c r="M72" s="43"/>
      <c r="N72" s="43"/>
      <c r="O72" s="43"/>
      <c r="P72" s="43"/>
      <c r="Q72" s="43"/>
      <c r="R72" s="43"/>
      <c r="S72" s="43"/>
      <c r="T72" s="43"/>
      <c r="U72" s="43"/>
      <c r="V72" s="43"/>
      <c r="W72" s="43"/>
      <c r="X72" s="43"/>
      <c r="Y72" s="43"/>
      <c r="Z72" s="43"/>
    </row>
    <row r="73">
      <c r="A73" s="67" t="str">
        <f>IFERROR(__xludf.DUMMYFUNCTION("""COMPUTED_VALUE"""),"1574")</f>
        <v>1574</v>
      </c>
      <c r="B73" s="35" t="str">
        <f>IFERROR(__xludf.DUMMYFUNCTION("""COMPUTED_VALUE"""),"74")</f>
        <v>74</v>
      </c>
      <c r="C73" s="68">
        <f>IFERROR(__xludf.DUMMYFUNCTION("""COMPUTED_VALUE"""),1.0)</f>
        <v>1</v>
      </c>
      <c r="D73" s="70" t="str">
        <f>IFERROR(__xludf.DUMMYFUNCTION("""COMPUTED_VALUE"""),"INDONESIA FASHION WEEK 2024")</f>
        <v>INDONESIA FASHION WEEK 2024</v>
      </c>
      <c r="E73" s="68">
        <f>IFERROR(__xludf.DUMMYFUNCTION("""COMPUTED_VALUE"""),5.0)</f>
        <v>5</v>
      </c>
      <c r="F73" s="20" t="str">
        <f>IFERROR(__xludf.DUMMYFUNCTION("""COMPUTED_VALUE"""),"The Biggest Fashion Event of the Year in Jakarta.")</f>
        <v>The Biggest Fashion Event of the Year in Jakarta.</v>
      </c>
      <c r="G73" s="58" t="str">
        <f>IFERROR(__xludf.DUMMYFUNCTION("""COMPUTED_VALUE"""),"-6.1464353")</f>
        <v>-6.1464353</v>
      </c>
      <c r="H73" s="58" t="str">
        <f>IFERROR(__xludf.DUMMYFUNCTION("""COMPUTED_VALUE"""),"106.8452360")</f>
        <v>106.8452360</v>
      </c>
      <c r="I73" s="43" t="str">
        <f>IFERROR(__xludf.DUMMYFUNCTION("""COMPUTED_VALUE"""),"22 Februari - 25 Februari 2024")</f>
        <v>22 Februari - 25 Februari 2024</v>
      </c>
      <c r="J73" s="63" t="str">
        <f>IFERROR(__xludf.DUMMYFUNCTION("""COMPUTED_VALUE"""),"Free")</f>
        <v>Free</v>
      </c>
      <c r="K73" s="43"/>
      <c r="L73" s="43"/>
      <c r="M73" s="43"/>
      <c r="N73" s="43"/>
      <c r="O73" s="43"/>
      <c r="P73" s="43"/>
      <c r="Q73" s="43"/>
      <c r="R73" s="43"/>
      <c r="S73" s="43"/>
      <c r="T73" s="43"/>
      <c r="U73" s="43"/>
      <c r="V73" s="43"/>
      <c r="W73" s="43"/>
      <c r="X73" s="43"/>
      <c r="Y73" s="43"/>
      <c r="Z73" s="43"/>
    </row>
    <row r="74">
      <c r="A74" s="67" t="str">
        <f>IFERROR(__xludf.DUMMYFUNCTION("""COMPUTED_VALUE"""),"1575")</f>
        <v>1575</v>
      </c>
      <c r="B74" s="35" t="str">
        <f>IFERROR(__xludf.DUMMYFUNCTION("""COMPUTED_VALUE"""),"75")</f>
        <v>75</v>
      </c>
      <c r="C74" s="68">
        <f>IFERROR(__xludf.DUMMYFUNCTION("""COMPUTED_VALUE"""),1.0)</f>
        <v>1</v>
      </c>
      <c r="D74" s="70" t="str">
        <f>IFERROR(__xludf.DUMMYFUNCTION("""COMPUTED_VALUE"""),"THE 20TH EDITION OF MEGA BUILD INDONESIA IN CONJUCTION WITH KERAMIKA INDONESIA")</f>
        <v>THE 20TH EDITION OF MEGA BUILD INDONESIA IN CONJUCTION WITH KERAMIKA INDONESIA</v>
      </c>
      <c r="E74" s="68">
        <f>IFERROR(__xludf.DUMMYFUNCTION("""COMPUTED_VALUE"""),5.0)</f>
        <v>5</v>
      </c>
      <c r="F74" s="20" t="str">
        <f>IFERROR(__xludf.DUMMYFUNCTION("""COMPUTED_VALUE"""),"MEGABUILD Indonesia (MBI) is the largest building material, architecture, interior design, and construction exhibition, held in the heart of Jakarta at Jakarta Convention Center (JCC), congregates over 200,000 professionals from Developers, Project Owners"&amp;", Operators, Architects, Interior Designers and Engineering into this annual 4 days event.Featuring more than 500 brands both locally and internationally, MBI is the platform for business to take place, networking between partners and suppliers, and the i"&amp;"nspiration hub for the future design of Indonesia.")</f>
        <v>MEGABUILD Indonesia (MBI) is the largest building material, architecture, interior design, and construction exhibition, held in the heart of Jakarta at Jakarta Convention Center (JCC), congregates over 200,000 professionals from Developers, Project Owners, Operators, Architects, Interior Designers and Engineering into this annual 4 days event.Featuring more than 500 brands both locally and internationally, MBI is the platform for business to take place, networking between partners and suppliers, and the inspiration hub for the future design of Indonesia.</v>
      </c>
      <c r="G74" s="58" t="str">
        <f>IFERROR(__xludf.DUMMYFUNCTION("""COMPUTED_VALUE"""),"-6.1464353")</f>
        <v>-6.1464353</v>
      </c>
      <c r="H74" s="58" t="str">
        <f>IFERROR(__xludf.DUMMYFUNCTION("""COMPUTED_VALUE"""),"106.8452360")</f>
        <v>106.8452360</v>
      </c>
      <c r="I74" s="43" t="str">
        <f>IFERROR(__xludf.DUMMYFUNCTION("""COMPUTED_VALUE"""),"23 Februari - 26 Februari 2024")</f>
        <v>23 Februari - 26 Februari 2024</v>
      </c>
      <c r="J74" s="63" t="str">
        <f>IFERROR(__xludf.DUMMYFUNCTION("""COMPUTED_VALUE"""),"Free")</f>
        <v>Free</v>
      </c>
      <c r="K74" s="43"/>
      <c r="L74" s="43"/>
      <c r="M74" s="43"/>
      <c r="N74" s="43"/>
      <c r="O74" s="43"/>
      <c r="P74" s="43"/>
      <c r="Q74" s="43"/>
      <c r="R74" s="43"/>
      <c r="S74" s="43"/>
      <c r="T74" s="43"/>
      <c r="U74" s="43"/>
      <c r="V74" s="43"/>
      <c r="W74" s="43"/>
      <c r="X74" s="43"/>
      <c r="Y74" s="43"/>
      <c r="Z74" s="43"/>
    </row>
    <row r="75">
      <c r="A75" s="67" t="str">
        <f>IFERROR(__xludf.DUMMYFUNCTION("""COMPUTED_VALUE"""),"1576")</f>
        <v>1576</v>
      </c>
      <c r="B75" s="35" t="str">
        <f>IFERROR(__xludf.DUMMYFUNCTION("""COMPUTED_VALUE"""),"76")</f>
        <v>76</v>
      </c>
      <c r="C75" s="68">
        <f>IFERROR(__xludf.DUMMYFUNCTION("""COMPUTED_VALUE"""),1.0)</f>
        <v>1</v>
      </c>
      <c r="D75" s="70" t="str">
        <f>IFERROR(__xludf.DUMMYFUNCTION("""COMPUTED_VALUE"""),"JAKARTA AUTOWEEK 2024")</f>
        <v>JAKARTA AUTOWEEK 2024</v>
      </c>
      <c r="E75" s="68">
        <f>IFERROR(__xludf.DUMMYFUNCTION("""COMPUTED_VALUE"""),5.0)</f>
        <v>5</v>
      </c>
      <c r="F75" s="20" t="str">
        <f>IFERROR(__xludf.DUMMYFUNCTION("""COMPUTED_VALUE"""),"Jakarta Auto Week will perform as a comprehensive and compact automotive exhibition, that showcase a wide range of automotive products. Held in Jakarta, Jakarta Auto Week will serve as strategic platform to encourage car sales, as well to intoduce the lat"&amp;"est automotive products to potential audience. The extensive auto show, will feature variety of lifestyle sectors and highligjht characteristics of the Indonesian urban society. The 9-days events provide a platform for automotive industry to collaborate w"&amp;"ith lifestyle industry, as well to provide an inspiring atmosphere and exciting entertainments.")</f>
        <v>Jakarta Auto Week will perform as a comprehensive and compact automotive exhibition, that showcase a wide range of automotive products. Held in Jakarta, Jakarta Auto Week will serve as strategic platform to encourage car sales, as well to intoduce the latest automotive products to potential audience. The extensive auto show, will feature variety of lifestyle sectors and highligjht characteristics of the Indonesian urban society. The 9-days events provide a platform for automotive industry to collaborate with lifestyle industry, as well to provide an inspiring atmosphere and exciting entertainments.</v>
      </c>
      <c r="G75" s="58" t="str">
        <f>IFERROR(__xludf.DUMMYFUNCTION("""COMPUTED_VALUE"""),"-6.1464353")</f>
        <v>-6.1464353</v>
      </c>
      <c r="H75" s="58" t="str">
        <f>IFERROR(__xludf.DUMMYFUNCTION("""COMPUTED_VALUE"""),"106.8452360")</f>
        <v>106.8452360</v>
      </c>
      <c r="I75" s="43" t="str">
        <f>IFERROR(__xludf.DUMMYFUNCTION("""COMPUTED_VALUE"""),"11 Maret 2024 - 19 Maret 2024")</f>
        <v>11 Maret 2024 - 19 Maret 2024</v>
      </c>
      <c r="J75" s="63" t="str">
        <f>IFERROR(__xludf.DUMMYFUNCTION("""COMPUTED_VALUE"""),"Free")</f>
        <v>Free</v>
      </c>
      <c r="K75" s="43"/>
      <c r="L75" s="43"/>
      <c r="M75" s="43"/>
      <c r="N75" s="43"/>
      <c r="O75" s="43"/>
      <c r="P75" s="43"/>
      <c r="Q75" s="43"/>
      <c r="R75" s="43"/>
      <c r="S75" s="43"/>
      <c r="T75" s="43"/>
      <c r="U75" s="43"/>
      <c r="V75" s="43"/>
      <c r="W75" s="43"/>
      <c r="X75" s="43"/>
      <c r="Y75" s="43"/>
      <c r="Z75" s="43"/>
    </row>
    <row r="76">
      <c r="A76" s="67" t="str">
        <f>IFERROR(__xludf.DUMMYFUNCTION("""COMPUTED_VALUE"""),"1577")</f>
        <v>1577</v>
      </c>
      <c r="B76" s="35" t="str">
        <f>IFERROR(__xludf.DUMMYFUNCTION("""COMPUTED_VALUE"""),"77")</f>
        <v>77</v>
      </c>
      <c r="C76" s="68">
        <f>IFERROR(__xludf.DUMMYFUNCTION("""COMPUTED_VALUE"""),1.0)</f>
        <v>1</v>
      </c>
      <c r="D76" s="70" t="str">
        <f>IFERROR(__xludf.DUMMYFUNCTION("""COMPUTED_VALUE"""),"HALAL MOVE ON FESTIVAL 2024")</f>
        <v>HALAL MOVE ON FESTIVAL 2024</v>
      </c>
      <c r="E76" s="68">
        <f>IFERROR(__xludf.DUMMYFUNCTION("""COMPUTED_VALUE"""),5.0)</f>
        <v>5</v>
      </c>
      <c r="F76" s="20" t="str">
        <f>IFERROR(__xludf.DUMMYFUNCTION("""COMPUTED_VALUE"""),"Yuk, Seru-seruan sekalian borong aneka produk halal bareng")</f>
        <v>Yuk, Seru-seruan sekalian borong aneka produk halal bareng</v>
      </c>
      <c r="G76" s="58" t="str">
        <f>IFERROR(__xludf.DUMMYFUNCTION("""COMPUTED_VALUE"""),"-6.1464353")</f>
        <v>-6.1464353</v>
      </c>
      <c r="H76" s="58" t="str">
        <f>IFERROR(__xludf.DUMMYFUNCTION("""COMPUTED_VALUE"""),"106.8452360")</f>
        <v>106.8452360</v>
      </c>
      <c r="I76" s="43" t="str">
        <f>IFERROR(__xludf.DUMMYFUNCTION("""COMPUTED_VALUE"""),"31 Maret 2024 - 2 April 2024")</f>
        <v>31 Maret 2024 - 2 April 2024</v>
      </c>
      <c r="J76" s="63" t="str">
        <f>IFERROR(__xludf.DUMMYFUNCTION("""COMPUTED_VALUE"""),"Free")</f>
        <v>Free</v>
      </c>
      <c r="K76" s="43"/>
      <c r="L76" s="43"/>
      <c r="M76" s="43"/>
      <c r="N76" s="43"/>
      <c r="O76" s="43"/>
      <c r="P76" s="43"/>
      <c r="Q76" s="43"/>
      <c r="R76" s="43"/>
      <c r="S76" s="43"/>
      <c r="T76" s="43"/>
      <c r="U76" s="43"/>
      <c r="V76" s="43"/>
      <c r="W76" s="43"/>
      <c r="X76" s="43"/>
      <c r="Y76" s="43"/>
      <c r="Z76" s="43"/>
    </row>
    <row r="77">
      <c r="A77" s="67" t="str">
        <f>IFERROR(__xludf.DUMMYFUNCTION("""COMPUTED_VALUE"""),"1578")</f>
        <v>1578</v>
      </c>
      <c r="B77" s="35" t="str">
        <f>IFERROR(__xludf.DUMMYFUNCTION("""COMPUTED_VALUE"""),"78")</f>
        <v>78</v>
      </c>
      <c r="C77" s="68">
        <f>IFERROR(__xludf.DUMMYFUNCTION("""COMPUTED_VALUE"""),1.0)</f>
        <v>1</v>
      </c>
      <c r="D77" s="70" t="str">
        <f>IFERROR(__xludf.DUMMYFUNCTION("""COMPUTED_VALUE"""),"JAKCLOTH LEBARAN 2024")</f>
        <v>JAKCLOTH LEBARAN 2024</v>
      </c>
      <c r="E77" s="68">
        <f>IFERROR(__xludf.DUMMYFUNCTION("""COMPUTED_VALUE"""),5.0)</f>
        <v>5</v>
      </c>
      <c r="F77" s="20" t="str">
        <f>IFERROR(__xludf.DUMMYFUNCTION("""COMPUTED_VALUE"""),"Local Clothing &amp; Culinary Festival 350 Clothing Brands Sale Up To 90%")</f>
        <v>Local Clothing &amp; Culinary Festival 350 Clothing Brands Sale Up To 90%</v>
      </c>
      <c r="G77" s="58" t="str">
        <f>IFERROR(__xludf.DUMMYFUNCTION("""COMPUTED_VALUE"""),"-6.1464353")</f>
        <v>-6.1464353</v>
      </c>
      <c r="H77" s="58" t="str">
        <f>IFERROR(__xludf.DUMMYFUNCTION("""COMPUTED_VALUE"""),"106.8452360")</f>
        <v>106.8452360</v>
      </c>
      <c r="I77" s="43" t="str">
        <f>IFERROR(__xludf.DUMMYFUNCTION("""COMPUTED_VALUE"""),"5 April 2024 - 11 April 2024")</f>
        <v>5 April 2024 - 11 April 2024</v>
      </c>
      <c r="J77" s="63" t="str">
        <f>IFERROR(__xludf.DUMMYFUNCTION("""COMPUTED_VALUE"""),"25000")</f>
        <v>25000</v>
      </c>
      <c r="K77" s="43"/>
      <c r="L77" s="43"/>
      <c r="M77" s="43"/>
      <c r="N77" s="43"/>
      <c r="O77" s="43"/>
      <c r="P77" s="43"/>
      <c r="Q77" s="43"/>
      <c r="R77" s="43"/>
      <c r="S77" s="43"/>
      <c r="T77" s="43"/>
      <c r="U77" s="43"/>
      <c r="V77" s="43"/>
      <c r="W77" s="43"/>
      <c r="X77" s="43"/>
      <c r="Y77" s="43"/>
      <c r="Z77" s="43"/>
    </row>
    <row r="78">
      <c r="A78" s="67" t="str">
        <f>IFERROR(__xludf.DUMMYFUNCTION("""COMPUTED_VALUE"""),"1579")</f>
        <v>1579</v>
      </c>
      <c r="B78" s="35" t="str">
        <f>IFERROR(__xludf.DUMMYFUNCTION("""COMPUTED_VALUE"""),"79")</f>
        <v>79</v>
      </c>
      <c r="C78" s="68">
        <f>IFERROR(__xludf.DUMMYFUNCTION("""COMPUTED_VALUE"""),1.0)</f>
        <v>1</v>
      </c>
      <c r="D78" s="70" t="str">
        <f>IFERROR(__xludf.DUMMYFUNCTION("""COMPUTED_VALUE"""),"RAMADHAN FEST 2024")</f>
        <v>RAMADHAN FEST 2024</v>
      </c>
      <c r="E78" s="68">
        <f>IFERROR(__xludf.DUMMYFUNCTION("""COMPUTED_VALUE"""),5.0)</f>
        <v>5</v>
      </c>
      <c r="F78" s="20" t="str">
        <f>IFERROR(__xludf.DUMMYFUNCTION("""COMPUTED_VALUE"""),"Inspired Women Empower Others Dream Day")</f>
        <v>Inspired Women Empower Others Dream Day</v>
      </c>
      <c r="G78" s="58" t="str">
        <f>IFERROR(__xludf.DUMMYFUNCTION("""COMPUTED_VALUE"""),"-6.1464353")</f>
        <v>-6.1464353</v>
      </c>
      <c r="H78" s="58" t="str">
        <f>IFERROR(__xludf.DUMMYFUNCTION("""COMPUTED_VALUE"""),"106.8452360")</f>
        <v>106.8452360</v>
      </c>
      <c r="I78" s="43" t="str">
        <f>IFERROR(__xludf.DUMMYFUNCTION("""COMPUTED_VALUE"""),"5 April 2024 - 11 April 2024")</f>
        <v>5 April 2024 - 11 April 2024</v>
      </c>
      <c r="J78" s="63" t="str">
        <f>IFERROR(__xludf.DUMMYFUNCTION("""COMPUTED_VALUE"""),"25000")</f>
        <v>25000</v>
      </c>
      <c r="K78" s="43"/>
      <c r="L78" s="43"/>
      <c r="M78" s="43"/>
      <c r="N78" s="43"/>
      <c r="O78" s="43"/>
      <c r="P78" s="43"/>
      <c r="Q78" s="43"/>
      <c r="R78" s="43"/>
      <c r="S78" s="43"/>
      <c r="T78" s="43"/>
      <c r="U78" s="43"/>
      <c r="V78" s="43"/>
      <c r="W78" s="43"/>
      <c r="X78" s="43"/>
      <c r="Y78" s="43"/>
      <c r="Z78" s="43"/>
    </row>
    <row r="79">
      <c r="A79" s="67" t="str">
        <f>IFERROR(__xludf.DUMMYFUNCTION("""COMPUTED_VALUE"""),"1580")</f>
        <v>1580</v>
      </c>
      <c r="B79" s="35" t="str">
        <f>IFERROR(__xludf.DUMMYFUNCTION("""COMPUTED_VALUE"""),"80")</f>
        <v>80</v>
      </c>
      <c r="C79" s="68">
        <f>IFERROR(__xludf.DUMMYFUNCTION("""COMPUTED_VALUE"""),1.0)</f>
        <v>1</v>
      </c>
      <c r="D79" s="70" t="str">
        <f>IFERROR(__xludf.DUMMYFUNCTION("""COMPUTED_VALUE"""),"ICRAFT 2023")</f>
        <v>ICRAFT 2023</v>
      </c>
      <c r="E79" s="68">
        <f>IFERROR(__xludf.DUMMYFUNCTION("""COMPUTED_VALUE"""),5.0)</f>
        <v>5</v>
      </c>
      <c r="F79" s="20" t="str">
        <f>IFERROR(__xludf.DUMMYFUNCTION("""COMPUTED_VALUE"""),"Pameran Kriya dan Produk Interior Unggulan Indonesia")</f>
        <v>Pameran Kriya dan Produk Interior Unggulan Indonesia</v>
      </c>
      <c r="G79" s="58" t="str">
        <f>IFERROR(__xludf.DUMMYFUNCTION("""COMPUTED_VALUE"""),"-6.1464353")</f>
        <v>-6.1464353</v>
      </c>
      <c r="H79" s="58" t="str">
        <f>IFERROR(__xludf.DUMMYFUNCTION("""COMPUTED_VALUE"""),"106.8452360")</f>
        <v>106.8452360</v>
      </c>
      <c r="I79" s="43" t="str">
        <f>IFERROR(__xludf.DUMMYFUNCTION("""COMPUTED_VALUE"""),"5 April 2024 - 9 April 2024")</f>
        <v>5 April 2024 - 9 April 2024</v>
      </c>
      <c r="J79" s="63" t="str">
        <f>IFERROR(__xludf.DUMMYFUNCTION("""COMPUTED_VALUE"""),"Free")</f>
        <v>Free</v>
      </c>
      <c r="K79" s="43"/>
      <c r="L79" s="43"/>
      <c r="M79" s="43"/>
      <c r="N79" s="43"/>
      <c r="O79" s="43"/>
      <c r="P79" s="43"/>
      <c r="Q79" s="43"/>
      <c r="R79" s="43"/>
      <c r="S79" s="43"/>
      <c r="T79" s="43"/>
      <c r="U79" s="43"/>
      <c r="V79" s="43"/>
      <c r="W79" s="43"/>
      <c r="X79" s="43"/>
      <c r="Y79" s="43"/>
      <c r="Z79" s="43"/>
    </row>
    <row r="80">
      <c r="A80" s="67" t="str">
        <f>IFERROR(__xludf.DUMMYFUNCTION("""COMPUTED_VALUE"""),"1481")</f>
        <v>1481</v>
      </c>
      <c r="B80" s="35" t="str">
        <f>IFERROR(__xludf.DUMMYFUNCTION("""COMPUTED_VALUE"""),"81")</f>
        <v>81</v>
      </c>
      <c r="C80" s="68">
        <f>IFERROR(__xludf.DUMMYFUNCTION("""COMPUTED_VALUE"""),1.0)</f>
        <v>1</v>
      </c>
      <c r="D80" s="70" t="str">
        <f>IFERROR(__xludf.DUMMYFUNCTION("""COMPUTED_VALUE"""),"FREE FIRE MASTER LEAGUE GRAND FINAL SEASON 7")</f>
        <v>FREE FIRE MASTER LEAGUE GRAND FINAL SEASON 7</v>
      </c>
      <c r="E80" s="68">
        <f>IFERROR(__xludf.DUMMYFUNCTION("""COMPUTED_VALUE"""),4.0)</f>
        <v>4</v>
      </c>
      <c r="F80" s="20" t="str">
        <f>IFERROR(__xludf.DUMMYFUNCTION("""COMPUTED_VALUE"""),"Grand Finals Free Fire Master Leage S7 Dimeriahkan oleh JKT 48 &amp; Habib Jafar")</f>
        <v>Grand Finals Free Fire Master Leage S7 Dimeriahkan oleh JKT 48 &amp; Habib Jafar</v>
      </c>
      <c r="G80" s="58" t="str">
        <f>IFERROR(__xludf.DUMMYFUNCTION("""COMPUTED_VALUE"""),"-6.1464353")</f>
        <v>-6.1464353</v>
      </c>
      <c r="H80" s="58" t="str">
        <f>IFERROR(__xludf.DUMMYFUNCTION("""COMPUTED_VALUE"""),"106.8452360")</f>
        <v>106.8452360</v>
      </c>
      <c r="I80" s="62">
        <f>IFERROR(__xludf.DUMMYFUNCTION("""COMPUTED_VALUE"""),45398.0)</f>
        <v>45398</v>
      </c>
      <c r="J80" s="63" t="str">
        <f>IFERROR(__xludf.DUMMYFUNCTION("""COMPUTED_VALUE"""),"150000")</f>
        <v>150000</v>
      </c>
      <c r="K80" s="43"/>
      <c r="L80" s="43"/>
      <c r="M80" s="43"/>
      <c r="N80" s="43"/>
      <c r="O80" s="43"/>
      <c r="P80" s="43"/>
      <c r="Q80" s="43"/>
      <c r="R80" s="43"/>
      <c r="S80" s="43"/>
      <c r="T80" s="43"/>
      <c r="U80" s="43"/>
      <c r="V80" s="43"/>
      <c r="W80" s="43"/>
      <c r="X80" s="43"/>
      <c r="Y80" s="43"/>
      <c r="Z80" s="43"/>
    </row>
    <row r="81">
      <c r="A81" s="67" t="str">
        <f>IFERROR(__xludf.DUMMYFUNCTION("""COMPUTED_VALUE"""),"1682")</f>
        <v>1682</v>
      </c>
      <c r="B81" s="35" t="str">
        <f>IFERROR(__xludf.DUMMYFUNCTION("""COMPUTED_VALUE"""),"82")</f>
        <v>82</v>
      </c>
      <c r="C81" s="68">
        <f>IFERROR(__xludf.DUMMYFUNCTION("""COMPUTED_VALUE"""),1.0)</f>
        <v>1</v>
      </c>
      <c r="D81" s="70" t="str">
        <f>IFERROR(__xludf.DUMMYFUNCTION("""COMPUTED_VALUE"""),"FESTIVAL EKONOMI KEUANGAN DIGITAL INDONESIA (FEKDI) 2024")</f>
        <v>FESTIVAL EKONOMI KEUANGAN DIGITAL INDONESIA (FEKDI) 2024</v>
      </c>
      <c r="E81" s="68">
        <f>IFERROR(__xludf.DUMMYFUNCTION("""COMPUTED_VALUE"""),6.0)</f>
        <v>6</v>
      </c>
      <c r="F81" s="20" t="str">
        <f>IFERROR(__xludf.DUMMYFUNCTION("""COMPUTED_VALUE"""),"Synergy and Innovation of Digital Economy : Fostering Growth")</f>
        <v>Synergy and Innovation of Digital Economy : Fostering Growth</v>
      </c>
      <c r="G81" s="58" t="str">
        <f>IFERROR(__xludf.DUMMYFUNCTION("""COMPUTED_VALUE"""),"-6.1464353")</f>
        <v>-6.1464353</v>
      </c>
      <c r="H81" s="58" t="str">
        <f>IFERROR(__xludf.DUMMYFUNCTION("""COMPUTED_VALUE"""),"106.8452360")</f>
        <v>106.8452360</v>
      </c>
      <c r="I81" s="43" t="str">
        <f>IFERROR(__xludf.DUMMYFUNCTION("""COMPUTED_VALUE"""),"7 Mei 2024 - 10 Mei 2024")</f>
        <v>7 Mei 2024 - 10 Mei 2024</v>
      </c>
      <c r="J81" s="63" t="str">
        <f>IFERROR(__xludf.DUMMYFUNCTION("""COMPUTED_VALUE"""),"Free")</f>
        <v>Free</v>
      </c>
      <c r="K81" s="43"/>
      <c r="L81" s="43"/>
      <c r="M81" s="43"/>
      <c r="N81" s="43"/>
      <c r="O81" s="43"/>
      <c r="P81" s="43"/>
      <c r="Q81" s="43"/>
      <c r="R81" s="43"/>
      <c r="S81" s="43"/>
      <c r="T81" s="43"/>
      <c r="U81" s="43"/>
      <c r="V81" s="43"/>
      <c r="W81" s="43"/>
      <c r="X81" s="43"/>
      <c r="Y81" s="43"/>
      <c r="Z81" s="43"/>
    </row>
    <row r="82">
      <c r="A82" s="67" t="str">
        <f>IFERROR(__xludf.DUMMYFUNCTION("""COMPUTED_VALUE"""),"1183")</f>
        <v>1183</v>
      </c>
      <c r="B82" s="35" t="str">
        <f>IFERROR(__xludf.DUMMYFUNCTION("""COMPUTED_VALUE"""),"83")</f>
        <v>83</v>
      </c>
      <c r="C82" s="68">
        <f>IFERROR(__xludf.DUMMYFUNCTION("""COMPUTED_VALUE"""),1.0)</f>
        <v>1</v>
      </c>
      <c r="D82" s="70" t="str">
        <f>IFERROR(__xludf.DUMMYFUNCTION("""COMPUTED_VALUE"""),"DEEP AND EXTREME INDONESIA 2024")</f>
        <v>DEEP AND EXTREME INDONESIA 2024</v>
      </c>
      <c r="E82" s="68">
        <f>IFERROR(__xludf.DUMMYFUNCTION("""COMPUTED_VALUE"""),1.0)</f>
        <v>1</v>
      </c>
      <c r="F82" s="20" t="str">
        <f>IFERROR(__xludf.DUMMYFUNCTION("""COMPUTED_VALUE"""),"Asia Biggest Diving, Marine and Adventure Show")</f>
        <v>Asia Biggest Diving, Marine and Adventure Show</v>
      </c>
      <c r="G82" s="58" t="str">
        <f>IFERROR(__xludf.DUMMYFUNCTION("""COMPUTED_VALUE"""),"-6.1464353")</f>
        <v>-6.1464353</v>
      </c>
      <c r="H82" s="58" t="str">
        <f>IFERROR(__xludf.DUMMYFUNCTION("""COMPUTED_VALUE"""),"106.8452360")</f>
        <v>106.8452360</v>
      </c>
      <c r="I82" s="43" t="str">
        <f>IFERROR(__xludf.DUMMYFUNCTION("""COMPUTED_VALUE"""),"1 June 2024 - 4 June 2024")</f>
        <v>1 June 2024 - 4 June 2024</v>
      </c>
      <c r="J82" s="63" t="str">
        <f>IFERROR(__xludf.DUMMYFUNCTION("""COMPUTED_VALUE"""),"Free")</f>
        <v>Free</v>
      </c>
      <c r="K82" s="43"/>
      <c r="L82" s="43"/>
      <c r="M82" s="43"/>
      <c r="N82" s="43"/>
      <c r="O82" s="43"/>
      <c r="P82" s="43"/>
      <c r="Q82" s="43"/>
      <c r="R82" s="43"/>
      <c r="S82" s="43"/>
      <c r="T82" s="43"/>
      <c r="U82" s="43"/>
      <c r="V82" s="43"/>
      <c r="W82" s="43"/>
      <c r="X82" s="43"/>
      <c r="Y82" s="43"/>
      <c r="Z82" s="43"/>
    </row>
    <row r="83">
      <c r="A83" s="67" t="str">
        <f>IFERROR(__xludf.DUMMYFUNCTION("""COMPUTED_VALUE"""),"1584")</f>
        <v>1584</v>
      </c>
      <c r="B83" s="35" t="str">
        <f>IFERROR(__xludf.DUMMYFUNCTION("""COMPUTED_VALUE"""),"84")</f>
        <v>84</v>
      </c>
      <c r="C83" s="68">
        <f>IFERROR(__xludf.DUMMYFUNCTION("""COMPUTED_VALUE"""),1.0)</f>
        <v>1</v>
      </c>
      <c r="D83" s="70" t="str">
        <f>IFERROR(__xludf.DUMMYFUNCTION("""COMPUTED_VALUE"""),"INDONESIA COMIC CON 2024")</f>
        <v>INDONESIA COMIC CON 2024</v>
      </c>
      <c r="E83" s="68">
        <f>IFERROR(__xludf.DUMMYFUNCTION("""COMPUTED_VALUE"""),5.0)</f>
        <v>5</v>
      </c>
      <c r="F83" s="20" t="str">
        <f>IFERROR(__xludf.DUMMYFUNCTION("""COMPUTED_VALUE"""),"Be Ready to #UnleashTheTrueYou!")</f>
        <v>Be Ready to #UnleashTheTrueYou!</v>
      </c>
      <c r="G83" s="58" t="str">
        <f>IFERROR(__xludf.DUMMYFUNCTION("""COMPUTED_VALUE"""),"-6.1464353")</f>
        <v>-6.1464353</v>
      </c>
      <c r="H83" s="58" t="str">
        <f>IFERROR(__xludf.DUMMYFUNCTION("""COMPUTED_VALUE"""),"106.8452360")</f>
        <v>106.8452360</v>
      </c>
      <c r="I83" s="43" t="str">
        <f>IFERROR(__xludf.DUMMYFUNCTION("""COMPUTED_VALUE"""),"23 June 2024 - 25 June 2024")</f>
        <v>23 June 2024 - 25 June 2024</v>
      </c>
      <c r="J83" s="63" t="str">
        <f>IFERROR(__xludf.DUMMYFUNCTION("""COMPUTED_VALUE"""),"50000")</f>
        <v>50000</v>
      </c>
      <c r="K83" s="43"/>
      <c r="L83" s="43"/>
      <c r="M83" s="43"/>
      <c r="N83" s="43"/>
      <c r="O83" s="43"/>
      <c r="P83" s="43"/>
      <c r="Q83" s="43"/>
      <c r="R83" s="43"/>
      <c r="S83" s="43"/>
      <c r="T83" s="43"/>
      <c r="U83" s="43"/>
      <c r="V83" s="43"/>
      <c r="W83" s="43"/>
      <c r="X83" s="43"/>
      <c r="Y83" s="43"/>
      <c r="Z83" s="43"/>
    </row>
    <row r="84">
      <c r="A84" s="67" t="str">
        <f>IFERROR(__xludf.DUMMYFUNCTION("""COMPUTED_VALUE"""),"1585")</f>
        <v>1585</v>
      </c>
      <c r="B84" s="35" t="str">
        <f>IFERROR(__xludf.DUMMYFUNCTION("""COMPUTED_VALUE"""),"85")</f>
        <v>85</v>
      </c>
      <c r="C84" s="68">
        <f>IFERROR(__xludf.DUMMYFUNCTION("""COMPUTED_VALUE"""),1.0)</f>
        <v>1</v>
      </c>
      <c r="D84" s="70" t="str">
        <f>IFERROR(__xludf.DUMMYFUNCTION("""COMPUTED_VALUE"""),"MOMMY 'N ME 2024")</f>
        <v>MOMMY 'N ME 2024</v>
      </c>
      <c r="E84" s="68">
        <f>IFERROR(__xludf.DUMMYFUNCTION("""COMPUTED_VALUE"""),5.0)</f>
        <v>5</v>
      </c>
      <c r="F84" s="20" t="str">
        <f>IFERROR(__xludf.DUMMYFUNCTION("""COMPUTED_VALUE"""),"A must-attend festival, Mommy ‘n Me brings you various products for maternity, babies, and kids, all under one roof. The event is filled with great deals, product launches and all the fun yet insightful activities.?Visit Mommy N’ Me event and create a joy"&amp;"ful experience with us!")</f>
        <v>A must-attend festival, Mommy ‘n Me brings you various products for maternity, babies, and kids, all under one roof. The event is filled with great deals, product launches and all the fun yet insightful activities.?Visit Mommy N’ Me event and create a joyful experience with us!</v>
      </c>
      <c r="G84" s="58" t="str">
        <f>IFERROR(__xludf.DUMMYFUNCTION("""COMPUTED_VALUE"""),"-6.1464353")</f>
        <v>-6.1464353</v>
      </c>
      <c r="H84" s="58" t="str">
        <f>IFERROR(__xludf.DUMMYFUNCTION("""COMPUTED_VALUE"""),"106.8452360")</f>
        <v>106.8452360</v>
      </c>
      <c r="I84" s="43" t="str">
        <f>IFERROR(__xludf.DUMMYFUNCTION("""COMPUTED_VALUE"""),"30 June 2024 - 02 July 2024")</f>
        <v>30 June 2024 - 02 July 2024</v>
      </c>
      <c r="J84" s="63" t="str">
        <f>IFERROR(__xludf.DUMMYFUNCTION("""COMPUTED_VALUE"""),"50000")</f>
        <v>50000</v>
      </c>
      <c r="K84" s="43"/>
      <c r="L84" s="43"/>
      <c r="M84" s="43"/>
      <c r="N84" s="43"/>
      <c r="O84" s="43"/>
      <c r="P84" s="43"/>
      <c r="Q84" s="43"/>
      <c r="R84" s="43"/>
      <c r="S84" s="43"/>
      <c r="T84" s="43"/>
      <c r="U84" s="43"/>
      <c r="V84" s="43"/>
      <c r="W84" s="43"/>
      <c r="X84" s="43"/>
      <c r="Y84" s="43"/>
      <c r="Z84" s="43"/>
    </row>
    <row r="85">
      <c r="A85" s="67" t="str">
        <f>IFERROR(__xludf.DUMMYFUNCTION("""COMPUTED_VALUE"""),"1586")</f>
        <v>1586</v>
      </c>
      <c r="B85" s="35" t="str">
        <f>IFERROR(__xludf.DUMMYFUNCTION("""COMPUTED_VALUE"""),"86")</f>
        <v>86</v>
      </c>
      <c r="C85" s="68">
        <f>IFERROR(__xludf.DUMMYFUNCTION("""COMPUTED_VALUE"""),1.0)</f>
        <v>1</v>
      </c>
      <c r="D85" s="70" t="str">
        <f>IFERROR(__xludf.DUMMYFUNCTION("""COMPUTED_VALUE"""),"KARYA KREATIF INDONESIA 2024")</f>
        <v>KARYA KREATIF INDONESIA 2024</v>
      </c>
      <c r="E85" s="68">
        <f>IFERROR(__xludf.DUMMYFUNCTION("""COMPUTED_VALUE"""),5.0)</f>
        <v>5</v>
      </c>
      <c r="F85" s="20" t="str">
        <f>IFERROR(__xludf.DUMMYFUNCTION("""COMPUTED_VALUE"""),"Berkolaborasi Mendorong Semangat Kebaruan dan Inovasi UMKM di Seluruh Nusantara")</f>
        <v>Berkolaborasi Mendorong Semangat Kebaruan dan Inovasi UMKM di Seluruh Nusantara</v>
      </c>
      <c r="G85" s="58" t="str">
        <f>IFERROR(__xludf.DUMMYFUNCTION("""COMPUTED_VALUE"""),"-6.1464353")</f>
        <v>-6.1464353</v>
      </c>
      <c r="H85" s="58" t="str">
        <f>IFERROR(__xludf.DUMMYFUNCTION("""COMPUTED_VALUE"""),"106.8452360")</f>
        <v>106.8452360</v>
      </c>
      <c r="I85" s="43" t="str">
        <f>IFERROR(__xludf.DUMMYFUNCTION("""COMPUTED_VALUE"""),"27 Juli 2024 - 30 Juli 2024")</f>
        <v>27 Juli 2024 - 30 Juli 2024</v>
      </c>
      <c r="J85" s="63" t="str">
        <f>IFERROR(__xludf.DUMMYFUNCTION("""COMPUTED_VALUE"""),"Free")</f>
        <v>Free</v>
      </c>
      <c r="K85" s="43"/>
      <c r="L85" s="43"/>
      <c r="M85" s="43"/>
      <c r="N85" s="43"/>
      <c r="O85" s="43"/>
      <c r="P85" s="43"/>
      <c r="Q85" s="43"/>
      <c r="R85" s="43"/>
      <c r="S85" s="43"/>
      <c r="T85" s="43"/>
      <c r="U85" s="43"/>
      <c r="V85" s="43"/>
      <c r="W85" s="43"/>
      <c r="X85" s="43"/>
      <c r="Y85" s="43"/>
      <c r="Z85" s="43"/>
    </row>
    <row r="86">
      <c r="A86" s="67" t="str">
        <f>IFERROR(__xludf.DUMMYFUNCTION("""COMPUTED_VALUE"""),"1587")</f>
        <v>1587</v>
      </c>
      <c r="B86" s="35" t="str">
        <f>IFERROR(__xludf.DUMMYFUNCTION("""COMPUTED_VALUE"""),"87")</f>
        <v>87</v>
      </c>
      <c r="C86" s="68">
        <f>IFERROR(__xludf.DUMMYFUNCTION("""COMPUTED_VALUE"""),1.0)</f>
        <v>1</v>
      </c>
      <c r="D86" s="70" t="str">
        <f>IFERROR(__xludf.DUMMYFUNCTION("""COMPUTED_VALUE"""),"JAKARTA X BEAUTY 2024")</f>
        <v>JAKARTA X BEAUTY 2024</v>
      </c>
      <c r="E86" s="68">
        <f>IFERROR(__xludf.DUMMYFUNCTION("""COMPUTED_VALUE"""),5.0)</f>
        <v>5</v>
      </c>
      <c r="F86" s="20" t="str">
        <f>IFERROR(__xludf.DUMMYFUNCTION("""COMPUTED_VALUE"""),"Get Ready For the Leading and Most Awaited Beauty Event Ever!")</f>
        <v>Get Ready For the Leading and Most Awaited Beauty Event Ever!</v>
      </c>
      <c r="G86" s="58" t="str">
        <f>IFERROR(__xludf.DUMMYFUNCTION("""COMPUTED_VALUE"""),"-6.1464353")</f>
        <v>-6.1464353</v>
      </c>
      <c r="H86" s="58" t="str">
        <f>IFERROR(__xludf.DUMMYFUNCTION("""COMPUTED_VALUE"""),"106.8452360")</f>
        <v>106.8452360</v>
      </c>
      <c r="I86" s="43" t="str">
        <f>IFERROR(__xludf.DUMMYFUNCTION("""COMPUTED_VALUE"""),"3 Agustus - 6 Agustus 2024")</f>
        <v>3 Agustus - 6 Agustus 2024</v>
      </c>
      <c r="J86" s="63" t="str">
        <f>IFERROR(__xludf.DUMMYFUNCTION("""COMPUTED_VALUE"""),"50000")</f>
        <v>50000</v>
      </c>
      <c r="K86" s="43"/>
      <c r="L86" s="43"/>
      <c r="M86" s="43"/>
      <c r="N86" s="43"/>
      <c r="O86" s="43"/>
      <c r="P86" s="43"/>
      <c r="Q86" s="43"/>
      <c r="R86" s="43"/>
      <c r="S86" s="43"/>
      <c r="T86" s="43"/>
      <c r="U86" s="43"/>
      <c r="V86" s="43"/>
      <c r="W86" s="43"/>
      <c r="X86" s="43"/>
      <c r="Y86" s="43"/>
      <c r="Z86" s="43"/>
    </row>
    <row r="87">
      <c r="A87" s="67" t="str">
        <f>IFERROR(__xludf.DUMMYFUNCTION("""COMPUTED_VALUE"""),"1588")</f>
        <v>1588</v>
      </c>
      <c r="B87" s="35" t="str">
        <f>IFERROR(__xludf.DUMMYFUNCTION("""COMPUTED_VALUE"""),"88")</f>
        <v>88</v>
      </c>
      <c r="C87" s="68">
        <f>IFERROR(__xludf.DUMMYFUNCTION("""COMPUTED_VALUE"""),1.0)</f>
        <v>1</v>
      </c>
      <c r="D87" s="70" t="str">
        <f>IFERROR(__xludf.DUMMYFUNCTION("""COMPUTED_VALUE"""),"ASEAN FEST 2024")</f>
        <v>ASEAN FEST 2024</v>
      </c>
      <c r="E87" s="68">
        <f>IFERROR(__xludf.DUMMYFUNCTION("""COMPUTED_VALUE"""),5.0)</f>
        <v>5</v>
      </c>
      <c r="F87" s="20" t="str">
        <f>IFERROR(__xludf.DUMMYFUNCTION("""COMPUTED_VALUE"""),"Ingin ikut serta dalam Keketuaan ASEAN Indonesia 2023? Yuk ke ASEAN Fest! Rasakan sensasi ber kunjung ke negara-negara ASEAN dalam sehari, dan ikuti berbagai aktivitasnya. Menangkan berbagai hadiah menarik bertema ASEAN!")</f>
        <v>Ingin ikut serta dalam Keketuaan ASEAN Indonesia 2023? Yuk ke ASEAN Fest! Rasakan sensasi ber kunjung ke negara-negara ASEAN dalam sehari, dan ikuti berbagai aktivitasnya. Menangkan berbagai hadiah menarik bertema ASEAN!</v>
      </c>
      <c r="G87" s="58" t="str">
        <f>IFERROR(__xludf.DUMMYFUNCTION("""COMPUTED_VALUE"""),"-6.1464353")</f>
        <v>-6.1464353</v>
      </c>
      <c r="H87" s="58" t="str">
        <f>IFERROR(__xludf.DUMMYFUNCTION("""COMPUTED_VALUE"""),"106.8452360")</f>
        <v>106.8452360</v>
      </c>
      <c r="I87" s="43" t="str">
        <f>IFERROR(__xludf.DUMMYFUNCTION("""COMPUTED_VALUE"""),"22 Agustus 2024 - 25 Agustus 2024")</f>
        <v>22 Agustus 2024 - 25 Agustus 2024</v>
      </c>
      <c r="J87" s="63" t="str">
        <f>IFERROR(__xludf.DUMMYFUNCTION("""COMPUTED_VALUE"""),"Free")</f>
        <v>Free</v>
      </c>
      <c r="K87" s="43"/>
      <c r="L87" s="43"/>
      <c r="M87" s="43"/>
      <c r="N87" s="43"/>
      <c r="O87" s="43"/>
      <c r="P87" s="43"/>
      <c r="Q87" s="43"/>
      <c r="R87" s="43"/>
      <c r="S87" s="43"/>
      <c r="T87" s="43"/>
      <c r="U87" s="43"/>
      <c r="V87" s="43"/>
      <c r="W87" s="43"/>
      <c r="X87" s="43"/>
      <c r="Y87" s="43"/>
      <c r="Z87" s="43"/>
    </row>
    <row r="88">
      <c r="A88" s="67" t="str">
        <f>IFERROR(__xludf.DUMMYFUNCTION("""COMPUTED_VALUE"""),"1689")</f>
        <v>1689</v>
      </c>
      <c r="B88" s="35" t="str">
        <f>IFERROR(__xludf.DUMMYFUNCTION("""COMPUTED_VALUE"""),"89")</f>
        <v>89</v>
      </c>
      <c r="C88" s="68">
        <f>IFERROR(__xludf.DUMMYFUNCTION("""COMPUTED_VALUE"""),1.0)</f>
        <v>1</v>
      </c>
      <c r="D88" s="70" t="str">
        <f>IFERROR(__xludf.DUMMYFUNCTION("""COMPUTED_VALUE"""),"PLN NUSANTARA POWER CONNECT 2024")</f>
        <v>PLN NUSANTARA POWER CONNECT 2024</v>
      </c>
      <c r="E88" s="68">
        <f>IFERROR(__xludf.DUMMYFUNCTION("""COMPUTED_VALUE"""),6.0)</f>
        <v>6</v>
      </c>
      <c r="F88" s="20" t="str">
        <f>IFERROR(__xludf.DUMMYFUNCTION("""COMPUTED_VALUE"""),"Stregthening The Base, Expanding the Business")</f>
        <v>Stregthening The Base, Expanding the Business</v>
      </c>
      <c r="G88" s="58" t="str">
        <f>IFERROR(__xludf.DUMMYFUNCTION("""COMPUTED_VALUE"""),"-6.1464353")</f>
        <v>-6.1464353</v>
      </c>
      <c r="H88" s="58" t="str">
        <f>IFERROR(__xludf.DUMMYFUNCTION("""COMPUTED_VALUE"""),"106.8452360")</f>
        <v>106.8452360</v>
      </c>
      <c r="I88" s="43" t="str">
        <f>IFERROR(__xludf.DUMMYFUNCTION("""COMPUTED_VALUE"""),"11 September 2024 - 12 September 2024")</f>
        <v>11 September 2024 - 12 September 2024</v>
      </c>
      <c r="J88" s="63" t="str">
        <f>IFERROR(__xludf.DUMMYFUNCTION("""COMPUTED_VALUE"""),"Free")</f>
        <v>Free</v>
      </c>
      <c r="K88" s="43"/>
      <c r="L88" s="43"/>
      <c r="M88" s="43"/>
      <c r="N88" s="43"/>
      <c r="O88" s="43"/>
      <c r="P88" s="43"/>
      <c r="Q88" s="43"/>
      <c r="R88" s="43"/>
      <c r="S88" s="43"/>
      <c r="T88" s="43"/>
      <c r="U88" s="43"/>
      <c r="V88" s="43"/>
      <c r="W88" s="43"/>
      <c r="X88" s="43"/>
      <c r="Y88" s="43"/>
      <c r="Z88" s="43"/>
    </row>
    <row r="89">
      <c r="A89" s="67" t="str">
        <f>IFERROR(__xludf.DUMMYFUNCTION("""COMPUTED_VALUE"""),"1290")</f>
        <v>1290</v>
      </c>
      <c r="B89" s="35" t="str">
        <f>IFERROR(__xludf.DUMMYFUNCTION("""COMPUTED_VALUE"""),"90")</f>
        <v>90</v>
      </c>
      <c r="C89" s="68">
        <f>IFERROR(__xludf.DUMMYFUNCTION("""COMPUTED_VALUE"""),1.0)</f>
        <v>1</v>
      </c>
      <c r="D89" s="70" t="str">
        <f>IFERROR(__xludf.DUMMYFUNCTION("""COMPUTED_VALUE"""),"PAMERAN KRIYA NUSA 2024")</f>
        <v>PAMERAN KRIYA NUSA 2024</v>
      </c>
      <c r="E89" s="68">
        <f>IFERROR(__xludf.DUMMYFUNCTION("""COMPUTED_VALUE"""),2.0)</f>
        <v>2</v>
      </c>
      <c r="F89" s="20" t="str">
        <f>IFERROR(__xludf.DUMMYFUNCTION("""COMPUTED_VALUE"""),"Kriya Unggul, Indonesia Maju")</f>
        <v>Kriya Unggul, Indonesia Maju</v>
      </c>
      <c r="G89" s="58" t="str">
        <f>IFERROR(__xludf.DUMMYFUNCTION("""COMPUTED_VALUE"""),"-6.1464353")</f>
        <v>-6.1464353</v>
      </c>
      <c r="H89" s="58" t="str">
        <f>IFERROR(__xludf.DUMMYFUNCTION("""COMPUTED_VALUE"""),"106.8452360")</f>
        <v>106.8452360</v>
      </c>
      <c r="I89" s="43" t="str">
        <f>IFERROR(__xludf.DUMMYFUNCTION("""COMPUTED_VALUE"""),"13 September 2024 - 17 September 2024")</f>
        <v>13 September 2024 - 17 September 2024</v>
      </c>
      <c r="J89" s="63" t="str">
        <f>IFERROR(__xludf.DUMMYFUNCTION("""COMPUTED_VALUE"""),"100000")</f>
        <v>100000</v>
      </c>
      <c r="K89" s="43"/>
      <c r="L89" s="43"/>
      <c r="M89" s="43"/>
      <c r="N89" s="43"/>
      <c r="O89" s="43"/>
      <c r="P89" s="43"/>
      <c r="Q89" s="43"/>
      <c r="R89" s="43"/>
      <c r="S89" s="43"/>
      <c r="T89" s="43"/>
      <c r="U89" s="43"/>
      <c r="V89" s="43"/>
      <c r="W89" s="43"/>
      <c r="X89" s="43"/>
      <c r="Y89" s="43"/>
      <c r="Z89" s="43"/>
    </row>
    <row r="90">
      <c r="A90" s="67" t="str">
        <f>IFERROR(__xludf.DUMMYFUNCTION("""COMPUTED_VALUE"""),"1591")</f>
        <v>1591</v>
      </c>
      <c r="B90" s="35" t="str">
        <f>IFERROR(__xludf.DUMMYFUNCTION("""COMPUTED_VALUE"""),"91")</f>
        <v>91</v>
      </c>
      <c r="C90" s="68">
        <f>IFERROR(__xludf.DUMMYFUNCTION("""COMPUTED_VALUE"""),1.0)</f>
        <v>1</v>
      </c>
      <c r="D90" s="70" t="str">
        <f>IFERROR(__xludf.DUMMYFUNCTION("""COMPUTED_VALUE"""),"JIPREMIUM 2024")</f>
        <v>JIPREMIUM 2024</v>
      </c>
      <c r="E90" s="68">
        <f>IFERROR(__xludf.DUMMYFUNCTION("""COMPUTED_VALUE"""),5.0)</f>
        <v>5</v>
      </c>
      <c r="F90" s="20" t="str">
        <f>IFERROR(__xludf.DUMMYFUNCTION("""COMPUTED_VALUE"""),"The Biggest Jakarta Premium Products Fair ")</f>
        <v>The Biggest Jakarta Premium Products Fair </v>
      </c>
      <c r="G90" s="58" t="str">
        <f>IFERROR(__xludf.DUMMYFUNCTION("""COMPUTED_VALUE"""),"-6.1464353")</f>
        <v>-6.1464353</v>
      </c>
      <c r="H90" s="58" t="str">
        <f>IFERROR(__xludf.DUMMYFUNCTION("""COMPUTED_VALUE"""),"106.8452360")</f>
        <v>106.8452360</v>
      </c>
      <c r="I90" s="43" t="str">
        <f>IFERROR(__xludf.DUMMYFUNCTION("""COMPUTED_VALUE"""),"13 September 2024 - 17 September 2024")</f>
        <v>13 September 2024 - 17 September 2024</v>
      </c>
      <c r="J90" s="63" t="str">
        <f>IFERROR(__xludf.DUMMYFUNCTION("""COMPUTED_VALUE"""),"100000")</f>
        <v>100000</v>
      </c>
      <c r="K90" s="43"/>
      <c r="L90" s="43"/>
      <c r="M90" s="43"/>
      <c r="N90" s="43"/>
      <c r="O90" s="43"/>
      <c r="P90" s="43"/>
      <c r="Q90" s="43"/>
      <c r="R90" s="43"/>
      <c r="S90" s="43"/>
      <c r="T90" s="43"/>
      <c r="U90" s="43"/>
      <c r="V90" s="43"/>
      <c r="W90" s="43"/>
      <c r="X90" s="43"/>
      <c r="Y90" s="43"/>
      <c r="Z90" s="43"/>
    </row>
    <row r="91">
      <c r="A91" s="67" t="str">
        <f>IFERROR(__xludf.DUMMYFUNCTION("""COMPUTED_VALUE"""),"1692")</f>
        <v>1692</v>
      </c>
      <c r="B91" s="35" t="str">
        <f>IFERROR(__xludf.DUMMYFUNCTION("""COMPUTED_VALUE"""),"92")</f>
        <v>92</v>
      </c>
      <c r="C91" s="68">
        <f>IFERROR(__xludf.DUMMYFUNCTION("""COMPUTED_VALUE"""),1.0)</f>
        <v>1</v>
      </c>
      <c r="D91" s="70" t="str">
        <f>IFERROR(__xludf.DUMMYFUNCTION("""COMPUTED_VALUE"""),"INDONESIA DENTAL EXHIBITION &amp; CONFERENCE (IDEC) 2024")</f>
        <v>INDONESIA DENTAL EXHIBITION &amp; CONFERENCE (IDEC) 2024</v>
      </c>
      <c r="E91" s="68">
        <f>IFERROR(__xludf.DUMMYFUNCTION("""COMPUTED_VALUE"""),6.0)</f>
        <v>6</v>
      </c>
      <c r="F91" s="20" t="str">
        <f>IFERROR(__xludf.DUMMYFUNCTION("""COMPUTED_VALUE"""),"Together with The Indonesia Dental Association (PDGI) Traya Eksibisi Internasional, PT. are proud to present the third edition of Indonesia Dental Exhibition and Conference. Aiming to be the leading dental exhibition in the country, the exhibition will co"&amp;"ntinue to gather leading local distributors, suppliers and the dental community.")</f>
        <v>Together with The Indonesia Dental Association (PDGI) Traya Eksibisi Internasional, PT. are proud to present the third edition of Indonesia Dental Exhibition and Conference. Aiming to be the leading dental exhibition in the country, the exhibition will continue to gather leading local distributors, suppliers and the dental community.</v>
      </c>
      <c r="G91" s="58" t="str">
        <f>IFERROR(__xludf.DUMMYFUNCTION("""COMPUTED_VALUE"""),"-6.1464353")</f>
        <v>-6.1464353</v>
      </c>
      <c r="H91" s="58" t="str">
        <f>IFERROR(__xludf.DUMMYFUNCTION("""COMPUTED_VALUE"""),"106.8452360")</f>
        <v>106.8452360</v>
      </c>
      <c r="I91" s="43" t="str">
        <f>IFERROR(__xludf.DUMMYFUNCTION("""COMPUTED_VALUE"""),"15 September 2024 - 17 September 2024")</f>
        <v>15 September 2024 - 17 September 2024</v>
      </c>
      <c r="J91" s="63" t="str">
        <f>IFERROR(__xludf.DUMMYFUNCTION("""COMPUTED_VALUE"""),"250000")</f>
        <v>250000</v>
      </c>
      <c r="K91" s="43"/>
      <c r="L91" s="43"/>
      <c r="M91" s="43"/>
      <c r="N91" s="43"/>
      <c r="O91" s="43"/>
      <c r="P91" s="43"/>
      <c r="Q91" s="43"/>
      <c r="R91" s="43"/>
      <c r="S91" s="43"/>
      <c r="T91" s="43"/>
      <c r="U91" s="43"/>
      <c r="V91" s="43"/>
      <c r="W91" s="43"/>
      <c r="X91" s="43"/>
      <c r="Y91" s="43"/>
      <c r="Z91" s="43"/>
    </row>
    <row r="92">
      <c r="A92" s="67" t="str">
        <f>IFERROR(__xludf.DUMMYFUNCTION("""COMPUTED_VALUE"""),"1693")</f>
        <v>1693</v>
      </c>
      <c r="B92" s="35" t="str">
        <f>IFERROR(__xludf.DUMMYFUNCTION("""COMPUTED_VALUE"""),"93")</f>
        <v>93</v>
      </c>
      <c r="C92" s="68">
        <f>IFERROR(__xludf.DUMMYFUNCTION("""COMPUTED_VALUE"""),1.0)</f>
        <v>1</v>
      </c>
      <c r="D92" s="70" t="str">
        <f>IFERROR(__xludf.DUMMYFUNCTION("""COMPUTED_VALUE"""),"THE 9TH INDONESIA INTERNATIONAL GEOTHERMAL CONVENTION &amp; EXHIBITION (IIGCE) 2024")</f>
        <v>THE 9TH INDONESIA INTERNATIONAL GEOTHERMAL CONVENTION &amp; EXHIBITION (IIGCE) 2024</v>
      </c>
      <c r="E92" s="68">
        <f>IFERROR(__xludf.DUMMYFUNCTION("""COMPUTED_VALUE"""),6.0)</f>
        <v>6</v>
      </c>
      <c r="F92" s="20" t="str">
        <f>IFERROR(__xludf.DUMMYFUNCTION("""COMPUTED_VALUE"""),"For the past eight years, the Indonesian Geothermal Association (INAGA) as the association for the Geothermal industry in Indonesia has been proud and successful in hosting the Indonesia International Geothermal Convention &amp; Exhibition (IIGCE) offline in "&amp;"Jakarta Convention Center, Indonesia. The COVID-19 virus clearly prevented us from holding the event as usual in 2020-2021, as there is no guarantee the safety and health of participants will be well managed, so we brought the event virtually for two year"&amp;"s. This year INAGA is proud to host and present again The 9th Indonesia International Geothermal Convention &amp; Exhibition (IIGCE) 2023 in conjunction with The 23rd INAGA’s Annual Scientific Meeting. The event will be held on 20-22 September 2023 at the Ass"&amp;"embly Hall Jakarta Convention Center. We enthusiastically encourage you to attend this premier event of the geothermal industry in the region and benefit from its strategic programs.")</f>
        <v>For the past eight years, the Indonesian Geothermal Association (INAGA) as the association for the Geothermal industry in Indonesia has been proud and successful in hosting the Indonesia International Geothermal Convention &amp; Exhibition (IIGCE) offline in Jakarta Convention Center, Indonesia. The COVID-19 virus clearly prevented us from holding the event as usual in 2020-2021, as there is no guarantee the safety and health of participants will be well managed, so we brought the event virtually for two years. This year INAGA is proud to host and present again The 9th Indonesia International Geothermal Convention &amp; Exhibition (IIGCE) 2023 in conjunction with The 23rd INAGA’s Annual Scientific Meeting. The event will be held on 20-22 September 2023 at the Assembly Hall Jakarta Convention Center. We enthusiastically encourage you to attend this premier event of the geothermal industry in the region and benefit from its strategic programs.</v>
      </c>
      <c r="G92" s="58" t="str">
        <f>IFERROR(__xludf.DUMMYFUNCTION("""COMPUTED_VALUE"""),"-6.1464353")</f>
        <v>-6.1464353</v>
      </c>
      <c r="H92" s="58" t="str">
        <f>IFERROR(__xludf.DUMMYFUNCTION("""COMPUTED_VALUE"""),"106.8452360")</f>
        <v>106.8452360</v>
      </c>
      <c r="I92" s="43" t="str">
        <f>IFERROR(__xludf.DUMMYFUNCTION("""COMPUTED_VALUE"""),"20 - 22 September 2024")</f>
        <v>20 - 22 September 2024</v>
      </c>
      <c r="J92" s="63" t="str">
        <f>IFERROR(__xludf.DUMMYFUNCTION("""COMPUTED_VALUE"""),"50000")</f>
        <v>50000</v>
      </c>
      <c r="K92" s="43"/>
      <c r="L92" s="43"/>
      <c r="M92" s="43"/>
      <c r="N92" s="43"/>
      <c r="O92" s="43"/>
      <c r="P92" s="43"/>
      <c r="Q92" s="43"/>
      <c r="R92" s="43"/>
      <c r="S92" s="43"/>
      <c r="T92" s="43"/>
      <c r="U92" s="43"/>
      <c r="V92" s="43"/>
      <c r="W92" s="43"/>
      <c r="X92" s="43"/>
      <c r="Y92" s="43"/>
      <c r="Z92" s="43"/>
    </row>
    <row r="93">
      <c r="A93" s="67" t="str">
        <f>IFERROR(__xludf.DUMMYFUNCTION("""COMPUTED_VALUE"""),"1594")</f>
        <v>1594</v>
      </c>
      <c r="B93" s="35" t="str">
        <f>IFERROR(__xludf.DUMMYFUNCTION("""COMPUTED_VALUE"""),"94")</f>
        <v>94</v>
      </c>
      <c r="C93" s="68">
        <f>IFERROR(__xludf.DUMMYFUNCTION("""COMPUTED_VALUE"""),1.0)</f>
        <v>1</v>
      </c>
      <c r="D93" s="70" t="str">
        <f>IFERROR(__xludf.DUMMYFUNCTION("""COMPUTED_VALUE"""),"KREASI BHAYANGKARI NUSANTARA 2024")</f>
        <v>KREASI BHAYANGKARI NUSANTARA 2024</v>
      </c>
      <c r="E93" s="68">
        <f>IFERROR(__xludf.DUMMYFUNCTION("""COMPUTED_VALUE"""),5.0)</f>
        <v>5</v>
      </c>
      <c r="F93" s="20" t="str">
        <f>IFERROR(__xludf.DUMMYFUNCTION("""COMPUTED_VALUE"""),"UMKM Bhayangkari Naik Kelas Menciptakan Bhayangkari Mandiri")</f>
        <v>UMKM Bhayangkari Naik Kelas Menciptakan Bhayangkari Mandiri</v>
      </c>
      <c r="G93" s="58" t="str">
        <f>IFERROR(__xludf.DUMMYFUNCTION("""COMPUTED_VALUE"""),"-6.1464353")</f>
        <v>-6.1464353</v>
      </c>
      <c r="H93" s="58" t="str">
        <f>IFERROR(__xludf.DUMMYFUNCTION("""COMPUTED_VALUE"""),"106.8452360")</f>
        <v>106.8452360</v>
      </c>
      <c r="I93" s="43" t="str">
        <f>IFERROR(__xludf.DUMMYFUNCTION("""COMPUTED_VALUE"""),"20 - 24 September 2024")</f>
        <v>20 - 24 September 2024</v>
      </c>
      <c r="J93" s="63" t="str">
        <f>IFERROR(__xludf.DUMMYFUNCTION("""COMPUTED_VALUE"""),"Free")</f>
        <v>Free</v>
      </c>
      <c r="K93" s="43"/>
      <c r="L93" s="43"/>
      <c r="M93" s="43"/>
      <c r="N93" s="43"/>
      <c r="O93" s="43"/>
      <c r="P93" s="43"/>
      <c r="Q93" s="43"/>
      <c r="R93" s="43"/>
      <c r="S93" s="43"/>
      <c r="T93" s="43"/>
      <c r="U93" s="43"/>
      <c r="V93" s="43"/>
      <c r="W93" s="43"/>
      <c r="X93" s="43"/>
      <c r="Y93" s="43"/>
      <c r="Z93" s="43"/>
    </row>
    <row r="94">
      <c r="A94" s="67" t="str">
        <f>IFERROR(__xludf.DUMMYFUNCTION("""COMPUTED_VALUE"""),"1695")</f>
        <v>1695</v>
      </c>
      <c r="B94" s="35" t="str">
        <f>IFERROR(__xludf.DUMMYFUNCTION("""COMPUTED_VALUE"""),"95")</f>
        <v>95</v>
      </c>
      <c r="C94" s="68">
        <f>IFERROR(__xludf.DUMMYFUNCTION("""COMPUTED_VALUE"""),1.0)</f>
        <v>1</v>
      </c>
      <c r="D94" s="70" t="str">
        <f>IFERROR(__xludf.DUMMYFUNCTION("""COMPUTED_VALUE"""),"IDEAFEST 2024")</f>
        <v>IDEAFEST 2024</v>
      </c>
      <c r="E94" s="68">
        <f>IFERROR(__xludf.DUMMYFUNCTION("""COMPUTED_VALUE"""),6.0)</f>
        <v>6</v>
      </c>
      <c r="F94" s="20" t="str">
        <f>IFERROR(__xludf.DUMMYFUNCTION("""COMPUTED_VALUE"""),"IDEAFEST is the biggest festival in the creative industry, connecting and empowering creative communities to grow. For 11th consecutive years, we have gathered and collaborated with National and International experts from various fields like music, film, "&amp;"fashion, and tech to share insights and collaborate. This year #IdeaFest2023 brings hundreds of brilliant minds, visionary thinkers, and talented leaders from various fields to speak out loud and bold. Unleash your inner leadership to the next level, to t"&amp;"he world stage. Whether you are an aspiring artist, a budding entrepreneur, a tech enthusiast, or simply someone with a passion for creativity, it's time to Lead The Leap through")</f>
        <v>IDEAFEST is the biggest festival in the creative industry, connecting and empowering creative communities to grow. For 11th consecutive years, we have gathered and collaborated with National and International experts from various fields like music, film, fashion, and tech to share insights and collaborate. This year #IdeaFest2023 brings hundreds of brilliant minds, visionary thinkers, and talented leaders from various fields to speak out loud and bold. Unleash your inner leadership to the next level, to the world stage. Whether you are an aspiring artist, a budding entrepreneur, a tech enthusiast, or simply someone with a passion for creativity, it's time to Lead The Leap through</v>
      </c>
      <c r="G94" s="58" t="str">
        <f>IFERROR(__xludf.DUMMYFUNCTION("""COMPUTED_VALUE"""),"-6.1464353")</f>
        <v>-6.1464353</v>
      </c>
      <c r="H94" s="58" t="str">
        <f>IFERROR(__xludf.DUMMYFUNCTION("""COMPUTED_VALUE"""),"106.8452360")</f>
        <v>106.8452360</v>
      </c>
      <c r="I94" s="43" t="str">
        <f>IFERROR(__xludf.DUMMYFUNCTION("""COMPUTED_VALUE"""),"29 September 2023 - 01 October 2024")</f>
        <v>29 September 2023 - 01 October 2024</v>
      </c>
      <c r="J94" s="63" t="str">
        <f>IFERROR(__xludf.DUMMYFUNCTION("""COMPUTED_VALUE"""),"Free")</f>
        <v>Free</v>
      </c>
      <c r="K94" s="43"/>
      <c r="L94" s="43"/>
      <c r="M94" s="43"/>
      <c r="N94" s="43"/>
      <c r="O94" s="43"/>
      <c r="P94" s="43"/>
      <c r="Q94" s="43"/>
      <c r="R94" s="43"/>
      <c r="S94" s="43"/>
      <c r="T94" s="43"/>
      <c r="U94" s="43"/>
      <c r="V94" s="43"/>
      <c r="W94" s="43"/>
      <c r="X94" s="43"/>
      <c r="Y94" s="43"/>
      <c r="Z94" s="43"/>
    </row>
    <row r="95">
      <c r="A95" s="67" t="str">
        <f>IFERROR(__xludf.DUMMYFUNCTION("""COMPUTED_VALUE"""),"1596")</f>
        <v>1596</v>
      </c>
      <c r="B95" s="35" t="str">
        <f>IFERROR(__xludf.DUMMYFUNCTION("""COMPUTED_VALUE"""),"96")</f>
        <v>96</v>
      </c>
      <c r="C95" s="68">
        <f>IFERROR(__xludf.DUMMYFUNCTION("""COMPUTED_VALUE"""),1.0)</f>
        <v>1</v>
      </c>
      <c r="D95" s="70" t="str">
        <f>IFERROR(__xludf.DUMMYFUNCTION("""COMPUTED_VALUE"""),"INDONESIA MODIFICATION &amp; LIFESTYLE EXPO 2024")</f>
        <v>INDONESIA MODIFICATION &amp; LIFESTYLE EXPO 2024</v>
      </c>
      <c r="E95" s="68">
        <f>IFERROR(__xludf.DUMMYFUNCTION("""COMPUTED_VALUE"""),5.0)</f>
        <v>5</v>
      </c>
      <c r="F95" s="20" t="str">
        <f>IFERROR(__xludf.DUMMYFUNCTION("""COMPUTED_VALUE"""),"IMX 2023 will be present in its 6th year after being successful in the previous 5 years, the strong theme “The Future of Creativity” this year will bring the creativity of every young person to welcome a new era in technology and every breakthrough in cha"&amp;"nging trends in the Indonesian automotive industry. The strength of young people, both millennials and Gen Z generations, will of course become a new foundation for the future of the Nation, with a spirit of creativity for new ideas including the concept "&amp;"of electrification and digitalization which of course is supported by regulations in collaboration with the Government of the Republic of Indonesia through various Ministries, IMX 2023 will be present become a new milestone and barometer for the Indonesia"&amp;"n automotive industry.")</f>
        <v>IMX 2023 will be present in its 6th year after being successful in the previous 5 years, the strong theme “The Future of Creativity” this year will bring the creativity of every young person to welcome a new era in technology and every breakthrough in changing trends in the Indonesian automotive industry. The strength of young people, both millennials and Gen Z generations, will of course become a new foundation for the future of the Nation, with a spirit of creativity for new ideas including the concept of electrification and digitalization which of course is supported by regulations in collaboration with the Government of the Republic of Indonesia through various Ministries, IMX 2023 will be present become a new milestone and barometer for the Indonesian automotive industry.</v>
      </c>
      <c r="G95" s="58" t="str">
        <f>IFERROR(__xludf.DUMMYFUNCTION("""COMPUTED_VALUE"""),"-6.1464353")</f>
        <v>-6.1464353</v>
      </c>
      <c r="H95" s="58" t="str">
        <f>IFERROR(__xludf.DUMMYFUNCTION("""COMPUTED_VALUE"""),"106.8452360")</f>
        <v>106.8452360</v>
      </c>
      <c r="I95" s="43" t="str">
        <f>IFERROR(__xludf.DUMMYFUNCTION("""COMPUTED_VALUE"""),"29 September 2023 - 01 October 2024")</f>
        <v>29 September 2023 - 01 October 2024</v>
      </c>
      <c r="J95" s="63" t="str">
        <f>IFERROR(__xludf.DUMMYFUNCTION("""COMPUTED_VALUE"""),"50000")</f>
        <v>50000</v>
      </c>
      <c r="K95" s="43"/>
      <c r="L95" s="43"/>
      <c r="M95" s="43"/>
      <c r="N95" s="43"/>
      <c r="O95" s="43"/>
      <c r="P95" s="43"/>
      <c r="Q95" s="43"/>
      <c r="R95" s="43"/>
      <c r="S95" s="43"/>
      <c r="T95" s="43"/>
      <c r="U95" s="43"/>
      <c r="V95" s="43"/>
      <c r="W95" s="43"/>
      <c r="X95" s="43"/>
      <c r="Y95" s="43"/>
      <c r="Z95" s="43"/>
    </row>
    <row r="96">
      <c r="A96" s="67" t="str">
        <f>IFERROR(__xludf.DUMMYFUNCTION("""COMPUTED_VALUE"""),"1597")</f>
        <v>1597</v>
      </c>
      <c r="B96" s="35" t="str">
        <f>IFERROR(__xludf.DUMMYFUNCTION("""COMPUTED_VALUE"""),"97")</f>
        <v>97</v>
      </c>
      <c r="C96" s="68">
        <f>IFERROR(__xludf.DUMMYFUNCTION("""COMPUTED_VALUE"""),1.0)</f>
        <v>1</v>
      </c>
      <c r="D96" s="70" t="str">
        <f>IFERROR(__xludf.DUMMYFUNCTION("""COMPUTED_VALUE"""),"INACRAFT ON OCTOBER")</f>
        <v>INACRAFT ON OCTOBER</v>
      </c>
      <c r="E96" s="68">
        <f>IFERROR(__xludf.DUMMYFUNCTION("""COMPUTED_VALUE"""),5.0)</f>
        <v>5</v>
      </c>
      <c r="F96" s="20" t="str">
        <f>IFERROR(__xludf.DUMMYFUNCTION("""COMPUTED_VALUE"""),"Smart Village to Global Market")</f>
        <v>Smart Village to Global Market</v>
      </c>
      <c r="G96" s="58" t="str">
        <f>IFERROR(__xludf.DUMMYFUNCTION("""COMPUTED_VALUE"""),"-6.1464353")</f>
        <v>-6.1464353</v>
      </c>
      <c r="H96" s="58" t="str">
        <f>IFERROR(__xludf.DUMMYFUNCTION("""COMPUTED_VALUE"""),"106.8452360")</f>
        <v>106.8452360</v>
      </c>
      <c r="I96" s="43" t="str">
        <f>IFERROR(__xludf.DUMMYFUNCTION("""COMPUTED_VALUE"""),"4 - 8 Oktober 2024")</f>
        <v>4 - 8 Oktober 2024</v>
      </c>
      <c r="J96" s="63" t="str">
        <f>IFERROR(__xludf.DUMMYFUNCTION("""COMPUTED_VALUE"""),"25000")</f>
        <v>25000</v>
      </c>
      <c r="K96" s="43"/>
      <c r="L96" s="43"/>
      <c r="M96" s="43"/>
      <c r="N96" s="43"/>
      <c r="O96" s="43"/>
      <c r="P96" s="43"/>
      <c r="Q96" s="43"/>
      <c r="R96" s="43"/>
      <c r="S96" s="43"/>
      <c r="T96" s="43"/>
      <c r="U96" s="43"/>
      <c r="V96" s="43"/>
      <c r="W96" s="43"/>
      <c r="X96" s="43"/>
      <c r="Y96" s="43"/>
      <c r="Z96" s="43"/>
    </row>
    <row r="97">
      <c r="A97" s="67" t="str">
        <f>IFERROR(__xludf.DUMMYFUNCTION("""COMPUTED_VALUE"""),"1598")</f>
        <v>1598</v>
      </c>
      <c r="B97" s="35" t="str">
        <f>IFERROR(__xludf.DUMMYFUNCTION("""COMPUTED_VALUE"""),"98")</f>
        <v>98</v>
      </c>
      <c r="C97" s="68">
        <f>IFERROR(__xludf.DUMMYFUNCTION("""COMPUTED_VALUE"""),1.0)</f>
        <v>1</v>
      </c>
      <c r="D97" s="70" t="str">
        <f>IFERROR(__xludf.DUMMYFUNCTION("""COMPUTED_VALUE"""),"COSMOBEAUTE 2024")</f>
        <v>COSMOBEAUTE 2024</v>
      </c>
      <c r="E97" s="68">
        <f>IFERROR(__xludf.DUMMYFUNCTION("""COMPUTED_VALUE"""),5.0)</f>
        <v>5</v>
      </c>
      <c r="F97" s="20" t="str">
        <f>IFERROR(__xludf.DUMMYFUNCTION("""COMPUTED_VALUE"""),"Indonesia’s beauty industry is one of the most promising mainstay industries and growing rapidly. The growth of the beauty market in Indonesia increased by 7% in 2022. Indonesia has a very large potential to produce attractive and high-quality beauty prod"&amp;"ucts that meet the tastes and needs of the world market. Indonesia has promising markets to support the beauty industry.
With a population of over 270 million, Indonesia is the largest nation in Southeast Asia and the demand of beauty products are increa"&amp;"sing among consumer in Indonesia. Revenue in the Beauty market amounts to US$7.23BN in 2022. The market is expected to grow annually by 5.81% (CAGR 2022-2027).
Cosmobeauté Indonesia has been continuing its commitment to be the most proven sourcing platfo"&amp;"rm for beauty trade professionals to explore business in the spectrum of Aesthetic, Beauty, Cosmetic, Hair, Nail, Spa and Wellness industry. The 16th edition of Cosmobeauté Indonesia will be held on 12 – 14 October 2023 at Jakarta Convention Center (JCC),"&amp;" Indonesia.")</f>
        <v>Indonesia’s beauty industry is one of the most promising mainstay industries and growing rapidly. The growth of the beauty market in Indonesia increased by 7% in 2022. Indonesia has a very large potential to produce attractive and high-quality beauty products that meet the tastes and needs of the world market. Indonesia has promising markets to support the beauty industry.
With a population of over 270 million, Indonesia is the largest nation in Southeast Asia and the demand of beauty products are increasing among consumer in Indonesia. Revenue in the Beauty market amounts to US$7.23BN in 2022. The market is expected to grow annually by 5.81% (CAGR 2022-2027).
Cosmobeauté Indonesia has been continuing its commitment to be the most proven sourcing platform for beauty trade professionals to explore business in the spectrum of Aesthetic, Beauty, Cosmetic, Hair, Nail, Spa and Wellness industry. The 16th edition of Cosmobeauté Indonesia will be held on 12 – 14 October 2023 at Jakarta Convention Center (JCC), Indonesia.</v>
      </c>
      <c r="G97" s="58" t="str">
        <f>IFERROR(__xludf.DUMMYFUNCTION("""COMPUTED_VALUE"""),"-6.1464353")</f>
        <v>-6.1464353</v>
      </c>
      <c r="H97" s="58" t="str">
        <f>IFERROR(__xludf.DUMMYFUNCTION("""COMPUTED_VALUE"""),"106.8452360")</f>
        <v>106.8452360</v>
      </c>
      <c r="I97" s="43" t="str">
        <f>IFERROR(__xludf.DUMMYFUNCTION("""COMPUTED_VALUE"""),"12 - 14 Oktober 2024")</f>
        <v>12 - 14 Oktober 2024</v>
      </c>
      <c r="J97" s="63" t="str">
        <f>IFERROR(__xludf.DUMMYFUNCTION("""COMPUTED_VALUE"""),"25000")</f>
        <v>25000</v>
      </c>
      <c r="K97" s="43"/>
      <c r="L97" s="43"/>
      <c r="M97" s="43"/>
      <c r="N97" s="43"/>
      <c r="O97" s="43"/>
      <c r="P97" s="43"/>
      <c r="Q97" s="43"/>
      <c r="R97" s="43"/>
      <c r="S97" s="43"/>
      <c r="T97" s="43"/>
      <c r="U97" s="43"/>
      <c r="V97" s="43"/>
      <c r="W97" s="43"/>
      <c r="X97" s="43"/>
      <c r="Y97" s="43"/>
      <c r="Z97" s="43"/>
    </row>
    <row r="98">
      <c r="A98" s="67" t="str">
        <f>IFERROR(__xludf.DUMMYFUNCTION("""COMPUTED_VALUE"""),"1599")</f>
        <v>1599</v>
      </c>
      <c r="B98" s="35" t="str">
        <f>IFERROR(__xludf.DUMMYFUNCTION("""COMPUTED_VALUE"""),"99")</f>
        <v>99</v>
      </c>
      <c r="C98" s="68">
        <f>IFERROR(__xludf.DUMMYFUNCTION("""COMPUTED_VALUE"""),1.0)</f>
        <v>1</v>
      </c>
      <c r="D98" s="70" t="str">
        <f>IFERROR(__xludf.DUMMYFUNCTION("""COMPUTED_VALUE"""),"INDONESIA ESSENTIAL OIL, SEASONING, SPICES MARKET &amp; EXPO 2024")</f>
        <v>INDONESIA ESSENTIAL OIL, SEASONING, SPICES MARKET &amp; EXPO 2024</v>
      </c>
      <c r="E98" s="68">
        <f>IFERROR(__xludf.DUMMYFUNCTION("""COMPUTED_VALUE"""),5.0)</f>
        <v>5</v>
      </c>
      <c r="F98" s="20" t="str">
        <f>IFERROR(__xludf.DUMMYFUNCTION("""COMPUTED_VALUE"""),"Responsible Collaboration &amp; Sustainability Kebangkitan Rempah Nusantara")</f>
        <v>Responsible Collaboration &amp; Sustainability Kebangkitan Rempah Nusantara</v>
      </c>
      <c r="G98" s="58" t="str">
        <f>IFERROR(__xludf.DUMMYFUNCTION("""COMPUTED_VALUE"""),"-6.1464353")</f>
        <v>-6.1464353</v>
      </c>
      <c r="H98" s="58" t="str">
        <f>IFERROR(__xludf.DUMMYFUNCTION("""COMPUTED_VALUE"""),"106.8452360")</f>
        <v>106.8452360</v>
      </c>
      <c r="I98" s="43" t="str">
        <f>IFERROR(__xludf.DUMMYFUNCTION("""COMPUTED_VALUE"""),"12 - 15 Oktober 2024")</f>
        <v>12 - 15 Oktober 2024</v>
      </c>
      <c r="J98" s="63" t="str">
        <f>IFERROR(__xludf.DUMMYFUNCTION("""COMPUTED_VALUE"""),"Free")</f>
        <v>Free</v>
      </c>
      <c r="K98" s="43"/>
      <c r="L98" s="43"/>
      <c r="M98" s="43"/>
      <c r="N98" s="43"/>
      <c r="O98" s="43"/>
      <c r="P98" s="43"/>
      <c r="Q98" s="43"/>
      <c r="R98" s="43"/>
      <c r="S98" s="43"/>
      <c r="T98" s="43"/>
      <c r="U98" s="43"/>
      <c r="V98" s="43"/>
      <c r="W98" s="43"/>
      <c r="X98" s="43"/>
      <c r="Y98" s="43"/>
      <c r="Z98" s="43"/>
    </row>
    <row r="99">
      <c r="A99" s="67" t="str">
        <f>IFERROR(__xludf.DUMMYFUNCTION("""COMPUTED_VALUE"""),"16100")</f>
        <v>16100</v>
      </c>
      <c r="B99" s="35" t="str">
        <f>IFERROR(__xludf.DUMMYFUNCTION("""COMPUTED_VALUE"""),"100")</f>
        <v>100</v>
      </c>
      <c r="C99" s="68">
        <f>IFERROR(__xludf.DUMMYFUNCTION("""COMPUTED_VALUE"""),1.0)</f>
        <v>1</v>
      </c>
      <c r="D99" s="70" t="str">
        <f>IFERROR(__xludf.DUMMYFUNCTION("""COMPUTED_VALUE"""),"THE 21ST FRANCHISE &amp; LICENSE EXPO 2024")</f>
        <v>THE 21ST FRANCHISE &amp; LICENSE EXPO 2024</v>
      </c>
      <c r="E99" s="68">
        <f>IFERROR(__xludf.DUMMYFUNCTION("""COMPUTED_VALUE"""),6.0)</f>
        <v>6</v>
      </c>
      <c r="F99" s="20" t="str">
        <f>IFERROR(__xludf.DUMMYFUNCTION("""COMPUTED_VALUE"""),"Franchise &amp; License Expo Indonesia (FLEI) is a three-day event held in Jakarta that showcases local and international franchise and license-related brands from various business categories. Attendees can explore different brands and learn about their busin"&amp;"ess models, products, and services, providing a fantastic opportunity to network with industry experts, investors, and other entrepreneurs.")</f>
        <v>Franchise &amp; License Expo Indonesia (FLEI) is a three-day event held in Jakarta that showcases local and international franchise and license-related brands from various business categories. Attendees can explore different brands and learn about their business models, products, and services, providing a fantastic opportunity to network with industry experts, investors, and other entrepreneurs.</v>
      </c>
      <c r="G99" s="58" t="str">
        <f>IFERROR(__xludf.DUMMYFUNCTION("""COMPUTED_VALUE"""),"-6.1464353")</f>
        <v>-6.1464353</v>
      </c>
      <c r="H99" s="58" t="str">
        <f>IFERROR(__xludf.DUMMYFUNCTION("""COMPUTED_VALUE"""),"106.8452360")</f>
        <v>106.8452360</v>
      </c>
      <c r="I99" s="43" t="str">
        <f>IFERROR(__xludf.DUMMYFUNCTION("""COMPUTED_VALUE"""),"13 - 15 October 2024")</f>
        <v>13 - 15 October 2024</v>
      </c>
      <c r="J99" s="63" t="str">
        <f>IFERROR(__xludf.DUMMYFUNCTION("""COMPUTED_VALUE"""),"Free")</f>
        <v>Free</v>
      </c>
      <c r="K99" s="43"/>
      <c r="L99" s="43"/>
      <c r="M99" s="43"/>
      <c r="N99" s="43"/>
      <c r="O99" s="43"/>
      <c r="P99" s="43"/>
      <c r="Q99" s="43"/>
      <c r="R99" s="43"/>
      <c r="S99" s="43"/>
      <c r="T99" s="43"/>
      <c r="U99" s="43"/>
      <c r="V99" s="43"/>
      <c r="W99" s="43"/>
      <c r="X99" s="43"/>
      <c r="Y99" s="43"/>
      <c r="Z99" s="43"/>
    </row>
    <row r="100">
      <c r="A100" s="67" t="str">
        <f>IFERROR(__xludf.DUMMYFUNCTION("""COMPUTED_VALUE"""),"16101")</f>
        <v>16101</v>
      </c>
      <c r="B100" s="35" t="str">
        <f>IFERROR(__xludf.DUMMYFUNCTION("""COMPUTED_VALUE"""),"101")</f>
        <v>101</v>
      </c>
      <c r="C100" s="68">
        <f>IFERROR(__xludf.DUMMYFUNCTION("""COMPUTED_VALUE"""),1.0)</f>
        <v>1</v>
      </c>
      <c r="D100" s="70" t="str">
        <f>IFERROR(__xludf.DUMMYFUNCTION("""COMPUTED_VALUE"""),"THE 35TH HOSPITAL EXPO 2024")</f>
        <v>THE 35TH HOSPITAL EXPO 2024</v>
      </c>
      <c r="E100" s="68">
        <f>IFERROR(__xludf.DUMMYFUNCTION("""COMPUTED_VALUE"""),6.0)</f>
        <v>6</v>
      </c>
      <c r="F100" s="20" t="str">
        <f>IFERROR(__xludf.DUMMYFUNCTION("""COMPUTED_VALUE"""),"THE LEADING HOSPITAL, MEDICAL, PHARMACEUTICAL, CLINICAL, LABORATORIES EQUIPMENT &amp; MEDICINE EXPO SINCE 1978 IN SOUTH EAST ASIA")</f>
        <v>THE LEADING HOSPITAL, MEDICAL, PHARMACEUTICAL, CLINICAL, LABORATORIES EQUIPMENT &amp; MEDICINE EXPO SINCE 1978 IN SOUTH EAST ASIA</v>
      </c>
      <c r="G100" s="58" t="str">
        <f>IFERROR(__xludf.DUMMYFUNCTION("""COMPUTED_VALUE"""),"-6.1464353")</f>
        <v>-6.1464353</v>
      </c>
      <c r="H100" s="58" t="str">
        <f>IFERROR(__xludf.DUMMYFUNCTION("""COMPUTED_VALUE"""),"106.8452360")</f>
        <v>106.8452360</v>
      </c>
      <c r="I100" s="43" t="str">
        <f>IFERROR(__xludf.DUMMYFUNCTION("""COMPUTED_VALUE"""),"18 - 21 October 2024")</f>
        <v>18 - 21 October 2024</v>
      </c>
      <c r="J100" s="63" t="str">
        <f>IFERROR(__xludf.DUMMYFUNCTION("""COMPUTED_VALUE"""),"Free")</f>
        <v>Free</v>
      </c>
      <c r="K100" s="43"/>
      <c r="L100" s="43"/>
      <c r="M100" s="43"/>
      <c r="N100" s="43"/>
      <c r="O100" s="43"/>
      <c r="P100" s="43"/>
      <c r="Q100" s="43"/>
      <c r="R100" s="43"/>
      <c r="S100" s="43"/>
      <c r="T100" s="43"/>
      <c r="U100" s="43"/>
      <c r="V100" s="43"/>
      <c r="W100" s="43"/>
      <c r="X100" s="43"/>
      <c r="Y100" s="43"/>
      <c r="Z100" s="43"/>
    </row>
    <row r="101">
      <c r="A101" s="67" t="str">
        <f>IFERROR(__xludf.DUMMYFUNCTION("""COMPUTED_VALUE"""),"15102")</f>
        <v>15102</v>
      </c>
      <c r="B101" s="35" t="str">
        <f>IFERROR(__xludf.DUMMYFUNCTION("""COMPUTED_VALUE"""),"102")</f>
        <v>102</v>
      </c>
      <c r="C101" s="68">
        <f>IFERROR(__xludf.DUMMYFUNCTION("""COMPUTED_VALUE"""),1.0)</f>
        <v>1</v>
      </c>
      <c r="D101" s="70" t="str">
        <f>IFERROR(__xludf.DUMMYFUNCTION("""COMPUTED_VALUE"""),"THE 10TH INDONESIA SHARIA ECONOMIC FESTIVAL 2024 X HALAL EXPO INDONESIA 2024")</f>
        <v>THE 10TH INDONESIA SHARIA ECONOMIC FESTIVAL 2024 X HALAL EXPO INDONESIA 2024</v>
      </c>
      <c r="E101" s="68">
        <f>IFERROR(__xludf.DUMMYFUNCTION("""COMPUTED_VALUE"""),5.0)</f>
        <v>5</v>
      </c>
      <c r="F101" s="20" t="str">
        <f>IFERROR(__xludf.DUMMYFUNCTION("""COMPUTED_VALUE"""),"Indonesia Sharia Economic Festival
ISEF is an initiative of the Central Bank of Indonesia in partnership with all key stakeholders of Indonesia Islamic Economic and Finance industry to build an international event in Islamic economic and finance industry"&amp;".")</f>
        <v>Indonesia Sharia Economic Festival
ISEF is an initiative of the Central Bank of Indonesia in partnership with all key stakeholders of Indonesia Islamic Economic and Finance industry to build an international event in Islamic economic and finance industry.</v>
      </c>
      <c r="G101" s="58" t="str">
        <f>IFERROR(__xludf.DUMMYFUNCTION("""COMPUTED_VALUE"""),"-6.1464353")</f>
        <v>-6.1464353</v>
      </c>
      <c r="H101" s="58" t="str">
        <f>IFERROR(__xludf.DUMMYFUNCTION("""COMPUTED_VALUE"""),"106.8452360")</f>
        <v>106.8452360</v>
      </c>
      <c r="I101" s="43" t="str">
        <f>IFERROR(__xludf.DUMMYFUNCTION("""COMPUTED_VALUE"""),"25- 29 October 2024")</f>
        <v>25- 29 October 2024</v>
      </c>
      <c r="J101" s="63" t="str">
        <f>IFERROR(__xludf.DUMMYFUNCTION("""COMPUTED_VALUE"""),"Free")</f>
        <v>Free</v>
      </c>
      <c r="K101" s="43"/>
      <c r="L101" s="43"/>
      <c r="M101" s="43"/>
      <c r="N101" s="43"/>
      <c r="O101" s="43"/>
      <c r="P101" s="43"/>
      <c r="Q101" s="43"/>
      <c r="R101" s="43"/>
      <c r="S101" s="43"/>
      <c r="T101" s="43"/>
      <c r="U101" s="43"/>
      <c r="V101" s="43"/>
      <c r="W101" s="43"/>
      <c r="X101" s="43"/>
      <c r="Y101" s="43"/>
      <c r="Z101" s="43"/>
    </row>
    <row r="102">
      <c r="A102" s="67" t="str">
        <f>IFERROR(__xludf.DUMMYFUNCTION("""COMPUTED_VALUE"""),"15103")</f>
        <v>15103</v>
      </c>
      <c r="B102" s="35" t="str">
        <f>IFERROR(__xludf.DUMMYFUNCTION("""COMPUTED_VALUE"""),"103")</f>
        <v>103</v>
      </c>
      <c r="C102" s="68">
        <f>IFERROR(__xludf.DUMMYFUNCTION("""COMPUTED_VALUE"""),1.0)</f>
        <v>1</v>
      </c>
      <c r="D102" s="70" t="str">
        <f>IFERROR(__xludf.DUMMYFUNCTION("""COMPUTED_VALUE"""),"INDONESIA COMICCON 2024")</f>
        <v>INDONESIA COMICCON 2024</v>
      </c>
      <c r="E102" s="68">
        <f>IFERROR(__xludf.DUMMYFUNCTION("""COMPUTED_VALUE"""),5.0)</f>
        <v>5</v>
      </c>
      <c r="F102" s="20" t="str">
        <f>IFERROR(__xludf.DUMMYFUNCTION("""COMPUTED_VALUE"""),"Assembly, Cendrawasih &amp; Plenary Hall")</f>
        <v>Assembly, Cendrawasih &amp; Plenary Hall</v>
      </c>
      <c r="G102" s="58" t="str">
        <f>IFERROR(__xludf.DUMMYFUNCTION("""COMPUTED_VALUE"""),"-6.1464353")</f>
        <v>-6.1464353</v>
      </c>
      <c r="H102" s="58" t="str">
        <f>IFERROR(__xludf.DUMMYFUNCTION("""COMPUTED_VALUE"""),"106.8452360")</f>
        <v>106.8452360</v>
      </c>
      <c r="I102" s="43" t="str">
        <f>IFERROR(__xludf.DUMMYFUNCTION("""COMPUTED_VALUE"""),"04 - 05 November 2024")</f>
        <v>04 - 05 November 2024</v>
      </c>
      <c r="J102" s="63" t="str">
        <f>IFERROR(__xludf.DUMMYFUNCTION("""COMPUTED_VALUE"""),"Free")</f>
        <v>Free</v>
      </c>
      <c r="K102" s="43"/>
      <c r="L102" s="43"/>
      <c r="M102" s="43"/>
      <c r="N102" s="43"/>
      <c r="O102" s="43"/>
      <c r="P102" s="43"/>
      <c r="Q102" s="43"/>
      <c r="R102" s="43"/>
      <c r="S102" s="43"/>
      <c r="T102" s="43"/>
      <c r="U102" s="43"/>
      <c r="V102" s="43"/>
      <c r="W102" s="43"/>
      <c r="X102" s="43"/>
      <c r="Y102" s="43"/>
      <c r="Z102" s="43"/>
    </row>
    <row r="103">
      <c r="A103" s="67" t="str">
        <f>IFERROR(__xludf.DUMMYFUNCTION("""COMPUTED_VALUE"""),"15104")</f>
        <v>15104</v>
      </c>
      <c r="B103" s="35" t="str">
        <f>IFERROR(__xludf.DUMMYFUNCTION("""COMPUTED_VALUE"""),"104")</f>
        <v>104</v>
      </c>
      <c r="C103" s="68">
        <f>IFERROR(__xludf.DUMMYFUNCTION("""COMPUTED_VALUE"""),1.0)</f>
        <v>1</v>
      </c>
      <c r="D103" s="70" t="str">
        <f>IFERROR(__xludf.DUMMYFUNCTION("""COMPUTED_VALUE"""),"WIC BAZAAR 2024")</f>
        <v>WIC BAZAAR 2024</v>
      </c>
      <c r="E103" s="68">
        <f>IFERROR(__xludf.DUMMYFUNCTION("""COMPUTED_VALUE"""),5.0)</f>
        <v>5</v>
      </c>
      <c r="F103" s="20" t="str">
        <f>IFERROR(__xludf.DUMMYFUNCTION("""COMPUTED_VALUE"""),"Let’s come &amp; shop with an Impact!")</f>
        <v>Let’s come &amp; shop with an Impact!</v>
      </c>
      <c r="G103" s="58" t="str">
        <f>IFERROR(__xludf.DUMMYFUNCTION("""COMPUTED_VALUE"""),"-6.1464353")</f>
        <v>-6.1464353</v>
      </c>
      <c r="H103" s="58" t="str">
        <f>IFERROR(__xludf.DUMMYFUNCTION("""COMPUTED_VALUE"""),"106.8452360")</f>
        <v>106.8452360</v>
      </c>
      <c r="I103" s="43" t="str">
        <f>IFERROR(__xludf.DUMMYFUNCTION("""COMPUTED_VALUE"""),"08 - 09 November 2024")</f>
        <v>08 - 09 November 2024</v>
      </c>
      <c r="J103" s="63" t="str">
        <f>IFERROR(__xludf.DUMMYFUNCTION("""COMPUTED_VALUE"""),"25000")</f>
        <v>25000</v>
      </c>
      <c r="K103" s="43"/>
      <c r="L103" s="43"/>
      <c r="M103" s="43"/>
      <c r="N103" s="43"/>
      <c r="O103" s="43"/>
      <c r="P103" s="43"/>
      <c r="Q103" s="43"/>
      <c r="R103" s="43"/>
      <c r="S103" s="43"/>
      <c r="T103" s="43"/>
      <c r="U103" s="43"/>
      <c r="V103" s="43"/>
      <c r="W103" s="43"/>
      <c r="X103" s="43"/>
      <c r="Y103" s="43"/>
      <c r="Z103" s="43"/>
    </row>
    <row r="104">
      <c r="A104" s="67" t="str">
        <f>IFERROR(__xludf.DUMMYFUNCTION("""COMPUTED_VALUE"""),"16105")</f>
        <v>16105</v>
      </c>
      <c r="B104" s="35" t="str">
        <f>IFERROR(__xludf.DUMMYFUNCTION("""COMPUTED_VALUE"""),"105")</f>
        <v>105</v>
      </c>
      <c r="C104" s="68">
        <f>IFERROR(__xludf.DUMMYFUNCTION("""COMPUTED_VALUE"""),1.0)</f>
        <v>1</v>
      </c>
      <c r="D104" s="70" t="str">
        <f>IFERROR(__xludf.DUMMYFUNCTION("""COMPUTED_VALUE"""),"PAMERAN INOVASI DAN TEKNOLOGI KESEHATAN DALAM TRANSFORMASI KESEHATAN")</f>
        <v>PAMERAN INOVASI DAN TEKNOLOGI KESEHATAN DALAM TRANSFORMASI KESEHATAN</v>
      </c>
      <c r="E104" s="68">
        <f>IFERROR(__xludf.DUMMYFUNCTION("""COMPUTED_VALUE"""),6.0)</f>
        <v>6</v>
      </c>
      <c r="F104" s="20" t="str">
        <f>IFERROR(__xludf.DUMMYFUNCTION("""COMPUTED_VALUE"""),"Pameran Inovasi dan Teknologi Kesehatan Dalam Transformasi Kesehatan")</f>
        <v>Pameran Inovasi dan Teknologi Kesehatan Dalam Transformasi Kesehatan</v>
      </c>
      <c r="G104" s="58" t="str">
        <f>IFERROR(__xludf.DUMMYFUNCTION("""COMPUTED_VALUE"""),"-6.1464353")</f>
        <v>-6.1464353</v>
      </c>
      <c r="H104" s="58" t="str">
        <f>IFERROR(__xludf.DUMMYFUNCTION("""COMPUTED_VALUE"""),"106.8452360")</f>
        <v>106.8452360</v>
      </c>
      <c r="I104" s="43" t="str">
        <f>IFERROR(__xludf.DUMMYFUNCTION("""COMPUTED_VALUE"""),"9 - 11 November 2024")</f>
        <v>9 - 11 November 2024</v>
      </c>
      <c r="J104" s="63" t="str">
        <f>IFERROR(__xludf.DUMMYFUNCTION("""COMPUTED_VALUE"""),"Free")</f>
        <v>Free</v>
      </c>
      <c r="K104" s="43"/>
      <c r="L104" s="43"/>
      <c r="M104" s="43"/>
      <c r="N104" s="43"/>
      <c r="O104" s="43"/>
      <c r="P104" s="43"/>
      <c r="Q104" s="43"/>
      <c r="R104" s="43"/>
      <c r="S104" s="43"/>
      <c r="T104" s="43"/>
      <c r="U104" s="43"/>
      <c r="V104" s="43"/>
      <c r="W104" s="43"/>
      <c r="X104" s="43"/>
      <c r="Y104" s="43"/>
      <c r="Z104" s="43"/>
    </row>
    <row r="105">
      <c r="A105" s="67" t="str">
        <f>IFERROR(__xludf.DUMMYFUNCTION("""COMPUTED_VALUE"""),"15106")</f>
        <v>15106</v>
      </c>
      <c r="B105" s="35" t="str">
        <f>IFERROR(__xludf.DUMMYFUNCTION("""COMPUTED_VALUE"""),"106")</f>
        <v>106</v>
      </c>
      <c r="C105" s="68">
        <f>IFERROR(__xludf.DUMMYFUNCTION("""COMPUTED_VALUE"""),1.0)</f>
        <v>1</v>
      </c>
      <c r="D105" s="70" t="str">
        <f>IFERROR(__xludf.DUMMYFUNCTION("""COMPUTED_VALUE"""),"VAPE FAIR 2024")</f>
        <v>VAPE FAIR 2024</v>
      </c>
      <c r="E105" s="68">
        <f>IFERROR(__xludf.DUMMYFUNCTION("""COMPUTED_VALUE"""),5.0)</f>
        <v>5</v>
      </c>
      <c r="F105" s="20" t="str">
        <f>IFERROR(__xludf.DUMMYFUNCTION("""COMPUTED_VALUE"""),"Biggest fair for Vapers in Indonesia")</f>
        <v>Biggest fair for Vapers in Indonesia</v>
      </c>
      <c r="G105" s="58" t="str">
        <f>IFERROR(__xludf.DUMMYFUNCTION("""COMPUTED_VALUE"""),"-6.1464353")</f>
        <v>-6.1464353</v>
      </c>
      <c r="H105" s="58" t="str">
        <f>IFERROR(__xludf.DUMMYFUNCTION("""COMPUTED_VALUE"""),"106.8452360")</f>
        <v>106.8452360</v>
      </c>
      <c r="I105" s="43" t="str">
        <f>IFERROR(__xludf.DUMMYFUNCTION("""COMPUTED_VALUE"""),"11 - 12 November 2024")</f>
        <v>11 - 12 November 2024</v>
      </c>
      <c r="J105" s="63" t="str">
        <f>IFERROR(__xludf.DUMMYFUNCTION("""COMPUTED_VALUE"""),"50000")</f>
        <v>50000</v>
      </c>
      <c r="K105" s="43"/>
      <c r="L105" s="43"/>
      <c r="M105" s="43"/>
      <c r="N105" s="43"/>
      <c r="O105" s="43"/>
      <c r="P105" s="43"/>
      <c r="Q105" s="43"/>
      <c r="R105" s="43"/>
      <c r="S105" s="43"/>
      <c r="T105" s="43"/>
      <c r="U105" s="43"/>
      <c r="V105" s="43"/>
      <c r="W105" s="43"/>
      <c r="X105" s="43"/>
      <c r="Y105" s="43"/>
      <c r="Z105" s="43"/>
    </row>
    <row r="106">
      <c r="A106" s="67" t="str">
        <f>IFERROR(__xludf.DUMMYFUNCTION("""COMPUTED_VALUE"""),"15107")</f>
        <v>15107</v>
      </c>
      <c r="B106" s="35" t="str">
        <f>IFERROR(__xludf.DUMMYFUNCTION("""COMPUTED_VALUE"""),"107")</f>
        <v>107</v>
      </c>
      <c r="C106" s="68">
        <f>IFERROR(__xludf.DUMMYFUNCTION("""COMPUTED_VALUE"""),1.0)</f>
        <v>1</v>
      </c>
      <c r="D106" s="70" t="str">
        <f>IFERROR(__xludf.DUMMYFUNCTION("""COMPUTED_VALUE"""),"BULAN MUTU NASIONAL 2024 &amp; SNI EXPO")</f>
        <v>BULAN MUTU NASIONAL 2024 &amp; SNI EXPO</v>
      </c>
      <c r="E106" s="68">
        <f>IFERROR(__xludf.DUMMYFUNCTION("""COMPUTED_VALUE"""),5.0)</f>
        <v>5</v>
      </c>
      <c r="F106" s="20" t="str">
        <f>IFERROR(__xludf.DUMMYFUNCTION("""COMPUTED_VALUE"""),"Datang dan Meriahkan, pameran produk ber-SNI terbesar di Indonesia")</f>
        <v>Datang dan Meriahkan, pameran produk ber-SNI terbesar di Indonesia</v>
      </c>
      <c r="G106" s="58" t="str">
        <f>IFERROR(__xludf.DUMMYFUNCTION("""COMPUTED_VALUE"""),"-6.1464353")</f>
        <v>-6.1464353</v>
      </c>
      <c r="H106" s="58" t="str">
        <f>IFERROR(__xludf.DUMMYFUNCTION("""COMPUTED_VALUE"""),"106.8452360")</f>
        <v>106.8452360</v>
      </c>
      <c r="I106" s="43" t="str">
        <f>IFERROR(__xludf.DUMMYFUNCTION("""COMPUTED_VALUE"""),"15 - 16 November 2024")</f>
        <v>15 - 16 November 2024</v>
      </c>
      <c r="J106" s="63" t="str">
        <f>IFERROR(__xludf.DUMMYFUNCTION("""COMPUTED_VALUE"""),"Free")</f>
        <v>Free</v>
      </c>
      <c r="K106" s="43"/>
      <c r="L106" s="43"/>
      <c r="M106" s="43"/>
      <c r="N106" s="43"/>
      <c r="O106" s="43"/>
      <c r="P106" s="43"/>
      <c r="Q106" s="43"/>
      <c r="R106" s="43"/>
      <c r="S106" s="43"/>
      <c r="T106" s="43"/>
      <c r="U106" s="43"/>
      <c r="V106" s="43"/>
      <c r="W106" s="43"/>
      <c r="X106" s="43"/>
      <c r="Y106" s="43"/>
      <c r="Z106" s="43"/>
    </row>
    <row r="107">
      <c r="A107" s="67" t="str">
        <f>IFERROR(__xludf.DUMMYFUNCTION("""COMPUTED_VALUE"""),"16108")</f>
        <v>16108</v>
      </c>
      <c r="B107" s="35" t="str">
        <f>IFERROR(__xludf.DUMMYFUNCTION("""COMPUTED_VALUE"""),"108")</f>
        <v>108</v>
      </c>
      <c r="C107" s="68">
        <f>IFERROR(__xludf.DUMMYFUNCTION("""COMPUTED_VALUE"""),1.0)</f>
        <v>1</v>
      </c>
      <c r="D107" s="70" t="str">
        <f>IFERROR(__xludf.DUMMYFUNCTION("""COMPUTED_VALUE"""),"FORUM KAPASITAS NASIONAL III 2024")</f>
        <v>FORUM KAPASITAS NASIONAL III 2024</v>
      </c>
      <c r="E107" s="68">
        <f>IFERROR(__xludf.DUMMYFUNCTION("""COMPUTED_VALUE"""),6.0)</f>
        <v>6</v>
      </c>
      <c r="F107" s="20" t="str">
        <f>IFERROR(__xludf.DUMMYFUNCTION("""COMPUTED_VALUE"""),"“Pengembangan Integrasi Kapabilitas Dalam Negeri dalam Rangka Peningkatan Kapasitas Nasional”")</f>
        <v>“Pengembangan Integrasi Kapabilitas Dalam Negeri dalam Rangka Peningkatan Kapasitas Nasional”</v>
      </c>
      <c r="G107" s="58" t="str">
        <f>IFERROR(__xludf.DUMMYFUNCTION("""COMPUTED_VALUE"""),"-6.1464353")</f>
        <v>-6.1464353</v>
      </c>
      <c r="H107" s="58" t="str">
        <f>IFERROR(__xludf.DUMMYFUNCTION("""COMPUTED_VALUE"""),"106.8452360")</f>
        <v>106.8452360</v>
      </c>
      <c r="I107" s="43" t="str">
        <f>IFERROR(__xludf.DUMMYFUNCTION("""COMPUTED_VALUE"""),"23 - 24 November 2024")</f>
        <v>23 - 24 November 2024</v>
      </c>
      <c r="J107" s="63" t="str">
        <f>IFERROR(__xludf.DUMMYFUNCTION("""COMPUTED_VALUE"""),"Free")</f>
        <v>Free</v>
      </c>
      <c r="K107" s="43"/>
      <c r="L107" s="43"/>
      <c r="M107" s="43"/>
      <c r="N107" s="43"/>
      <c r="O107" s="43"/>
      <c r="P107" s="43"/>
      <c r="Q107" s="43"/>
      <c r="R107" s="43"/>
      <c r="S107" s="43"/>
      <c r="T107" s="43"/>
      <c r="U107" s="43"/>
      <c r="V107" s="43"/>
      <c r="W107" s="43"/>
      <c r="X107" s="43"/>
      <c r="Y107" s="43"/>
      <c r="Z107" s="43"/>
    </row>
    <row r="108">
      <c r="A108" s="67" t="str">
        <f>IFERROR(__xludf.DUMMYFUNCTION("""COMPUTED_VALUE"""),"16109")</f>
        <v>16109</v>
      </c>
      <c r="B108" s="35" t="str">
        <f>IFERROR(__xludf.DUMMYFUNCTION("""COMPUTED_VALUE"""),"109")</f>
        <v>109</v>
      </c>
      <c r="C108" s="68">
        <f>IFERROR(__xludf.DUMMYFUNCTION("""COMPUTED_VALUE"""),1.0)</f>
        <v>1</v>
      </c>
      <c r="D108" s="70" t="str">
        <f>IFERROR(__xludf.DUMMYFUNCTION("""COMPUTED_VALUE"""),"APKASI PROCUREMENT NETWORK 2024")</f>
        <v>APKASI PROCUREMENT NETWORK 2024</v>
      </c>
      <c r="E108" s="68">
        <f>IFERROR(__xludf.DUMMYFUNCTION("""COMPUTED_VALUE"""),6.0)</f>
        <v>6</v>
      </c>
      <c r="F108" s="20" t="str">
        <f>IFERROR(__xludf.DUMMYFUNCTION("""COMPUTED_VALUE"""),"Produk Indonesia Menjadi Tuan Rumah Di Negeri Sendiri")</f>
        <v>Produk Indonesia Menjadi Tuan Rumah Di Negeri Sendiri</v>
      </c>
      <c r="G108" s="58" t="str">
        <f>IFERROR(__xludf.DUMMYFUNCTION("""COMPUTED_VALUE"""),"-6.1464353")</f>
        <v>-6.1464353</v>
      </c>
      <c r="H108" s="58" t="str">
        <f>IFERROR(__xludf.DUMMYFUNCTION("""COMPUTED_VALUE"""),"106.8452360")</f>
        <v>106.8452360</v>
      </c>
      <c r="I108" s="43" t="str">
        <f>IFERROR(__xludf.DUMMYFUNCTION("""COMPUTED_VALUE"""),"27 - 28 November 2024")</f>
        <v>27 - 28 November 2024</v>
      </c>
      <c r="J108" s="63" t="str">
        <f>IFERROR(__xludf.DUMMYFUNCTION("""COMPUTED_VALUE"""),"Free")</f>
        <v>Free</v>
      </c>
      <c r="K108" s="43"/>
      <c r="L108" s="43"/>
      <c r="M108" s="43"/>
      <c r="N108" s="43"/>
      <c r="O108" s="43"/>
      <c r="P108" s="43"/>
      <c r="Q108" s="43"/>
      <c r="R108" s="43"/>
      <c r="S108" s="43"/>
      <c r="T108" s="43"/>
      <c r="U108" s="43"/>
      <c r="V108" s="43"/>
      <c r="W108" s="43"/>
      <c r="X108" s="43"/>
      <c r="Y108" s="43"/>
      <c r="Z108" s="43"/>
    </row>
    <row r="109">
      <c r="A109" s="67" t="str">
        <f>IFERROR(__xludf.DUMMYFUNCTION("""COMPUTED_VALUE"""),"15110")</f>
        <v>15110</v>
      </c>
      <c r="B109" s="35" t="str">
        <f>IFERROR(__xludf.DUMMYFUNCTION("""COMPUTED_VALUE"""),"110")</f>
        <v>110</v>
      </c>
      <c r="C109" s="68">
        <f>IFERROR(__xludf.DUMMYFUNCTION("""COMPUTED_VALUE"""),1.0)</f>
        <v>1</v>
      </c>
      <c r="D109" s="70" t="str">
        <f>IFERROR(__xludf.DUMMYFUNCTION("""COMPUTED_VALUE"""),"THE 14TH INDONESIA MATERNITY, BABY &amp; KIDS EXPO 2024")</f>
        <v>THE 14TH INDONESIA MATERNITY, BABY &amp; KIDS EXPO 2024</v>
      </c>
      <c r="E109" s="68">
        <f>IFERROR(__xludf.DUMMYFUNCTION("""COMPUTED_VALUE"""),5.0)</f>
        <v>5</v>
      </c>
      <c r="F109" s="20" t="str">
        <f>IFERROR(__xludf.DUMMYFUNCTION("""COMPUTED_VALUE"""),"Indonesia Maternity, Baby &amp; Kids Expo also known as IMBEX; is Indonesia’s largest exhibition for maternity, baby &amp; kids products and service. IMBEX have served the market since 2008. The 14th edition will be held on 1 – 3 December 2023 at Jakarta Conventi"&amp;"on Centre, Hall A, B,  Cendrawasih &amp; Plenary. Showcasing hundreds of local and international brands, IMBEX is staged not only as business and trading platforms but offers an exciting 3 days event filled with education and activities; creating an unforgett"&amp;"able experience for the kids, babies, parents and others who visit.")</f>
        <v>Indonesia Maternity, Baby &amp; Kids Expo also known as IMBEX; is Indonesia’s largest exhibition for maternity, baby &amp; kids products and service. IMBEX have served the market since 2008. The 14th edition will be held on 1 – 3 December 2023 at Jakarta Convention Centre, Hall A, B,  Cendrawasih &amp; Plenary. Showcasing hundreds of local and international brands, IMBEX is staged not only as business and trading platforms but offers an exciting 3 days event filled with education and activities; creating an unforgettable experience for the kids, babies, parents and others who visit.</v>
      </c>
      <c r="G109" s="58" t="str">
        <f>IFERROR(__xludf.DUMMYFUNCTION("""COMPUTED_VALUE"""),"-6.1464353")</f>
        <v>-6.1464353</v>
      </c>
      <c r="H109" s="58" t="str">
        <f>IFERROR(__xludf.DUMMYFUNCTION("""COMPUTED_VALUE"""),"106.8452360")</f>
        <v>106.8452360</v>
      </c>
      <c r="I109" s="43" t="str">
        <f>IFERROR(__xludf.DUMMYFUNCTION("""COMPUTED_VALUE"""),"1 - 3 Desember 2024")</f>
        <v>1 - 3 Desember 2024</v>
      </c>
      <c r="J109" s="63" t="str">
        <f>IFERROR(__xludf.DUMMYFUNCTION("""COMPUTED_VALUE"""),"Free")</f>
        <v>Free</v>
      </c>
      <c r="K109" s="43"/>
      <c r="L109" s="43"/>
      <c r="M109" s="43"/>
      <c r="N109" s="43"/>
      <c r="O109" s="43"/>
      <c r="P109" s="43"/>
      <c r="Q109" s="43"/>
      <c r="R109" s="43"/>
      <c r="S109" s="43"/>
      <c r="T109" s="43"/>
      <c r="U109" s="43"/>
      <c r="V109" s="43"/>
      <c r="W109" s="43"/>
      <c r="X109" s="43"/>
      <c r="Y109" s="43"/>
      <c r="Z109" s="43"/>
    </row>
    <row r="110">
      <c r="A110" s="67" t="str">
        <f>IFERROR(__xludf.DUMMYFUNCTION("""COMPUTED_VALUE"""),"15111")</f>
        <v>15111</v>
      </c>
      <c r="B110" s="35" t="str">
        <f>IFERROR(__xludf.DUMMYFUNCTION("""COMPUTED_VALUE"""),"111")</f>
        <v>111</v>
      </c>
      <c r="C110" s="68">
        <f>IFERROR(__xludf.DUMMYFUNCTION("""COMPUTED_VALUE"""),1.0)</f>
        <v>1</v>
      </c>
      <c r="D110" s="70" t="str">
        <f>IFERROR(__xludf.DUMMYFUNCTION("""COMPUTED_VALUE"""),"GLOBAL SOURCES ELECTRONIC INDONESIA 2024")</f>
        <v>GLOBAL SOURCES ELECTRONIC INDONESIA 2024</v>
      </c>
      <c r="E110" s="68">
        <f>IFERROR(__xludf.DUMMYFUNCTION("""COMPUTED_VALUE"""),5.0)</f>
        <v>5</v>
      </c>
      <c r="F110" s="20" t="str">
        <f>IFERROR(__xludf.DUMMYFUNCTION("""COMPUTED_VALUE"""),"Experience world-class sourcing for consumer electronics, mobile electronics, and electronic components right on your doorstep in Jakarta!")</f>
        <v>Experience world-class sourcing for consumer electronics, mobile electronics, and electronic components right on your doorstep in Jakarta!</v>
      </c>
      <c r="G110" s="58" t="str">
        <f>IFERROR(__xludf.DUMMYFUNCTION("""COMPUTED_VALUE"""),"-6.1464353")</f>
        <v>-6.1464353</v>
      </c>
      <c r="H110" s="58" t="str">
        <f>IFERROR(__xludf.DUMMYFUNCTION("""COMPUTED_VALUE"""),"106.8452360")</f>
        <v>106.8452360</v>
      </c>
      <c r="I110" s="43" t="str">
        <f>IFERROR(__xludf.DUMMYFUNCTION("""COMPUTED_VALUE"""),"6 - 8 Desember 2024")</f>
        <v>6 - 8 Desember 2024</v>
      </c>
      <c r="J110" s="63" t="str">
        <f>IFERROR(__xludf.DUMMYFUNCTION("""COMPUTED_VALUE"""),"Free")</f>
        <v>Free</v>
      </c>
      <c r="K110" s="43"/>
      <c r="L110" s="43"/>
      <c r="M110" s="43"/>
      <c r="N110" s="43"/>
      <c r="O110" s="43"/>
      <c r="P110" s="43"/>
      <c r="Q110" s="43"/>
      <c r="R110" s="43"/>
      <c r="S110" s="43"/>
      <c r="T110" s="43"/>
      <c r="U110" s="43"/>
      <c r="V110" s="43"/>
      <c r="W110" s="43"/>
      <c r="X110" s="43"/>
      <c r="Y110" s="43"/>
      <c r="Z110" s="43"/>
    </row>
    <row r="111">
      <c r="A111" s="67" t="str">
        <f>IFERROR(__xludf.DUMMYFUNCTION("""COMPUTED_VALUE"""),"15112")</f>
        <v>15112</v>
      </c>
      <c r="B111" s="35" t="str">
        <f>IFERROR(__xludf.DUMMYFUNCTION("""COMPUTED_VALUE"""),"112")</f>
        <v>112</v>
      </c>
      <c r="C111" s="68">
        <f>IFERROR(__xludf.DUMMYFUNCTION("""COMPUTED_VALUE"""),1.0)</f>
        <v>1</v>
      </c>
      <c r="D111" s="70" t="str">
        <f>IFERROR(__xludf.DUMMYFUNCTION("""COMPUTED_VALUE"""),"BRILIANPRENEUR 2024")</f>
        <v>BRILIANPRENEUR 2024</v>
      </c>
      <c r="E111" s="68">
        <f>IFERROR(__xludf.DUMMYFUNCTION("""COMPUTED_VALUE"""),5.0)</f>
        <v>5</v>
      </c>
      <c r="F111" s="20" t="str">
        <f>IFERROR(__xludf.DUMMYFUNCTION("""COMPUTED_VALUE"""),"Micro, Small, and Medium Enterprises (MSMEs) play a pivotal role in developing the Indonesian economy. They represent a significant economic potential due to their capacity to generate employment opportunities and their potential for breaking through the "&amp;"international market.
In an effort to harness this potential, BRI, as Indonesia's largest bank, has once again organized Brilianpreneur.
This year's event revolves around the theme “Crafting Global Connection”, a reflection of BRI's ambition and com"&amp;"mitment to encouraging MSMEs to expand their presence on an international stage. In this era of globalization, it is important for MSMEs to keep up with evolving trends and establish connections with the global community. And BRI will present more than 50"&amp;"0 selected MSMEs from five different categories: Home Decor &amp; Craft, Food &amp; Beverage, Accessories &amp; Beauty, Fashion &amp; Wastra, and Healthcare/Wellness. The annual exhibition also presents series of interesting and valuable programs for the audience: Expo S"&amp;"howcase UMKM, Bazaar, Business Matching, Pojok Konsultasi, UMKM Award, Entertainment &amp; Art Installation, Live Shopping, Creative Lab, dan Community Activation.")</f>
        <v>Micro, Small, and Medium Enterprises (MSMEs) play a pivotal role in developing the Indonesian economy. They represent a significant economic potential due to their capacity to generate employment opportunities and their potential for breaking through the international market.
In an effort to harness this potential, BRI, as Indonesia's largest bank, has once again organized Brilianpreneur.
This year's event revolves around the theme “Crafting Global Connection”, a reflection of BRI's ambition and commitment to encouraging MSMEs to expand their presence on an international stage. In this era of globalization, it is important for MSMEs to keep up with evolving trends and establish connections with the global community. And BRI will present more than 500 selected MSMEs from five different categories: Home Decor &amp; Craft, Food &amp; Beverage, Accessories &amp; Beauty, Fashion &amp; Wastra, and Healthcare/Wellness. The annual exhibition also presents series of interesting and valuable programs for the audience: Expo Showcase UMKM, Bazaar, Business Matching, Pojok Konsultasi, UMKM Award, Entertainment &amp; Art Installation, Live Shopping, Creative Lab, dan Community Activation.</v>
      </c>
      <c r="G111" s="58" t="str">
        <f>IFERROR(__xludf.DUMMYFUNCTION("""COMPUTED_VALUE"""),"-6.1464353")</f>
        <v>-6.1464353</v>
      </c>
      <c r="H111" s="58" t="str">
        <f>IFERROR(__xludf.DUMMYFUNCTION("""COMPUTED_VALUE"""),"106.8452360")</f>
        <v>106.8452360</v>
      </c>
      <c r="I111" s="43" t="str">
        <f>IFERROR(__xludf.DUMMYFUNCTION("""COMPUTED_VALUE"""),"7 - 10 Desember 2024")</f>
        <v>7 - 10 Desember 2024</v>
      </c>
      <c r="J111" s="63" t="str">
        <f>IFERROR(__xludf.DUMMYFUNCTION("""COMPUTED_VALUE"""),"Free")</f>
        <v>Free</v>
      </c>
      <c r="K111" s="43"/>
      <c r="L111" s="43"/>
      <c r="M111" s="43"/>
      <c r="N111" s="43"/>
      <c r="O111" s="43"/>
      <c r="P111" s="43"/>
      <c r="Q111" s="43"/>
      <c r="R111" s="43"/>
      <c r="S111" s="43"/>
      <c r="T111" s="43"/>
      <c r="U111" s="43"/>
      <c r="V111" s="43"/>
      <c r="W111" s="43"/>
      <c r="X111" s="43"/>
      <c r="Y111" s="43"/>
      <c r="Z111" s="43"/>
    </row>
    <row r="112">
      <c r="A112" s="67" t="str">
        <f>IFERROR(__xludf.DUMMYFUNCTION("""COMPUTED_VALUE"""),"16113")</f>
        <v>16113</v>
      </c>
      <c r="B112" s="35" t="str">
        <f>IFERROR(__xludf.DUMMYFUNCTION("""COMPUTED_VALUE"""),"113")</f>
        <v>113</v>
      </c>
      <c r="C112" s="68">
        <f>IFERROR(__xludf.DUMMYFUNCTION("""COMPUTED_VALUE"""),1.0)</f>
        <v>1</v>
      </c>
      <c r="D112" s="70" t="str">
        <f>IFERROR(__xludf.DUMMYFUNCTION("""COMPUTED_VALUE"""),"THE 18TH HR EXPO &amp; FORUM 2023")</f>
        <v>THE 18TH HR EXPO &amp; FORUM 2023</v>
      </c>
      <c r="E112" s="68">
        <f>IFERROR(__xludf.DUMMYFUNCTION("""COMPUTED_VALUE"""),6.0)</f>
        <v>6</v>
      </c>
      <c r="F112" s="20" t="str">
        <f>IFERROR(__xludf.DUMMYFUNCTION("""COMPUTED_VALUE"""),"Building Excellent People in Resilent Company Challengees and Opportunities to Face Business Competition in 2024")</f>
        <v>Building Excellent People in Resilent Company Challengees and Opportunities to Face Business Competition in 2024</v>
      </c>
      <c r="G112" s="58" t="str">
        <f>IFERROR(__xludf.DUMMYFUNCTION("""COMPUTED_VALUE"""),"-6.1464353")</f>
        <v>-6.1464353</v>
      </c>
      <c r="H112" s="58" t="str">
        <f>IFERROR(__xludf.DUMMYFUNCTION("""COMPUTED_VALUE"""),"106.8452360")</f>
        <v>106.8452360</v>
      </c>
      <c r="I112" s="43" t="str">
        <f>IFERROR(__xludf.DUMMYFUNCTION("""COMPUTED_VALUE"""),"13 - 14 Desember 2023")</f>
        <v>13 - 14 Desember 2023</v>
      </c>
      <c r="J112" s="63" t="str">
        <f>IFERROR(__xludf.DUMMYFUNCTION("""COMPUTED_VALUE"""),"5000000")</f>
        <v>5000000</v>
      </c>
      <c r="K112" s="43"/>
      <c r="L112" s="43"/>
      <c r="M112" s="43"/>
      <c r="N112" s="43"/>
      <c r="O112" s="43"/>
      <c r="P112" s="43"/>
      <c r="Q112" s="43"/>
      <c r="R112" s="43"/>
      <c r="S112" s="43"/>
      <c r="T112" s="43"/>
      <c r="U112" s="43"/>
      <c r="V112" s="43"/>
      <c r="W112" s="43"/>
      <c r="X112" s="43"/>
      <c r="Y112" s="43"/>
      <c r="Z112" s="43"/>
    </row>
    <row r="113">
      <c r="A113" s="67" t="str">
        <f>IFERROR(__xludf.DUMMYFUNCTION("""COMPUTED_VALUE"""),"15114")</f>
        <v>15114</v>
      </c>
      <c r="B113" s="35" t="str">
        <f>IFERROR(__xludf.DUMMYFUNCTION("""COMPUTED_VALUE"""),"114")</f>
        <v>114</v>
      </c>
      <c r="C113" s="68">
        <f>IFERROR(__xludf.DUMMYFUNCTION("""COMPUTED_VALUE"""),1.0)</f>
        <v>1</v>
      </c>
      <c r="D113" s="70" t="str">
        <f>IFERROR(__xludf.DUMMYFUNCTION("""COMPUTED_VALUE"""),"JAKARTA X BEAUTY ON DECEMBER 2023")</f>
        <v>JAKARTA X BEAUTY ON DECEMBER 2023</v>
      </c>
      <c r="E113" s="68">
        <f>IFERROR(__xludf.DUMMYFUNCTION("""COMPUTED_VALUE"""),5.0)</f>
        <v>5</v>
      </c>
      <c r="F113" s="20" t="str">
        <f>IFERROR(__xludf.DUMMYFUNCTION("""COMPUTED_VALUE"""),"Have you wondered how to recharge your beauty?🌸
#JakartaXBeauty2023")</f>
        <v>Have you wondered how to recharge your beauty?🌸
#JakartaXBeauty2023</v>
      </c>
      <c r="G113" s="58" t="str">
        <f>IFERROR(__xludf.DUMMYFUNCTION("""COMPUTED_VALUE"""),"-6.1464353")</f>
        <v>-6.1464353</v>
      </c>
      <c r="H113" s="58" t="str">
        <f>IFERROR(__xludf.DUMMYFUNCTION("""COMPUTED_VALUE"""),"106.8452360")</f>
        <v>106.8452360</v>
      </c>
      <c r="I113" s="43" t="str">
        <f>IFERROR(__xludf.DUMMYFUNCTION("""COMPUTED_VALUE"""),"14 - 17 December 2023")</f>
        <v>14 - 17 December 2023</v>
      </c>
      <c r="J113" s="63" t="str">
        <f>IFERROR(__xludf.DUMMYFUNCTION("""COMPUTED_VALUE"""),"Free")</f>
        <v>Free</v>
      </c>
      <c r="K113" s="43"/>
      <c r="L113" s="43"/>
      <c r="M113" s="43"/>
      <c r="N113" s="43"/>
      <c r="O113" s="43"/>
      <c r="P113" s="43"/>
      <c r="Q113" s="43"/>
      <c r="R113" s="43"/>
      <c r="S113" s="43"/>
      <c r="T113" s="43"/>
      <c r="U113" s="43"/>
      <c r="V113" s="43"/>
      <c r="W113" s="43"/>
      <c r="X113" s="43"/>
      <c r="Y113" s="43"/>
      <c r="Z113" s="43"/>
    </row>
    <row r="114">
      <c r="A114" s="67" t="str">
        <f>IFERROR(__xludf.DUMMYFUNCTION("""COMPUTED_VALUE"""),"15115")</f>
        <v>15115</v>
      </c>
      <c r="B114" s="35" t="str">
        <f>IFERROR(__xludf.DUMMYFUNCTION("""COMPUTED_VALUE"""),"115")</f>
        <v>115</v>
      </c>
      <c r="C114" s="68">
        <f>IFERROR(__xludf.DUMMYFUNCTION("""COMPUTED_VALUE"""),1.0)</f>
        <v>1</v>
      </c>
      <c r="D114" s="70" t="str">
        <f>IFERROR(__xludf.DUMMYFUNCTION("""COMPUTED_VALUE"""),"JAKARTA HALAL FESTIVAL 2023")</f>
        <v>JAKARTA HALAL FESTIVAL 2023</v>
      </c>
      <c r="E114" s="68">
        <f>IFERROR(__xludf.DUMMYFUNCTION("""COMPUTED_VALUE"""),5.0)</f>
        <v>5</v>
      </c>
      <c r="F114" s="20" t="str">
        <f>IFERROR(__xludf.DUMMYFUNCTION("""COMPUTED_VALUE"""),"Mewujudkan Ekosistem Halal Nasional")</f>
        <v>Mewujudkan Ekosistem Halal Nasional</v>
      </c>
      <c r="G114" s="58" t="str">
        <f>IFERROR(__xludf.DUMMYFUNCTION("""COMPUTED_VALUE"""),"-6.1464353")</f>
        <v>-6.1464353</v>
      </c>
      <c r="H114" s="58" t="str">
        <f>IFERROR(__xludf.DUMMYFUNCTION("""COMPUTED_VALUE"""),"106.8452360")</f>
        <v>106.8452360</v>
      </c>
      <c r="I114" s="43" t="str">
        <f>IFERROR(__xludf.DUMMYFUNCTION("""COMPUTED_VALUE"""),"22 - 25 December 2023")</f>
        <v>22 - 25 December 2023</v>
      </c>
      <c r="J114" s="63" t="str">
        <f>IFERROR(__xludf.DUMMYFUNCTION("""COMPUTED_VALUE"""),"Free")</f>
        <v>Free</v>
      </c>
      <c r="K114" s="43"/>
      <c r="L114" s="43"/>
      <c r="M114" s="43"/>
      <c r="N114" s="43"/>
      <c r="O114" s="43"/>
      <c r="P114" s="43"/>
      <c r="Q114" s="43"/>
      <c r="R114" s="43"/>
      <c r="S114" s="43"/>
      <c r="T114" s="43"/>
      <c r="U114" s="43"/>
      <c r="V114" s="43"/>
      <c r="W114" s="43"/>
      <c r="X114" s="43"/>
      <c r="Y114" s="43"/>
      <c r="Z114" s="43"/>
    </row>
    <row r="115">
      <c r="A115" s="67" t="str">
        <f>IFERROR(__xludf.DUMMYFUNCTION("""COMPUTED_VALUE"""),"16116")</f>
        <v>16116</v>
      </c>
      <c r="B115" s="35" t="str">
        <f>IFERROR(__xludf.DUMMYFUNCTION("""COMPUTED_VALUE"""),"116")</f>
        <v>116</v>
      </c>
      <c r="C115" s="68">
        <f>IFERROR(__xludf.DUMMYFUNCTION("""COMPUTED_VALUE"""),1.0)</f>
        <v>1</v>
      </c>
      <c r="D115" s="70" t="str">
        <f>IFERROR(__xludf.DUMMYFUNCTION("""COMPUTED_VALUE"""),"Google Cloud Summit Jakarta 2023")</f>
        <v>Google Cloud Summit Jakarta 2023</v>
      </c>
      <c r="E115" s="68">
        <f>IFERROR(__xludf.DUMMYFUNCTION("""COMPUTED_VALUE"""),6.0)</f>
        <v>6</v>
      </c>
      <c r="F115" s="20" t="str">
        <f>IFERROR(__xludf.DUMMYFUNCTION("""COMPUTED_VALUE"""),"Bergabunglah bersama kami dalam acara di mana komunitas cloud berkumpul! Jalin networking sesama profesional di industri, terhubung dengan pemimpin Google Cloud, dan jelajahi tren teknologi seputar AI &amp; machine learning, data analytics, cyber security, bu"&amp;"siness application integration dan masih banyak lagi.
Segalanya yang Anda butuhkan untuk mempercepat transformasi digital dan meningkatkan kinerja perusahaan dapat Anda temukan di sini.")</f>
        <v>Bergabunglah bersama kami dalam acara di mana komunitas cloud berkumpul! Jalin networking sesama profesional di industri, terhubung dengan pemimpin Google Cloud, dan jelajahi tren teknologi seputar AI &amp; machine learning, data analytics, cyber security, business application integration dan masih banyak lagi.
Segalanya yang Anda butuhkan untuk mempercepat transformasi digital dan meningkatkan kinerja perusahaan dapat Anda temukan di sini.</v>
      </c>
      <c r="G115" s="58" t="str">
        <f>IFERROR(__xludf.DUMMYFUNCTION("""COMPUTED_VALUE"""),"-6.2026997")</f>
        <v>-6.2026997</v>
      </c>
      <c r="H115" s="58" t="str">
        <f>IFERROR(__xludf.DUMMYFUNCTION("""COMPUTED_VALUE"""),"106.8186391")</f>
        <v>106.8186391</v>
      </c>
      <c r="I115" s="43" t="str">
        <f>IFERROR(__xludf.DUMMYFUNCTION("""COMPUTED_VALUE"""),"22 Juni 2024")</f>
        <v>22 Juni 2024</v>
      </c>
      <c r="J115" s="63" t="str">
        <f>IFERROR(__xludf.DUMMYFUNCTION("""COMPUTED_VALUE"""),"Free")</f>
        <v>Free</v>
      </c>
      <c r="K115" s="43"/>
      <c r="L115" s="43"/>
      <c r="M115" s="43"/>
      <c r="N115" s="43"/>
      <c r="O115" s="43"/>
      <c r="P115" s="43"/>
      <c r="Q115" s="43"/>
      <c r="R115" s="43"/>
      <c r="S115" s="43"/>
      <c r="T115" s="43"/>
      <c r="U115" s="43"/>
      <c r="V115" s="43"/>
      <c r="W115" s="43"/>
      <c r="X115" s="43"/>
      <c r="Y115" s="43"/>
      <c r="Z115" s="43"/>
    </row>
    <row r="116">
      <c r="A116" s="67" t="str">
        <f>IFERROR(__xludf.DUMMYFUNCTION("""COMPUTED_VALUE"""),"41117")</f>
        <v>41117</v>
      </c>
      <c r="B116" s="35" t="str">
        <f>IFERROR(__xludf.DUMMYFUNCTION("""COMPUTED_VALUE"""),"117")</f>
        <v>117</v>
      </c>
      <c r="C116" s="68">
        <f>IFERROR(__xludf.DUMMYFUNCTION("""COMPUTED_VALUE"""),4.0)</f>
        <v>4</v>
      </c>
      <c r="D116" s="70" t="str">
        <f>IFERROR(__xludf.DUMMYFUNCTION("""COMPUTED_VALUE"""),"Pandora Experience")</f>
        <v>Pandora Experience</v>
      </c>
      <c r="E116" s="68">
        <f>IFERROR(__xludf.DUMMYFUNCTION("""COMPUTED_VALUE"""),1.0)</f>
        <v>1</v>
      </c>
      <c r="F116" s="20" t="str">
        <f>IFERROR(__xludf.DUMMYFUNCTION("""COMPUTED_VALUE"""),"Apa jadinya kalau kamu dikunci di sebuah ruangan dan harus kabur dari seorang pembunuh? Atau kamu harus mencari jalan keluar di hutan berhantu? Jawabannya bisa kamu rasakan sendiri di Pandora Experience Alam Sutera!
Di escape room ini, kamu dan teman-t"&amp;"eman maksimal 10 orang akan ""dikunci"" di sebuah ruangan. Kamu harus bisa keluar dari ruangan itu dalam jangka waktu 120 menit dengan cara memecahkan puzzle dan jalan menelusuri ruangan rahasia, dan masih banyak tantangan lagi. Jadi, kamu harus kompak su"&amp;"paya bisa selamat dari ruangan ini ya! ")</f>
        <v>Apa jadinya kalau kamu dikunci di sebuah ruangan dan harus kabur dari seorang pembunuh? Atau kamu harus mencari jalan keluar di hutan berhantu? Jawabannya bisa kamu rasakan sendiri di Pandora Experience Alam Sutera!
Di escape room ini, kamu dan teman-teman maksimal 10 orang akan "dikunci" di sebuah ruangan. Kamu harus bisa keluar dari ruangan itu dalam jangka waktu 120 menit dengan cara memecahkan puzzle dan jalan menelusuri ruangan rahasia, dan masih banyak tantangan lagi. Jadi, kamu harus kompak supaya bisa selamat dari ruangan ini ya! </v>
      </c>
      <c r="G116" s="58" t="str">
        <f>IFERROR(__xludf.DUMMYFUNCTION("""COMPUTED_VALUE"""),"-6.222227")</f>
        <v>-6.222227</v>
      </c>
      <c r="H116" s="58" t="str">
        <f>IFERROR(__xludf.DUMMYFUNCTION("""COMPUTED_VALUE"""),"106.651973")</f>
        <v>106.651973</v>
      </c>
      <c r="I116" s="43" t="str">
        <f>IFERROR(__xludf.DUMMYFUNCTION("""COMPUTED_VALUE"""),"Everyday")</f>
        <v>Everyday</v>
      </c>
      <c r="J116" s="63" t="str">
        <f>IFERROR(__xludf.DUMMYFUNCTION("""COMPUTED_VALUE"""),"100000")</f>
        <v>100000</v>
      </c>
      <c r="K116" s="43"/>
      <c r="L116" s="43"/>
      <c r="M116" s="43"/>
      <c r="N116" s="43"/>
      <c r="O116" s="43"/>
      <c r="P116" s="43"/>
      <c r="Q116" s="43"/>
      <c r="R116" s="43"/>
      <c r="S116" s="43"/>
      <c r="T116" s="43"/>
      <c r="U116" s="43"/>
      <c r="V116" s="43"/>
      <c r="W116" s="43"/>
      <c r="X116" s="43"/>
      <c r="Y116" s="43"/>
      <c r="Z116" s="43"/>
    </row>
    <row r="117">
      <c r="A117" s="67" t="str">
        <f>IFERROR(__xludf.DUMMYFUNCTION("""COMPUTED_VALUE"""),"41118")</f>
        <v>41118</v>
      </c>
      <c r="B117" s="35" t="str">
        <f>IFERROR(__xludf.DUMMYFUNCTION("""COMPUTED_VALUE"""),"118")</f>
        <v>118</v>
      </c>
      <c r="C117" s="68">
        <f>IFERROR(__xludf.DUMMYFUNCTION("""COMPUTED_VALUE"""),4.0)</f>
        <v>4</v>
      </c>
      <c r="D117" s="70" t="str">
        <f>IFERROR(__xludf.DUMMYFUNCTION("""COMPUTED_VALUE"""),"SDC Skatepark")</f>
        <v>SDC Skatepark</v>
      </c>
      <c r="E117" s="68">
        <f>IFERROR(__xludf.DUMMYFUNCTION("""COMPUTED_VALUE"""),1.0)</f>
        <v>1</v>
      </c>
      <c r="F117" s="20" t="str">
        <f>IFERROR(__xludf.DUMMYFUNCTION("""COMPUTED_VALUE"""),"Sejak booming-nya olahraga skateboard di Indonesia pada awal tahun 2000-an, banyak tempat-tempat yang dibangun untuk arena rekreasi para skater di Indonesia, salah satunya berada di area Summarecon Digital Center, Serpong. Buat kamu yang mau bermain skate"&amp;"board dan motorcross bisa datang ke sini, di tempat ini juga menyediakan jasa pelatihan bagi pemula yang ingin belajar dan mencoba olahraga tersebut.
Kalau kamu belum punya alat-alatnya, bisa juga menyewa di area skatepark ini. Selain itu di area ini j"&amp;"uga tersedia toko skateboard dan perlengkapan bermain motorcross.")</f>
        <v>Sejak booming-nya olahraga skateboard di Indonesia pada awal tahun 2000-an, banyak tempat-tempat yang dibangun untuk arena rekreasi para skater di Indonesia, salah satunya berada di area Summarecon Digital Center, Serpong. Buat kamu yang mau bermain skateboard dan motorcross bisa datang ke sini, di tempat ini juga menyediakan jasa pelatihan bagi pemula yang ingin belajar dan mencoba olahraga tersebut.
Kalau kamu belum punya alat-alatnya, bisa juga menyewa di area skatepark ini. Selain itu di area ini juga tersedia toko skateboard dan perlengkapan bermain motorcross.</v>
      </c>
      <c r="G117" s="58" t="str">
        <f>IFERROR(__xludf.DUMMYFUNCTION("""COMPUTED_VALUE"""),"-6.2563")</f>
        <v>-6.2563</v>
      </c>
      <c r="H117" s="58" t="str">
        <f>IFERROR(__xludf.DUMMYFUNCTION("""COMPUTED_VALUE"""),"106.6167")</f>
        <v>106.6167</v>
      </c>
      <c r="I117" s="43" t="str">
        <f>IFERROR(__xludf.DUMMYFUNCTION("""COMPUTED_VALUE"""),"Everyday")</f>
        <v>Everyday</v>
      </c>
      <c r="J117" s="63" t="str">
        <f>IFERROR(__xludf.DUMMYFUNCTION("""COMPUTED_VALUE"""),"Free")</f>
        <v>Free</v>
      </c>
      <c r="K117" s="43"/>
      <c r="L117" s="43"/>
      <c r="M117" s="43"/>
      <c r="N117" s="43"/>
      <c r="O117" s="43"/>
      <c r="P117" s="43"/>
      <c r="Q117" s="43"/>
      <c r="R117" s="43"/>
      <c r="S117" s="43"/>
      <c r="T117" s="43"/>
      <c r="U117" s="43"/>
      <c r="V117" s="43"/>
      <c r="W117" s="43"/>
      <c r="X117" s="43"/>
      <c r="Y117" s="43"/>
      <c r="Z117" s="43"/>
    </row>
    <row r="118">
      <c r="A118" s="67" t="str">
        <f>IFERROR(__xludf.DUMMYFUNCTION("""COMPUTED_VALUE"""),"41119")</f>
        <v>41119</v>
      </c>
      <c r="B118" s="35" t="str">
        <f>IFERROR(__xludf.DUMMYFUNCTION("""COMPUTED_VALUE"""),"119")</f>
        <v>119</v>
      </c>
      <c r="C118" s="68">
        <f>IFERROR(__xludf.DUMMYFUNCTION("""COMPUTED_VALUE"""),4.0)</f>
        <v>4</v>
      </c>
      <c r="D118" s="70" t="str">
        <f>IFERROR(__xludf.DUMMYFUNCTION("""COMPUTED_VALUE"""),"Bukit Pondok Cabe")</f>
        <v>Bukit Pondok Cabe</v>
      </c>
      <c r="E118" s="68">
        <f>IFERROR(__xludf.DUMMYFUNCTION("""COMPUTED_VALUE"""),1.0)</f>
        <v>1</v>
      </c>
      <c r="F118" s="20" t="str">
        <f>IFERROR(__xludf.DUMMYFUNCTION("""COMPUTED_VALUE"""),"Pondok cabe merupakan lapangan terbang pendek yang kerap dipakai untuk komunitas aero modeling dan penggemar drone. Di sini kamu dibebaskan menerbangkan pesawat nirawak dengan ketinggian tertentu. Selain itu tempatnya luas, tidak ramai dengan lalu lalang "&amp;"orang, sehingga dinilai aman. Banyak orang yang menggunakan lapangan satu ini untuk beragam kegiatan, salah satunya yang sedang hits adalah bermain drone. Nah buat kamu yang lagi suka main drone, boleh dicoba main di sini! ")</f>
        <v>Pondok cabe merupakan lapangan terbang pendek yang kerap dipakai untuk komunitas aero modeling dan penggemar drone. Di sini kamu dibebaskan menerbangkan pesawat nirawak dengan ketinggian tertentu. Selain itu tempatnya luas, tidak ramai dengan lalu lalang orang, sehingga dinilai aman. Banyak orang yang menggunakan lapangan satu ini untuk beragam kegiatan, salah satunya yang sedang hits adalah bermain drone. Nah buat kamu yang lagi suka main drone, boleh dicoba main di sini! </v>
      </c>
      <c r="G118" s="58" t="str">
        <f>IFERROR(__xludf.DUMMYFUNCTION("""COMPUTED_VALUE"""),"-6.3547181")</f>
        <v>-6.3547181</v>
      </c>
      <c r="H118" s="58" t="str">
        <f>IFERROR(__xludf.DUMMYFUNCTION("""COMPUTED_VALUE"""),"106.7663887")</f>
        <v>106.7663887</v>
      </c>
      <c r="I118" s="43" t="str">
        <f>IFERROR(__xludf.DUMMYFUNCTION("""COMPUTED_VALUE"""),"Everyday")</f>
        <v>Everyday</v>
      </c>
      <c r="J118" s="63" t="str">
        <f>IFERROR(__xludf.DUMMYFUNCTION("""COMPUTED_VALUE"""),"Free")</f>
        <v>Free</v>
      </c>
      <c r="K118" s="43"/>
      <c r="L118" s="43"/>
      <c r="M118" s="43"/>
      <c r="N118" s="43"/>
      <c r="O118" s="43"/>
      <c r="P118" s="43"/>
      <c r="Q118" s="43"/>
      <c r="R118" s="43"/>
      <c r="S118" s="43"/>
      <c r="T118" s="43"/>
      <c r="U118" s="43"/>
      <c r="V118" s="43"/>
      <c r="W118" s="43"/>
      <c r="X118" s="43"/>
      <c r="Y118" s="43"/>
      <c r="Z118" s="43"/>
    </row>
    <row r="119">
      <c r="A119" s="67" t="str">
        <f>IFERROR(__xludf.DUMMYFUNCTION("""COMPUTED_VALUE"""),"41120")</f>
        <v>41120</v>
      </c>
      <c r="B119" s="35" t="str">
        <f>IFERROR(__xludf.DUMMYFUNCTION("""COMPUTED_VALUE"""),"120")</f>
        <v>120</v>
      </c>
      <c r="C119" s="68">
        <f>IFERROR(__xludf.DUMMYFUNCTION("""COMPUTED_VALUE"""),4.0)</f>
        <v>4</v>
      </c>
      <c r="D119" s="70" t="str">
        <f>IFERROR(__xludf.DUMMYFUNCTION("""COMPUTED_VALUE"""),"Lagoon the Bahama")</f>
        <v>Lagoon the Bahama</v>
      </c>
      <c r="E119" s="68">
        <f>IFERROR(__xludf.DUMMYFUNCTION("""COMPUTED_VALUE"""),1.0)</f>
        <v>1</v>
      </c>
      <c r="F119" s="20" t="str">
        <f>IFERROR(__xludf.DUMMYFUNCTION("""COMPUTED_VALUE"""),"Kalau kamu mau bertamasya ke Ocean Park BSD, liburan ini, kamu gak boleh sampai melewatkan wahana Lagoon The Bahama (Pijat Air) ya! Sambil mengelilingi kolam arus, terdapat beberapa air terjun buatan. Air terjun ini dapat difungsikan sebagai pijat air. Ke"&amp;"pala atau pundak yang terasa pegal dapat menggunakan air terjun ini. Pijat air ini terdapat juga di area bermain air. Asyik banget kan?")</f>
        <v>Kalau kamu mau bertamasya ke Ocean Park BSD, liburan ini, kamu gak boleh sampai melewatkan wahana Lagoon The Bahama (Pijat Air) ya! Sambil mengelilingi kolam arus, terdapat beberapa air terjun buatan. Air terjun ini dapat difungsikan sebagai pijat air. Kepala atau pundak yang terasa pegal dapat menggunakan air terjun ini. Pijat air ini terdapat juga di area bermain air. Asyik banget kan?</v>
      </c>
      <c r="G119" s="58" t="str">
        <f>IFERROR(__xludf.DUMMYFUNCTION("""COMPUTED_VALUE"""),"-6.2932105")</f>
        <v>-6.2932105</v>
      </c>
      <c r="H119" s="58" t="str">
        <f>IFERROR(__xludf.DUMMYFUNCTION("""COMPUTED_VALUE"""),"106.6499533")</f>
        <v>106.6499533</v>
      </c>
      <c r="I119" s="43" t="str">
        <f>IFERROR(__xludf.DUMMYFUNCTION("""COMPUTED_VALUE"""),"Everyday")</f>
        <v>Everyday</v>
      </c>
      <c r="J119" s="63" t="str">
        <f>IFERROR(__xludf.DUMMYFUNCTION("""COMPUTED_VALUE"""),"100000")</f>
        <v>100000</v>
      </c>
      <c r="K119" s="43"/>
      <c r="L119" s="43"/>
      <c r="M119" s="43"/>
      <c r="N119" s="43"/>
      <c r="O119" s="43"/>
      <c r="P119" s="43"/>
      <c r="Q119" s="43"/>
      <c r="R119" s="43"/>
      <c r="S119" s="43"/>
      <c r="T119" s="43"/>
      <c r="U119" s="43"/>
      <c r="V119" s="43"/>
      <c r="W119" s="43"/>
      <c r="X119" s="43"/>
      <c r="Y119" s="43"/>
      <c r="Z119" s="43"/>
    </row>
    <row r="120">
      <c r="A120" s="67" t="str">
        <f>IFERROR(__xludf.DUMMYFUNCTION("""COMPUTED_VALUE"""),"41121")</f>
        <v>41121</v>
      </c>
      <c r="B120" s="35" t="str">
        <f>IFERROR(__xludf.DUMMYFUNCTION("""COMPUTED_VALUE"""),"121")</f>
        <v>121</v>
      </c>
      <c r="C120" s="68">
        <f>IFERROR(__xludf.DUMMYFUNCTION("""COMPUTED_VALUE"""),4.0)</f>
        <v>4</v>
      </c>
      <c r="D120" s="70" t="str">
        <f>IFERROR(__xludf.DUMMYFUNCTION("""COMPUTED_VALUE"""),"Wall Climbing at Ocean Park")</f>
        <v>Wall Climbing at Ocean Park</v>
      </c>
      <c r="E120" s="68">
        <f>IFERROR(__xludf.DUMMYFUNCTION("""COMPUTED_VALUE"""),1.0)</f>
        <v>1</v>
      </c>
      <c r="F120" s="20" t="str">
        <f>IFERROR(__xludf.DUMMYFUNCTION("""COMPUTED_VALUE"""),"Ke Ocean Park BSD yuk! Kamu bisa bersenang-senang bersama keluarga dan orang-orang terdekat. Kalau kamu gak mau basah-basahan, tenang aja. Bukan cuma kolam renang aja, tapi ada juga permainan yang bisa kamu nikmati seperti Wall Climbing. Kamu bisa rasakan"&amp;" sensasi memanjat tebing di sini.
Bukan hanya untuk orang dewasa, wahana satu ini juga bisa dicoba untuk anak-anak, lho. Namun tetap dalam pengawasan orang dewasa. Jangan sampai melewatkan keseruannya! ")</f>
        <v>Ke Ocean Park BSD yuk! Kamu bisa bersenang-senang bersama keluarga dan orang-orang terdekat. Kalau kamu gak mau basah-basahan, tenang aja. Bukan cuma kolam renang aja, tapi ada juga permainan yang bisa kamu nikmati seperti Wall Climbing. Kamu bisa rasakan sensasi memanjat tebing di sini.
Bukan hanya untuk orang dewasa, wahana satu ini juga bisa dicoba untuk anak-anak, lho. Namun tetap dalam pengawasan orang dewasa. Jangan sampai melewatkan keseruannya! </v>
      </c>
      <c r="G120" s="58" t="str">
        <f>IFERROR(__xludf.DUMMYFUNCTION("""COMPUTED_VALUE"""),"-6.2932105")</f>
        <v>-6.2932105</v>
      </c>
      <c r="H120" s="58" t="str">
        <f>IFERROR(__xludf.DUMMYFUNCTION("""COMPUTED_VALUE"""),"106.6499533")</f>
        <v>106.6499533</v>
      </c>
      <c r="I120" s="43" t="str">
        <f>IFERROR(__xludf.DUMMYFUNCTION("""COMPUTED_VALUE"""),"Everyday")</f>
        <v>Everyday</v>
      </c>
      <c r="J120" s="63" t="str">
        <f>IFERROR(__xludf.DUMMYFUNCTION("""COMPUTED_VALUE"""),"50000")</f>
        <v>50000</v>
      </c>
      <c r="K120" s="43"/>
      <c r="L120" s="43"/>
      <c r="M120" s="43"/>
      <c r="N120" s="43"/>
      <c r="O120" s="43"/>
      <c r="P120" s="43"/>
      <c r="Q120" s="43"/>
      <c r="R120" s="43"/>
      <c r="S120" s="43"/>
      <c r="T120" s="43"/>
      <c r="U120" s="43"/>
      <c r="V120" s="43"/>
      <c r="W120" s="43"/>
      <c r="X120" s="43"/>
      <c r="Y120" s="43"/>
      <c r="Z120" s="43"/>
    </row>
    <row r="121">
      <c r="A121" s="67" t="str">
        <f>IFERROR(__xludf.DUMMYFUNCTION("""COMPUTED_VALUE"""),"41122")</f>
        <v>41122</v>
      </c>
      <c r="B121" s="35" t="str">
        <f>IFERROR(__xludf.DUMMYFUNCTION("""COMPUTED_VALUE"""),"122")</f>
        <v>122</v>
      </c>
      <c r="C121" s="68">
        <f>IFERROR(__xludf.DUMMYFUNCTION("""COMPUTED_VALUE"""),4.0)</f>
        <v>4</v>
      </c>
      <c r="D121" s="70" t="str">
        <f>IFERROR(__xludf.DUMMYFUNCTION("""COMPUTED_VALUE"""),"Pemancingan Telaga Metro")</f>
        <v>Pemancingan Telaga Metro</v>
      </c>
      <c r="E121" s="68">
        <f>IFERROR(__xludf.DUMMYFUNCTION("""COMPUTED_VALUE"""),1.0)</f>
        <v>1</v>
      </c>
      <c r="F121" s="20" t="str">
        <f>IFERROR(__xludf.DUMMYFUNCTION("""COMPUTED_VALUE"""),"Telaga Metro merupakan pemancingan terbesar dan termegah di daerah Ciledug, Tangerang. Tepatnya di Ciledug karang tengah, Perumahan Metro Permata 1. Untuk kamu yang memiliki hobi memancing, atau sekedar ingin coba memancing kamu bisa coba di pemancingan s"&amp;"atu ini. Pemancingan di buka setiap hari Selasa sampai Minggu (Senin tutup, untuk perawatan kolam).")</f>
        <v>Telaga Metro merupakan pemancingan terbesar dan termegah di daerah Ciledug, Tangerang. Tepatnya di Ciledug karang tengah, Perumahan Metro Permata 1. Untuk kamu yang memiliki hobi memancing, atau sekedar ingin coba memancing kamu bisa coba di pemancingan satu ini. Pemancingan di buka setiap hari Selasa sampai Minggu (Senin tutup, untuk perawatan kolam).</v>
      </c>
      <c r="G121" s="58" t="str">
        <f>IFERROR(__xludf.DUMMYFUNCTION("""COMPUTED_VALUE"""),"-6.2003902")</f>
        <v>-6.2003902</v>
      </c>
      <c r="H121" s="58" t="str">
        <f>IFERROR(__xludf.DUMMYFUNCTION("""COMPUTED_VALUE"""),"106.7103626")</f>
        <v>106.7103626</v>
      </c>
      <c r="I121" s="43" t="str">
        <f>IFERROR(__xludf.DUMMYFUNCTION("""COMPUTED_VALUE"""),"Everyday")</f>
        <v>Everyday</v>
      </c>
      <c r="J121" s="63" t="str">
        <f>IFERROR(__xludf.DUMMYFUNCTION("""COMPUTED_VALUE"""),"Free")</f>
        <v>Free</v>
      </c>
      <c r="K121" s="43"/>
      <c r="L121" s="43"/>
      <c r="M121" s="43"/>
      <c r="N121" s="43"/>
      <c r="O121" s="43"/>
      <c r="P121" s="43"/>
      <c r="Q121" s="43"/>
      <c r="R121" s="43"/>
      <c r="S121" s="43"/>
      <c r="T121" s="43"/>
      <c r="U121" s="43"/>
      <c r="V121" s="43"/>
      <c r="W121" s="43"/>
      <c r="X121" s="43"/>
      <c r="Y121" s="43"/>
      <c r="Z121" s="43"/>
    </row>
    <row r="122">
      <c r="A122" s="67" t="str">
        <f>IFERROR(__xludf.DUMMYFUNCTION("""COMPUTED_VALUE"""),"41123")</f>
        <v>41123</v>
      </c>
      <c r="B122" s="35" t="str">
        <f>IFERROR(__xludf.DUMMYFUNCTION("""COMPUTED_VALUE"""),"123")</f>
        <v>123</v>
      </c>
      <c r="C122" s="68">
        <f>IFERROR(__xludf.DUMMYFUNCTION("""COMPUTED_VALUE"""),4.0)</f>
        <v>4</v>
      </c>
      <c r="D122" s="70" t="str">
        <f>IFERROR(__xludf.DUMMYFUNCTION("""COMPUTED_VALUE"""),"Tanah Tingal")</f>
        <v>Tanah Tingal</v>
      </c>
      <c r="E122" s="68">
        <f>IFERROR(__xludf.DUMMYFUNCTION("""COMPUTED_VALUE"""),1.0)</f>
        <v>1</v>
      </c>
      <c r="F122" s="20" t="str">
        <f>IFERROR(__xludf.DUMMYFUNCTION("""COMPUTED_VALUE"""),"Sedang kehabisan ide untuk kegiatan di akhir pekan ini? Bagaimana kalau berkunjung ke Tanah Tinggal? Taman Wisata Alam Tanah Tingal adalah sarana hiburan warga DKI Jakarta, Tangerang Selatan, dan sekitarnya untuk mengusir kepenatan. Tanah Tinggal yang ber"&amp;"lokasi di Desa Baru, Ciputat - Tangerang, ini bisa jadi pilihan untuk kegiatan berlibur kamu di dalam kota. Sambil memperkenalkan alam pada si kecil, belajar untuk kreatif, dan bersosialisasi dengan alam sekitar lingkungannya.
Di Tanah Tinggal tersedia"&amp;" beragam fasilitas seperti arena bermain anak, kolam renang, fasilitas outbound, dan restoran serta lingkungan asri dipenuhi pepohonan serta aneka burung yang terbang bebas. Areanya yang cukup luas, yaitu sekitar 10 hektar, sangat cocok sebagai tempat out"&amp;"bound, employee outing, employee gathering, team building dan kegiatan outdoor lainnya.")</f>
        <v>Sedang kehabisan ide untuk kegiatan di akhir pekan ini? Bagaimana kalau berkunjung ke Tanah Tinggal? Taman Wisata Alam Tanah Tingal adalah sarana hiburan warga DKI Jakarta, Tangerang Selatan, dan sekitarnya untuk mengusir kepenatan. Tanah Tinggal yang berlokasi di Desa Baru, Ciputat - Tangerang, ini bisa jadi pilihan untuk kegiatan berlibur kamu di dalam kota. Sambil memperkenalkan alam pada si kecil, belajar untuk kreatif, dan bersosialisasi dengan alam sekitar lingkungannya.
Di Tanah Tinggal tersedia beragam fasilitas seperti arena bermain anak, kolam renang, fasilitas outbound, dan restoran serta lingkungan asri dipenuhi pepohonan serta aneka burung yang terbang bebas. Areanya yang cukup luas, yaitu sekitar 10 hektar, sangat cocok sebagai tempat outbound, employee outing, employee gathering, team building dan kegiatan outdoor lainnya.</v>
      </c>
      <c r="G122" s="58" t="str">
        <f>IFERROR(__xludf.DUMMYFUNCTION("""COMPUTED_VALUE"""),"-6.3029798")</f>
        <v>-6.3029798</v>
      </c>
      <c r="H122" s="58" t="str">
        <f>IFERROR(__xludf.DUMMYFUNCTION("""COMPUTED_VALUE"""),"106.7183241")</f>
        <v>106.7183241</v>
      </c>
      <c r="I122" s="43" t="str">
        <f>IFERROR(__xludf.DUMMYFUNCTION("""COMPUTED_VALUE"""),"Everyday")</f>
        <v>Everyday</v>
      </c>
      <c r="J122" s="63" t="str">
        <f>IFERROR(__xludf.DUMMYFUNCTION("""COMPUTED_VALUE"""),"50000")</f>
        <v>50000</v>
      </c>
      <c r="K122" s="43"/>
      <c r="L122" s="43"/>
      <c r="M122" s="43"/>
      <c r="N122" s="43"/>
      <c r="O122" s="43"/>
      <c r="P122" s="43"/>
      <c r="Q122" s="43"/>
      <c r="R122" s="43"/>
      <c r="S122" s="43"/>
      <c r="T122" s="43"/>
      <c r="U122" s="43"/>
      <c r="V122" s="43"/>
      <c r="W122" s="43"/>
      <c r="X122" s="43"/>
      <c r="Y122" s="43"/>
      <c r="Z122" s="43"/>
    </row>
    <row r="123">
      <c r="A123" s="67" t="str">
        <f>IFERROR(__xludf.DUMMYFUNCTION("""COMPUTED_VALUE"""),"41124")</f>
        <v>41124</v>
      </c>
      <c r="B123" s="35" t="str">
        <f>IFERROR(__xludf.DUMMYFUNCTION("""COMPUTED_VALUE"""),"124")</f>
        <v>124</v>
      </c>
      <c r="C123" s="68">
        <f>IFERROR(__xludf.DUMMYFUNCTION("""COMPUTED_VALUE"""),4.0)</f>
        <v>4</v>
      </c>
      <c r="D123" s="70" t="str">
        <f>IFERROR(__xludf.DUMMYFUNCTION("""COMPUTED_VALUE"""),"Kandank Jurank Doank")</f>
        <v>Kandank Jurank Doank</v>
      </c>
      <c r="E123" s="68">
        <f>IFERROR(__xludf.DUMMYFUNCTION("""COMPUTED_VALUE"""),1.0)</f>
        <v>1</v>
      </c>
      <c r="F123" s="20" t="str">
        <f>IFERROR(__xludf.DUMMYFUNCTION("""COMPUTED_VALUE"""),"Untuk anak-anak, liburan di Kandank Jurank Doank bisa menjadi alternatif yang mengasyikan. Karena di sana mereka bebas melakukan permainan apa saja. Kegiatan di Kandank Jurank Doank berkaitan dengan aktivitas luar ruang dan berhubungan dengan alam. 
Me"&amp;"reka bisa bermain lumpur di sawah, belajar menanam padi, atau memandikan kerbau. Bagi yang hobi menggambar, pemandangan di Kandank Jurank merupakan objek yang menarik. Ada pula kegiatan mendengarkan dongeng, mengenal satwa, serta memainkan permainan tradi"&amp;"sional.
Kandank Jurank Doank dapat dikunjungi setiap hari tanpa dipungut biaya. Pengunjung baru dikenai tarif bila ingin menikmati wahana-wahana permainan yang umumnya dihargai antara Rp20.000,- hingga Rp25.000,-. Sedangkan paket outbond-nya bisa diikuti"&amp;" dengan biaya minimal Rp120.000,-. ")</f>
        <v>Untuk anak-anak, liburan di Kandank Jurank Doank bisa menjadi alternatif yang mengasyikan. Karena di sana mereka bebas melakukan permainan apa saja. Kegiatan di Kandank Jurank Doank berkaitan dengan aktivitas luar ruang dan berhubungan dengan alam. 
Mereka bisa bermain lumpur di sawah, belajar menanam padi, atau memandikan kerbau. Bagi yang hobi menggambar, pemandangan di Kandank Jurank merupakan objek yang menarik. Ada pula kegiatan mendengarkan dongeng, mengenal satwa, serta memainkan permainan tradisional.
Kandank Jurank Doank dapat dikunjungi setiap hari tanpa dipungut biaya. Pengunjung baru dikenai tarif bila ingin menikmati wahana-wahana permainan yang umumnya dihargai antara Rp20.000,- hingga Rp25.000,-. Sedangkan paket outbond-nya bisa diikuti dengan biaya minimal Rp120.000,-. </v>
      </c>
      <c r="G123" s="58" t="str">
        <f>IFERROR(__xludf.DUMMYFUNCTION("""COMPUTED_VALUE"""),"-6.2959203")</f>
        <v>-6.2959203</v>
      </c>
      <c r="H123" s="58" t="str">
        <f>IFERROR(__xludf.DUMMYFUNCTION("""COMPUTED_VALUE"""),"106.7239562")</f>
        <v>106.7239562</v>
      </c>
      <c r="I123" s="43" t="str">
        <f>IFERROR(__xludf.DUMMYFUNCTION("""COMPUTED_VALUE"""),"Everyday")</f>
        <v>Everyday</v>
      </c>
      <c r="J123" s="63" t="str">
        <f>IFERROR(__xludf.DUMMYFUNCTION("""COMPUTED_VALUE"""),"25000")</f>
        <v>25000</v>
      </c>
      <c r="K123" s="43"/>
      <c r="L123" s="43"/>
      <c r="M123" s="43"/>
      <c r="N123" s="43"/>
      <c r="O123" s="43"/>
      <c r="P123" s="43"/>
      <c r="Q123" s="43"/>
      <c r="R123" s="43"/>
      <c r="S123" s="43"/>
      <c r="T123" s="43"/>
      <c r="U123" s="43"/>
      <c r="V123" s="43"/>
      <c r="W123" s="43"/>
      <c r="X123" s="43"/>
      <c r="Y123" s="43"/>
      <c r="Z123" s="43"/>
    </row>
    <row r="124">
      <c r="A124" s="67" t="str">
        <f>IFERROR(__xludf.DUMMYFUNCTION("""COMPUTED_VALUE"""),"41125")</f>
        <v>41125</v>
      </c>
      <c r="B124" s="35" t="str">
        <f>IFERROR(__xludf.DUMMYFUNCTION("""COMPUTED_VALUE"""),"125")</f>
        <v>125</v>
      </c>
      <c r="C124" s="68">
        <f>IFERROR(__xludf.DUMMYFUNCTION("""COMPUTED_VALUE"""),4.0)</f>
        <v>4</v>
      </c>
      <c r="D124" s="70" t="str">
        <f>IFERROR(__xludf.DUMMYFUNCTION("""COMPUTED_VALUE"""),"Lockdown Indonesia")</f>
        <v>Lockdown Indonesia</v>
      </c>
      <c r="E124" s="68">
        <f>IFERROR(__xludf.DUMMYFUNCTION("""COMPUTED_VALUE"""),1.0)</f>
        <v>1</v>
      </c>
      <c r="F124" s="20" t="str">
        <f>IFERROR(__xludf.DUMMYFUNCTION("""COMPUTED_VALUE"""),"Lockdown Indonesia is a reality first-person adventure game simulating online room escape games. In the game, the player is locked in a room and must exploit his or her surroundings in order to escape.
The escape game requires players to be observant a"&amp;"nd use critical thinking skills in order to solve the challenges and riddles. Each team has only 60 minutes to Escape. Will you be the one who succeeds? Come to Lockdown Indonesia!")</f>
        <v>Lockdown Indonesia is a reality first-person adventure game simulating online room escape games. In the game, the player is locked in a room and must exploit his or her surroundings in order to escape.
The escape game requires players to be observant and use critical thinking skills in order to solve the challenges and riddles. Each team has only 60 minutes to Escape. Will you be the one who succeeds? Come to Lockdown Indonesia!</v>
      </c>
      <c r="G124" s="58" t="str">
        <f>IFERROR(__xludf.DUMMYFUNCTION("""COMPUTED_VALUE"""),"-6.2349004")</f>
        <v>-6.2349004</v>
      </c>
      <c r="H124" s="58" t="str">
        <f>IFERROR(__xludf.DUMMYFUNCTION("""COMPUTED_VALUE"""),"106.658702")</f>
        <v>106.658702</v>
      </c>
      <c r="I124" s="43" t="str">
        <f>IFERROR(__xludf.DUMMYFUNCTION("""COMPUTED_VALUE"""),"Everyday")</f>
        <v>Everyday</v>
      </c>
      <c r="J124" s="63" t="str">
        <f>IFERROR(__xludf.DUMMYFUNCTION("""COMPUTED_VALUE"""),"75000")</f>
        <v>75000</v>
      </c>
      <c r="K124" s="43"/>
      <c r="L124" s="43"/>
      <c r="M124" s="43"/>
      <c r="N124" s="43"/>
      <c r="O124" s="43"/>
      <c r="P124" s="43"/>
      <c r="Q124" s="43"/>
      <c r="R124" s="43"/>
      <c r="S124" s="43"/>
      <c r="T124" s="43"/>
      <c r="U124" s="43"/>
      <c r="V124" s="43"/>
      <c r="W124" s="43"/>
      <c r="X124" s="43"/>
      <c r="Y124" s="43"/>
      <c r="Z124" s="43"/>
    </row>
    <row r="125">
      <c r="A125" s="67" t="str">
        <f>IFERROR(__xludf.DUMMYFUNCTION("""COMPUTED_VALUE"""),"51126")</f>
        <v>51126</v>
      </c>
      <c r="B125" s="35" t="str">
        <f>IFERROR(__xludf.DUMMYFUNCTION("""COMPUTED_VALUE"""),"126")</f>
        <v>126</v>
      </c>
      <c r="C125" s="68">
        <f>IFERROR(__xludf.DUMMYFUNCTION("""COMPUTED_VALUE"""),5.0)</f>
        <v>5</v>
      </c>
      <c r="D125" s="70" t="str">
        <f>IFERROR(__xludf.DUMMYFUNCTION("""COMPUTED_VALUE"""),"Redline Go Kart")</f>
        <v>Redline Go Kart</v>
      </c>
      <c r="E125" s="68">
        <f>IFERROR(__xludf.DUMMYFUNCTION("""COMPUTED_VALUE"""),1.0)</f>
        <v>1</v>
      </c>
      <c r="F125" s="20" t="str">
        <f>IFERROR(__xludf.DUMMYFUNCTION("""COMPUTED_VALUE"""),"Lahan bermain Go Kart ini berada di rooftop Blu Plaza, lebih tepatnya di lantai 2. Sebelum kamu bermain cepat-cepatan di sirkuit Go Kart, kamu diharuskan membuat SIM khas Redline, dan memakan biaya sebesar Rp20.000. Setelah itu, kamu diharuskan menggunaka"&amp;"n helm dan pakaian khusus Go Kart. 
Durasi satu permainannya adalah 5 menit, dan siapa yang tercepat dalam 1 lintasan, ia akan mendapat penghargaan khusus dan special prize di kafe Redline. Seru banget kan? Yuk, ajak teman-temanmu beradu cepat di Relin"&amp;"e Go Kart!")</f>
        <v>Lahan bermain Go Kart ini berada di rooftop Blu Plaza, lebih tepatnya di lantai 2. Sebelum kamu bermain cepat-cepatan di sirkuit Go Kart, kamu diharuskan membuat SIM khas Redline, dan memakan biaya sebesar Rp20.000. Setelah itu, kamu diharuskan menggunakan helm dan pakaian khusus Go Kart. 
Durasi satu permainannya adalah 5 menit, dan siapa yang tercepat dalam 1 lintasan, ia akan mendapat penghargaan khusus dan special prize di kafe Redline. Seru banget kan? Yuk, ajak teman-temanmu beradu cepat di Reline Go Kart!</v>
      </c>
      <c r="G125" s="58" t="str">
        <f>IFERROR(__xludf.DUMMYFUNCTION("""COMPUTED_VALUE"""),"-6.2559905")</f>
        <v>-6.2559905</v>
      </c>
      <c r="H125" s="58" t="str">
        <f>IFERROR(__xludf.DUMMYFUNCTION("""COMPUTED_VALUE"""),"107.0047847")</f>
        <v>107.0047847</v>
      </c>
      <c r="I125" s="43" t="str">
        <f>IFERROR(__xludf.DUMMYFUNCTION("""COMPUTED_VALUE"""),"Everyday")</f>
        <v>Everyday</v>
      </c>
      <c r="J125" s="63" t="str">
        <f>IFERROR(__xludf.DUMMYFUNCTION("""COMPUTED_VALUE"""),"25000")</f>
        <v>25000</v>
      </c>
      <c r="K125" s="43"/>
      <c r="L125" s="43"/>
      <c r="M125" s="43"/>
      <c r="N125" s="43"/>
      <c r="O125" s="43"/>
      <c r="P125" s="43"/>
      <c r="Q125" s="43"/>
      <c r="R125" s="43"/>
      <c r="S125" s="43"/>
      <c r="T125" s="43"/>
      <c r="U125" s="43"/>
      <c r="V125" s="43"/>
      <c r="W125" s="43"/>
      <c r="X125" s="43"/>
      <c r="Y125" s="43"/>
      <c r="Z125" s="43"/>
    </row>
    <row r="126">
      <c r="A126" s="67" t="str">
        <f>IFERROR(__xludf.DUMMYFUNCTION("""COMPUTED_VALUE"""),"51127")</f>
        <v>51127</v>
      </c>
      <c r="B126" s="35" t="str">
        <f>IFERROR(__xludf.DUMMYFUNCTION("""COMPUTED_VALUE"""),"127")</f>
        <v>127</v>
      </c>
      <c r="C126" s="68">
        <f>IFERROR(__xludf.DUMMYFUNCTION("""COMPUTED_VALUE"""),5.0)</f>
        <v>5</v>
      </c>
      <c r="D126" s="70" t="str">
        <f>IFERROR(__xludf.DUMMYFUNCTION("""COMPUTED_VALUE"""),"Fun Park Bekasi Timur Regensi")</f>
        <v>Fun Park Bekasi Timur Regensi</v>
      </c>
      <c r="E126" s="68">
        <f>IFERROR(__xludf.DUMMYFUNCTION("""COMPUTED_VALUE"""),1.0)</f>
        <v>1</v>
      </c>
      <c r="F126" s="20" t="str">
        <f>IFERROR(__xludf.DUMMYFUNCTION("""COMPUTED_VALUE"""),"Tinggal di negara tropis, tentu salah satu alternatif rekreasi yang paling banyak dicari adalah berenang dan bermain di taman air. Nah, ada taman air yang seru buat kamu datangi nih, namanya Fun Park Bekasi Timur Regensi. 
Fun park ini memiliki 4 kolam"&amp;" renang dengan ukuran dan kedalaman yang berbeda-beda. Yang 1 kedalaman air antara 120-150 cm, cocok untuk dewasa atau yang ingin belajar berenang. Kolam yang kedua memiliki kedalaman air 50cm, kolam ketiga memiliki kedalaman 5-20 cm. Kedua kolam ini coco"&amp;"k untuk balita dan juga anak. Kolam terakhir yang paling digemari oleh anak-anak. Kolam berkedalaman 30 cm ini dilengkapi dengan pernak-pernik permainan anak dan terdapat seperti sebuah istana. Lengkap dengan seluncurannya.
Kalau gitu, yuk ajak keluarg"&amp;"amu ke Fun Park Bekasi Timur Regensi!")</f>
        <v>Tinggal di negara tropis, tentu salah satu alternatif rekreasi yang paling banyak dicari adalah berenang dan bermain di taman air. Nah, ada taman air yang seru buat kamu datangi nih, namanya Fun Park Bekasi Timur Regensi. 
Fun park ini memiliki 4 kolam renang dengan ukuran dan kedalaman yang berbeda-beda. Yang 1 kedalaman air antara 120-150 cm, cocok untuk dewasa atau yang ingin belajar berenang. Kolam yang kedua memiliki kedalaman air 50cm, kolam ketiga memiliki kedalaman 5-20 cm. Kedua kolam ini cocok untuk balita dan juga anak. Kolam terakhir yang paling digemari oleh anak-anak. Kolam berkedalaman 30 cm ini dilengkapi dengan pernak-pernik permainan anak dan terdapat seperti sebuah istana. Lengkap dengan seluncurannya.
Kalau gitu, yuk ajak keluargamu ke Fun Park Bekasi Timur Regensi!</v>
      </c>
      <c r="G126" s="58" t="str">
        <f>IFERROR(__xludf.DUMMYFUNCTION("""COMPUTED_VALUE"""),"-6.3236733")</f>
        <v>-6.3236733</v>
      </c>
      <c r="H126" s="58" t="str">
        <f>IFERROR(__xludf.DUMMYFUNCTION("""COMPUTED_VALUE"""),"107.0006003")</f>
        <v>107.0006003</v>
      </c>
      <c r="I126" s="43" t="str">
        <f>IFERROR(__xludf.DUMMYFUNCTION("""COMPUTED_VALUE"""),"Everyday")</f>
        <v>Everyday</v>
      </c>
      <c r="J126" s="63" t="str">
        <f>IFERROR(__xludf.DUMMYFUNCTION("""COMPUTED_VALUE"""),"50000")</f>
        <v>50000</v>
      </c>
      <c r="K126" s="43"/>
      <c r="L126" s="43"/>
      <c r="M126" s="43"/>
      <c r="N126" s="43"/>
      <c r="O126" s="43"/>
      <c r="P126" s="43"/>
      <c r="Q126" s="43"/>
      <c r="R126" s="43"/>
      <c r="S126" s="43"/>
      <c r="T126" s="43"/>
      <c r="U126" s="43"/>
      <c r="V126" s="43"/>
      <c r="W126" s="43"/>
      <c r="X126" s="43"/>
      <c r="Y126" s="43"/>
      <c r="Z126" s="43"/>
    </row>
    <row r="127">
      <c r="A127" s="67" t="str">
        <f>IFERROR(__xludf.DUMMYFUNCTION("""COMPUTED_VALUE"""),"51128")</f>
        <v>51128</v>
      </c>
      <c r="B127" s="35" t="str">
        <f>IFERROR(__xludf.DUMMYFUNCTION("""COMPUTED_VALUE"""),"128")</f>
        <v>128</v>
      </c>
      <c r="C127" s="68">
        <f>IFERROR(__xludf.DUMMYFUNCTION("""COMPUTED_VALUE"""),5.0)</f>
        <v>5</v>
      </c>
      <c r="D127" s="70" t="str">
        <f>IFERROR(__xludf.DUMMYFUNCTION("""COMPUTED_VALUE"""),"Tugu Skatepark")</f>
        <v>Tugu Skatepark</v>
      </c>
      <c r="E127" s="68">
        <f>IFERROR(__xludf.DUMMYFUNCTION("""COMPUTED_VALUE"""),1.0)</f>
        <v>1</v>
      </c>
      <c r="F127" s="20" t="str">
        <f>IFERROR(__xludf.DUMMYFUNCTION("""COMPUTED_VALUE"""),"Buat kamu yang suka dengan olahraga ekstrem skateboarding, ada tempat yang bisa jadi arena unjuk kebolehanmu, lho, di bilangan Bekasi, tepatnya di daerah Pekayon. Tugu Skatepark didirikan pada tahun 2012, dan di arena skate ini pengunjung yang datang bany"&amp;"ak juga yang berasal dari luar Bekasi. Selain menyewakan arena skate, di Tugu juga menjual berbagai aksesoris skateboard, seperti papan skate, sepatu, tas dan kaos.  ")</f>
        <v>Buat kamu yang suka dengan olahraga ekstrem skateboarding, ada tempat yang bisa jadi arena unjuk kebolehanmu, lho, di bilangan Bekasi, tepatnya di daerah Pekayon. Tugu Skatepark didirikan pada tahun 2012, dan di arena skate ini pengunjung yang datang banyak juga yang berasal dari luar Bekasi. Selain menyewakan arena skate, di Tugu juga menjual berbagai aksesoris skateboard, seperti papan skate, sepatu, tas dan kaos.  </v>
      </c>
      <c r="G127" s="58" t="str">
        <f>IFERROR(__xludf.DUMMYFUNCTION("""COMPUTED_VALUE"""),"-6.25906")</f>
        <v>-6.25906</v>
      </c>
      <c r="H127" s="58" t="str">
        <f>IFERROR(__xludf.DUMMYFUNCTION("""COMPUTED_VALUE"""),"106.9821224")</f>
        <v>106.9821224</v>
      </c>
      <c r="I127" s="43" t="str">
        <f>IFERROR(__xludf.DUMMYFUNCTION("""COMPUTED_VALUE"""),"Everyday")</f>
        <v>Everyday</v>
      </c>
      <c r="J127" s="63" t="str">
        <f>IFERROR(__xludf.DUMMYFUNCTION("""COMPUTED_VALUE"""),"Free")</f>
        <v>Free</v>
      </c>
      <c r="K127" s="43"/>
      <c r="L127" s="43"/>
      <c r="M127" s="43"/>
      <c r="N127" s="43"/>
      <c r="O127" s="43"/>
      <c r="P127" s="43"/>
      <c r="Q127" s="43"/>
      <c r="R127" s="43"/>
      <c r="S127" s="43"/>
      <c r="T127" s="43"/>
      <c r="U127" s="43"/>
      <c r="V127" s="43"/>
      <c r="W127" s="43"/>
      <c r="X127" s="43"/>
      <c r="Y127" s="43"/>
      <c r="Z127" s="43"/>
    </row>
    <row r="128">
      <c r="A128" s="67" t="str">
        <f>IFERROR(__xludf.DUMMYFUNCTION("""COMPUTED_VALUE"""),"51129")</f>
        <v>51129</v>
      </c>
      <c r="B128" s="35" t="str">
        <f>IFERROR(__xludf.DUMMYFUNCTION("""COMPUTED_VALUE"""),"129")</f>
        <v>129</v>
      </c>
      <c r="C128" s="68">
        <f>IFERROR(__xludf.DUMMYFUNCTION("""COMPUTED_VALUE"""),5.0)</f>
        <v>5</v>
      </c>
      <c r="D128" s="70" t="str">
        <f>IFERROR(__xludf.DUMMYFUNCTION("""COMPUTED_VALUE"""),"Taman Buaya Indonesia Jaya")</f>
        <v>Taman Buaya Indonesia Jaya</v>
      </c>
      <c r="E128" s="68">
        <f>IFERROR(__xludf.DUMMYFUNCTION("""COMPUTED_VALUE"""),1.0)</f>
        <v>1</v>
      </c>
      <c r="F128" s="20" t="str">
        <f>IFERROR(__xludf.DUMMYFUNCTION("""COMPUTED_VALUE"""),"Ini adalah tempat wisata di Bekasi yang tak boleh dilewatkan pecinta buaya. Taman Buaya Indonesia Jaya merupakan tempat penangkaran buaya yang berada di Jalan Raya Serang Cibarusah, Desa Sukaragam. Sebelum masuk, kamu akan disambut dengan sebuah patung bu"&amp;"aya besar di halaman depan tempat penangkaran buaya ini. 
Tempat wisata yang dibangun pada tahun 1990 ini memiliki 5 kolam besar yang mampu menampung masing-masing 100 ekor buaya. Kolam-kolam ini dibatasi dengan pagar besi setinggi 1,5 meter demi keama"&amp;"nan pengunjung. Tak hanya kolam penampungan buaya dewasa, di tempat penangkaran ini juga terdapat ruang penetasan telur buaya dan kolam kecil untuk bayi buaya. Selain buaya, kamu juga bisa menemukan kandang monyet di sini. 
Yang menarik, kamu bisa meny"&amp;"aksikan pertunjukan debus Banten di mana pemainnya melawan buaya dan ular buas di sini. Pertunjukan ini diadakan setiap hari Minggu dan hari libur lainnya dua kali dalam sehari, yaitu pada pukul 11:00 dan 14:00. Jika melewatkan pertunjukan debus, kamu mas"&amp;"ih bisa menikmati tempat wisata di Bekasi ini dengan memetik buah sawo sepuasnya langsung dari pohonnya di sini.
")</f>
        <v>Ini adalah tempat wisata di Bekasi yang tak boleh dilewatkan pecinta buaya. Taman Buaya Indonesia Jaya merupakan tempat penangkaran buaya yang berada di Jalan Raya Serang Cibarusah, Desa Sukaragam. Sebelum masuk, kamu akan disambut dengan sebuah patung buaya besar di halaman depan tempat penangkaran buaya ini. 
Tempat wisata yang dibangun pada tahun 1990 ini memiliki 5 kolam besar yang mampu menampung masing-masing 100 ekor buaya. Kolam-kolam ini dibatasi dengan pagar besi setinggi 1,5 meter demi keamanan pengunjung. Tak hanya kolam penampungan buaya dewasa, di tempat penangkaran ini juga terdapat ruang penetasan telur buaya dan kolam kecil untuk bayi buaya. Selain buaya, kamu juga bisa menemukan kandang monyet di sini. 
Yang menarik, kamu bisa menyaksikan pertunjukan debus Banten di mana pemainnya melawan buaya dan ular buas di sini. Pertunjukan ini diadakan setiap hari Minggu dan hari libur lainnya dua kali dalam sehari, yaitu pada pukul 11:00 dan 14:00. Jika melewatkan pertunjukan debus, kamu masih bisa menikmati tempat wisata di Bekasi ini dengan memetik buah sawo sepuasnya langsung dari pohonnya di sini.
</v>
      </c>
      <c r="G128" s="58" t="str">
        <f>IFERROR(__xludf.DUMMYFUNCTION("""COMPUTED_VALUE"""),"-6.3930612")</f>
        <v>-6.3930612</v>
      </c>
      <c r="H128" s="58" t="str">
        <f>IFERROR(__xludf.DUMMYFUNCTION("""COMPUTED_VALUE"""),"107.0847378")</f>
        <v>107.0847378</v>
      </c>
      <c r="I128" s="43" t="str">
        <f>IFERROR(__xludf.DUMMYFUNCTION("""COMPUTED_VALUE"""),"Weekdays")</f>
        <v>Weekdays</v>
      </c>
      <c r="J128" s="63" t="str">
        <f>IFERROR(__xludf.DUMMYFUNCTION("""COMPUTED_VALUE"""),"25000")</f>
        <v>25000</v>
      </c>
      <c r="K128" s="43"/>
      <c r="L128" s="43"/>
      <c r="M128" s="43"/>
      <c r="N128" s="43"/>
      <c r="O128" s="43"/>
      <c r="P128" s="43"/>
      <c r="Q128" s="43"/>
      <c r="R128" s="43"/>
      <c r="S128" s="43"/>
      <c r="T128" s="43"/>
      <c r="U128" s="43"/>
      <c r="V128" s="43"/>
      <c r="W128" s="43"/>
      <c r="X128" s="43"/>
      <c r="Y128" s="43"/>
      <c r="Z128" s="43"/>
    </row>
    <row r="129">
      <c r="A129" s="67" t="str">
        <f>IFERROR(__xludf.DUMMYFUNCTION("""COMPUTED_VALUE"""),"52130")</f>
        <v>52130</v>
      </c>
      <c r="B129" s="35" t="str">
        <f>IFERROR(__xludf.DUMMYFUNCTION("""COMPUTED_VALUE"""),"130")</f>
        <v>130</v>
      </c>
      <c r="C129" s="68">
        <f>IFERROR(__xludf.DUMMYFUNCTION("""COMPUTED_VALUE"""),5.0)</f>
        <v>5</v>
      </c>
      <c r="D129" s="70" t="str">
        <f>IFERROR(__xludf.DUMMYFUNCTION("""COMPUTED_VALUE"""),"Klenteng Hok Lay Kiong")</f>
        <v>Klenteng Hok Lay Kiong</v>
      </c>
      <c r="E129" s="68">
        <f>IFERROR(__xludf.DUMMYFUNCTION("""COMPUTED_VALUE"""),2.0)</f>
        <v>2</v>
      </c>
      <c r="F129" s="20" t="str">
        <f>IFERROR(__xludf.DUMMYFUNCTION("""COMPUTED_VALUE"""),"Klenteng Hok Lay Kiong merupakan salah satu klenteng tertua di Bekasi. Tak ada yang tahu pasti kapan tepatnya klenteng yang berada di Jalan Kenari, Margahayu, ini dibangun, namun diperkirakan klenteng ini sudah berdiri sejak 300 sampai 400 tahun yang lalu"&amp;". Tak berbeda dengan kebanyakan klenteng, di sini warna merah masih mendominasi bangunan dan segala ornamennya. 
Jika ingin menikmati suasana yang berbeda dengan hari lainnya, cobalah datang pada saat perayaan imlek. Saat itu, biasa dilakukan upacara p"&amp;"enyucian patung dewa dan karnaval barongsai. Ada juga ritual Tabur Sial, di mana dilakukan pelarungan kertas berisi harapan ke Sungai Bekasi dan pelepasan kura-kura.")</f>
        <v>Klenteng Hok Lay Kiong merupakan salah satu klenteng tertua di Bekasi. Tak ada yang tahu pasti kapan tepatnya klenteng yang berada di Jalan Kenari, Margahayu, ini dibangun, namun diperkirakan klenteng ini sudah berdiri sejak 300 sampai 400 tahun yang lalu. Tak berbeda dengan kebanyakan klenteng, di sini warna merah masih mendominasi bangunan dan segala ornamennya. 
Jika ingin menikmati suasana yang berbeda dengan hari lainnya, cobalah datang pada saat perayaan imlek. Saat itu, biasa dilakukan upacara penyucian patung dewa dan karnaval barongsai. Ada juga ritual Tabur Sial, di mana dilakukan pelarungan kertas berisi harapan ke Sungai Bekasi dan pelepasan kura-kura.</v>
      </c>
      <c r="G129" s="58" t="str">
        <f>IFERROR(__xludf.DUMMYFUNCTION("""COMPUTED_VALUE"""),"-6.2440966")</f>
        <v>-6.2440966</v>
      </c>
      <c r="H129" s="58" t="str">
        <f>IFERROR(__xludf.DUMMYFUNCTION("""COMPUTED_VALUE"""),"107.0006544")</f>
        <v>107.0006544</v>
      </c>
      <c r="I129" s="43" t="str">
        <f>IFERROR(__xludf.DUMMYFUNCTION("""COMPUTED_VALUE"""),"Everyday")</f>
        <v>Everyday</v>
      </c>
      <c r="J129" s="63" t="str">
        <f>IFERROR(__xludf.DUMMYFUNCTION("""COMPUTED_VALUE"""),"Free")</f>
        <v>Free</v>
      </c>
      <c r="K129" s="43"/>
      <c r="L129" s="43"/>
      <c r="M129" s="43"/>
      <c r="N129" s="43"/>
      <c r="O129" s="43"/>
      <c r="P129" s="43"/>
      <c r="Q129" s="43"/>
      <c r="R129" s="43"/>
      <c r="S129" s="43"/>
      <c r="T129" s="43"/>
      <c r="U129" s="43"/>
      <c r="V129" s="43"/>
      <c r="W129" s="43"/>
      <c r="X129" s="43"/>
      <c r="Y129" s="43"/>
      <c r="Z129" s="43"/>
    </row>
    <row r="130">
      <c r="A130" s="67" t="str">
        <f>IFERROR(__xludf.DUMMYFUNCTION("""COMPUTED_VALUE"""),"52131")</f>
        <v>52131</v>
      </c>
      <c r="B130" s="35" t="str">
        <f>IFERROR(__xludf.DUMMYFUNCTION("""COMPUTED_VALUE"""),"131")</f>
        <v>131</v>
      </c>
      <c r="C130" s="68">
        <f>IFERROR(__xludf.DUMMYFUNCTION("""COMPUTED_VALUE"""),5.0)</f>
        <v>5</v>
      </c>
      <c r="D130" s="70" t="str">
        <f>IFERROR(__xludf.DUMMYFUNCTION("""COMPUTED_VALUE"""),"Saung Ranggon")</f>
        <v>Saung Ranggon</v>
      </c>
      <c r="E130" s="68">
        <f>IFERROR(__xludf.DUMMYFUNCTION("""COMPUTED_VALUE"""),2.0)</f>
        <v>2</v>
      </c>
      <c r="F130" s="20" t="str">
        <f>IFERROR(__xludf.DUMMYFUNCTION("""COMPUTED_VALUE"""),"Bekasi yang kita anggap daerah dari planet lain ternyata menyimpan beberapa spot menarik yang asik dikunjungi. Salah satunya adalah Saung Ranggon. Saung Ranggon adalah rumah panggung kuno yang berada di Desa Cikedokan, Cikarang Barat. Saung ini berukuran "&amp;"7,6 x 7,2 meter dengan tinggi lantai 2,5 lantai dari atas tanah. Terdapat tujuh buah anak tangga untuk naik ke lantai utama. Bagian dalam saung merupakan ruangan luas tanpa sekat ataupun jendela.
Tempat wisata di Bekasi ini dibangun pada abad ke-16 ole"&amp;"h Pangeran Rangga yang merupakan anak dari Pangeran Jayakarta. Pangeran Rangga membangun saung ini sebagai tempat persembunyian saat lari dari kejaran Belanda. Saung Ranggon baru ditemukan pada tahun 1821 oleh Raden Abbas. Meskipun telah mengalami renovas"&amp;"i beberapa kali, namun bangunan dan ornamennya sebagian besar masih asli. Buat kamu yang penasaran dengan Harta-yang-tersembunyi di Bekasi ini, mendingan langsung datang kesini. ")</f>
        <v>Bekasi yang kita anggap daerah dari planet lain ternyata menyimpan beberapa spot menarik yang asik dikunjungi. Salah satunya adalah Saung Ranggon. Saung Ranggon adalah rumah panggung kuno yang berada di Desa Cikedokan, Cikarang Barat. Saung ini berukuran 7,6 x 7,2 meter dengan tinggi lantai 2,5 lantai dari atas tanah. Terdapat tujuh buah anak tangga untuk naik ke lantai utama. Bagian dalam saung merupakan ruangan luas tanpa sekat ataupun jendela.
Tempat wisata di Bekasi ini dibangun pada abad ke-16 oleh Pangeran Rangga yang merupakan anak dari Pangeran Jayakarta. Pangeran Rangga membangun saung ini sebagai tempat persembunyian saat lari dari kejaran Belanda. Saung Ranggon baru ditemukan pada tahun 1821 oleh Raden Abbas. Meskipun telah mengalami renovasi beberapa kali, namun bangunan dan ornamennya sebagian besar masih asli. Buat kamu yang penasaran dengan Harta-yang-tersembunyi di Bekasi ini, mendingan langsung datang kesini. </v>
      </c>
      <c r="G130" s="58" t="str">
        <f>IFERROR(__xludf.DUMMYFUNCTION("""COMPUTED_VALUE"""),"-6.3386474")</f>
        <v>-6.3386474</v>
      </c>
      <c r="H130" s="58" t="str">
        <f>IFERROR(__xludf.DUMMYFUNCTION("""COMPUTED_VALUE"""),"107.0683878")</f>
        <v>107.0683878</v>
      </c>
      <c r="I130" s="43" t="str">
        <f>IFERROR(__xludf.DUMMYFUNCTION("""COMPUTED_VALUE"""),"Everyday")</f>
        <v>Everyday</v>
      </c>
      <c r="J130" s="63" t="str">
        <f>IFERROR(__xludf.DUMMYFUNCTION("""COMPUTED_VALUE"""),"25000")</f>
        <v>25000</v>
      </c>
      <c r="K130" s="43"/>
      <c r="L130" s="43"/>
      <c r="M130" s="43"/>
      <c r="N130" s="43"/>
      <c r="O130" s="43"/>
      <c r="P130" s="43"/>
      <c r="Q130" s="43"/>
      <c r="R130" s="43"/>
      <c r="S130" s="43"/>
      <c r="T130" s="43"/>
      <c r="U130" s="43"/>
      <c r="V130" s="43"/>
      <c r="W130" s="43"/>
      <c r="X130" s="43"/>
      <c r="Y130" s="43"/>
      <c r="Z130" s="43"/>
    </row>
    <row r="131">
      <c r="A131" s="67" t="str">
        <f>IFERROR(__xludf.DUMMYFUNCTION("""COMPUTED_VALUE"""),"52132")</f>
        <v>52132</v>
      </c>
      <c r="B131" s="35" t="str">
        <f>IFERROR(__xludf.DUMMYFUNCTION("""COMPUTED_VALUE"""),"132")</f>
        <v>132</v>
      </c>
      <c r="C131" s="68">
        <f>IFERROR(__xludf.DUMMYFUNCTION("""COMPUTED_VALUE"""),5.0)</f>
        <v>5</v>
      </c>
      <c r="D131" s="70" t="str">
        <f>IFERROR(__xludf.DUMMYFUNCTION("""COMPUTED_VALUE"""),"Nanotenri 2023")</f>
        <v>Nanotenri 2023</v>
      </c>
      <c r="E131" s="68">
        <f>IFERROR(__xludf.DUMMYFUNCTION("""COMPUTED_VALUE"""),2.0)</f>
        <v>2</v>
      </c>
      <c r="F131" s="20" t="str">
        <f>IFERROR(__xludf.DUMMYFUNCTION("""COMPUTED_VALUE"""),"Festival budaya Jepang yang diselenggarakan oleh ekskul Bahasa Jepang SMA Labschool Cibubur dengan lomba - lomba, obakeyashiki, hanabi, special performance dan lain-lain. 
Menampilkan berbagai performance, dari peserta lomba hingga guest star spesial k"&amp;"ami! ")</f>
        <v>Festival budaya Jepang yang diselenggarakan oleh ekskul Bahasa Jepang SMA Labschool Cibubur dengan lomba - lomba, obakeyashiki, hanabi, special performance dan lain-lain. 
Menampilkan berbagai performance, dari peserta lomba hingga guest star spesial kami! </v>
      </c>
      <c r="G131" s="58" t="str">
        <f>IFERROR(__xludf.DUMMYFUNCTION("""COMPUTED_VALUE"""),"-6.3433894")</f>
        <v>-6.3433894</v>
      </c>
      <c r="H131" s="58" t="str">
        <f>IFERROR(__xludf.DUMMYFUNCTION("""COMPUTED_VALUE"""),"106.9252924")</f>
        <v>106.9252924</v>
      </c>
      <c r="I131" s="43" t="str">
        <f>IFERROR(__xludf.DUMMYFUNCTION("""COMPUTED_VALUE"""),"27 Januari 2024")</f>
        <v>27 Januari 2024</v>
      </c>
      <c r="J131" s="63" t="str">
        <f>IFERROR(__xludf.DUMMYFUNCTION("""COMPUTED_VALUE"""),"35000")</f>
        <v>35000</v>
      </c>
      <c r="K131" s="43"/>
      <c r="L131" s="43"/>
      <c r="M131" s="43"/>
      <c r="N131" s="43"/>
      <c r="O131" s="43"/>
      <c r="P131" s="43"/>
      <c r="Q131" s="43"/>
      <c r="R131" s="43"/>
      <c r="S131" s="43"/>
      <c r="T131" s="43"/>
      <c r="U131" s="43"/>
      <c r="V131" s="43"/>
      <c r="W131" s="43"/>
      <c r="X131" s="43"/>
      <c r="Y131" s="43"/>
      <c r="Z131" s="43"/>
    </row>
    <row r="132">
      <c r="A132" s="67" t="str">
        <f>IFERROR(__xludf.DUMMYFUNCTION("""COMPUTED_VALUE"""),"43133")</f>
        <v>43133</v>
      </c>
      <c r="B132" s="35" t="str">
        <f>IFERROR(__xludf.DUMMYFUNCTION("""COMPUTED_VALUE"""),"133")</f>
        <v>133</v>
      </c>
      <c r="C132" s="68">
        <f>IFERROR(__xludf.DUMMYFUNCTION("""COMPUTED_VALUE"""),4.0)</f>
        <v>4</v>
      </c>
      <c r="D132" s="70" t="str">
        <f>IFERROR(__xludf.DUMMYFUNCTION("""COMPUTED_VALUE"""),"BLISSFUL RUN 2023")</f>
        <v>BLISSFUL RUN 2023</v>
      </c>
      <c r="E132" s="68">
        <f>IFERROR(__xludf.DUMMYFUNCTION("""COMPUTED_VALUE"""),3.0)</f>
        <v>3</v>
      </c>
      <c r="F132" s="20" t="str">
        <f>IFERROR(__xludf.DUMMYFUNCTION("""COMPUTED_VALUE"""),"Daftarkan dirimu dalam Fun Run 2,5K dan dapatkan berbagai merchandise menarik hingga kesempatan untuk bertemu dengan Komunitas Olahraga yang bisa bikin kalian makin sehat!
Sabtu, 16 Desember 2023 
Ring-O Area (Broadway, The Flavor Bliss) 
05.30 -"&amp;" 09.30
Get ready to
Bliss.
Run.
Repeat  ")</f>
        <v>Daftarkan dirimu dalam Fun Run 2,5K dan dapatkan berbagai merchandise menarik hingga kesempatan untuk bertemu dengan Komunitas Olahraga yang bisa bikin kalian makin sehat!
Sabtu, 16 Desember 2023 
Ring-O Area (Broadway, The Flavor Bliss) 
05.30 - 09.30
Get ready to
Bliss.
Run.
Repeat  </v>
      </c>
      <c r="G132" s="58" t="str">
        <f>IFERROR(__xludf.DUMMYFUNCTION("""COMPUTED_VALUE"""),"-6.2429921")</f>
        <v>-6.2429921</v>
      </c>
      <c r="H132" s="58" t="str">
        <f>IFERROR(__xludf.DUMMYFUNCTION("""COMPUTED_VALUE"""),"106.6519753")</f>
        <v>106.6519753</v>
      </c>
      <c r="I132" s="43" t="str">
        <f>IFERROR(__xludf.DUMMYFUNCTION("""COMPUTED_VALUE"""),"16 Desember 2023")</f>
        <v>16 Desember 2023</v>
      </c>
      <c r="J132" s="63" t="str">
        <f>IFERROR(__xludf.DUMMYFUNCTION("""COMPUTED_VALUE"""),"100000")</f>
        <v>100000</v>
      </c>
      <c r="K132" s="43"/>
      <c r="L132" s="43"/>
      <c r="M132" s="43"/>
      <c r="N132" s="43"/>
      <c r="O132" s="43"/>
      <c r="P132" s="43"/>
      <c r="Q132" s="43"/>
      <c r="R132" s="43"/>
      <c r="S132" s="43"/>
      <c r="T132" s="43"/>
      <c r="U132" s="43"/>
      <c r="V132" s="43"/>
      <c r="W132" s="43"/>
      <c r="X132" s="43"/>
      <c r="Y132" s="43"/>
      <c r="Z132" s="43"/>
    </row>
    <row r="133">
      <c r="A133" s="67" t="str">
        <f>IFERROR(__xludf.DUMMYFUNCTION("""COMPUTED_VALUE"""),"51134")</f>
        <v>51134</v>
      </c>
      <c r="B133" s="35" t="str">
        <f>IFERROR(__xludf.DUMMYFUNCTION("""COMPUTED_VALUE"""),"134")</f>
        <v>134</v>
      </c>
      <c r="C133" s="68">
        <f>IFERROR(__xludf.DUMMYFUNCTION("""COMPUTED_VALUE"""),5.0)</f>
        <v>5</v>
      </c>
      <c r="D133" s="70" t="str">
        <f>IFERROR(__xludf.DUMMYFUNCTION("""COMPUTED_VALUE"""),"Go! Wet Waterpark")</f>
        <v>Go! Wet Waterpark</v>
      </c>
      <c r="E133" s="68">
        <f>IFERROR(__xludf.DUMMYFUNCTION("""COMPUTED_VALUE"""),1.0)</f>
        <v>1</v>
      </c>
      <c r="F133" s="20" t="str">
        <f>IFERROR(__xludf.DUMMYFUNCTION("""COMPUTED_VALUE"""),"Are you and your family members up for some thrilling rides on your next short getaway? If that's the case, go pump up your adrenaline at Go! Wet Waterpark Bekasi! Bring your whole family along and enjoy exciting slides, such as Go! Splash, Go! Speed, and"&amp;" Go! Sprint. If you need to catch a break, simply relax in the Go! Lazy where you can cruise down the pool surrounded by lush greenery.
You have your kids with you? Worry no more! Go! Wet Waterpark will keep your little ones busy playing at the childre"&amp;"n-friendly rides. Go take them to have the time of their lives at the Go! Fun, Go! Boomer, Go! Play, Go! Round, and also Go! Spray. At the end of the day, you and your family will have the best holiday experience ever!")</f>
        <v>Are you and your family members up for some thrilling rides on your next short getaway? If that's the case, go pump up your adrenaline at Go! Wet Waterpark Bekasi! Bring your whole family along and enjoy exciting slides, such as Go! Splash, Go! Speed, and Go! Sprint. If you need to catch a break, simply relax in the Go! Lazy where you can cruise down the pool surrounded by lush greenery.
You have your kids with you? Worry no more! Go! Wet Waterpark will keep your little ones busy playing at the children-friendly rides. Go take them to have the time of their lives at the Go! Fun, Go! Boomer, Go! Play, Go! Round, and also Go! Spray. At the end of the day, you and your family will have the best holiday experience ever!</v>
      </c>
      <c r="G133" s="58" t="str">
        <f>IFERROR(__xludf.DUMMYFUNCTION("""COMPUTED_VALUE"""),"-6.2978275")</f>
        <v>-6.2978275</v>
      </c>
      <c r="H133" s="58" t="str">
        <f>IFERROR(__xludf.DUMMYFUNCTION("""COMPUTED_VALUE"""),"107.0482725")</f>
        <v>107.0482725</v>
      </c>
      <c r="I133" s="43" t="str">
        <f>IFERROR(__xludf.DUMMYFUNCTION("""COMPUTED_VALUE"""),"Everyday")</f>
        <v>Everyday</v>
      </c>
      <c r="J133" s="63" t="str">
        <f>IFERROR(__xludf.DUMMYFUNCTION("""COMPUTED_VALUE"""),"66000")</f>
        <v>66000</v>
      </c>
      <c r="K133" s="43"/>
      <c r="L133" s="43"/>
      <c r="M133" s="43"/>
      <c r="N133" s="43"/>
      <c r="O133" s="43"/>
      <c r="P133" s="43"/>
      <c r="Q133" s="43"/>
      <c r="R133" s="43"/>
      <c r="S133" s="43"/>
      <c r="T133" s="43"/>
      <c r="U133" s="43"/>
      <c r="V133" s="43"/>
      <c r="W133" s="43"/>
      <c r="X133" s="43"/>
      <c r="Y133" s="43"/>
      <c r="Z133" s="43"/>
    </row>
    <row r="134">
      <c r="A134" s="67" t="str">
        <f>IFERROR(__xludf.DUMMYFUNCTION("""COMPUTED_VALUE"""),"51135")</f>
        <v>51135</v>
      </c>
      <c r="B134" s="67" t="str">
        <f>IFERROR(__xludf.DUMMYFUNCTION("""COMPUTED_VALUE"""),"135")</f>
        <v>135</v>
      </c>
      <c r="C134" s="68">
        <f>IFERROR(__xludf.DUMMYFUNCTION("""COMPUTED_VALUE"""),5.0)</f>
        <v>5</v>
      </c>
      <c r="D134" s="70" t="str">
        <f>IFERROR(__xludf.DUMMYFUNCTION("""COMPUTED_VALUE"""),"Waterboom Lippo Cikarang")</f>
        <v>Waterboom Lippo Cikarang</v>
      </c>
      <c r="E134" s="68">
        <f>IFERROR(__xludf.DUMMYFUNCTION("""COMPUTED_VALUE"""),1.0)</f>
        <v>1</v>
      </c>
      <c r="F134" s="20" t="str">
        <f>IFERROR(__xludf.DUMMYFUNCTION("""COMPUTED_VALUE"""),"Bertemakan alam Bali, Waterboom Lippo Cikarang merupakan tempat yang tepat untuk liburan keluarga. Dari kolam renang, seluncuran, dan lazy river, taman air ini memiliki semuanya dan maish banyak lagi! Bingung mau mulai petuangalan Anda darimana? Coba saja"&amp;" wahana populernya lebih dulu, seperti Keong Kompyang dan Jeram Berang-Berang. Lalu, bersantailah di Kolam Ceria ditemani segelas (atau lebih) minuman segar dari Juice Station. Sementara itu, si kecil bisa bermain di Kiddy Area dan Kolam Arus Anak.
Di "&amp;"sini, Anda juga bisa memanjakan diri dengan perawatan spa atau bahkan fish therapy. Ada juga fasilitas outbound dengan permainan dan instruktur profesional untuk menemani pengunjung. Jangan lupa nikmati kuliner Bali di restoran dan minuman-minuman segar d"&amp;"i café. Baik untuk bersantai dikelilingi taman hijau atau bermain di seluncuran yang memacu adrenalin, inilah tempat yang tepat untuk liburan singkat yang menyenangkan!")</f>
        <v>Bertemakan alam Bali, Waterboom Lippo Cikarang merupakan tempat yang tepat untuk liburan keluarga. Dari kolam renang, seluncuran, dan lazy river, taman air ini memiliki semuanya dan maish banyak lagi! Bingung mau mulai petuangalan Anda darimana? Coba saja wahana populernya lebih dulu, seperti Keong Kompyang dan Jeram Berang-Berang. Lalu, bersantailah di Kolam Ceria ditemani segelas (atau lebih) minuman segar dari Juice Station. Sementara itu, si kecil bisa bermain di Kiddy Area dan Kolam Arus Anak.
Di sini, Anda juga bisa memanjakan diri dengan perawatan spa atau bahkan fish therapy. Ada juga fasilitas outbound dengan permainan dan instruktur profesional untuk menemani pengunjung. Jangan lupa nikmati kuliner Bali di restoran dan minuman-minuman segar di café. Baik untuk bersantai dikelilingi taman hijau atau bermain di seluncuran yang memacu adrenalin, inilah tempat yang tepat untuk liburan singkat yang menyenangkan!</v>
      </c>
      <c r="G134" s="58" t="str">
        <f>IFERROR(__xludf.DUMMYFUNCTION("""COMPUTED_VALUE"""),"-6.3313907")</f>
        <v>-6.3313907</v>
      </c>
      <c r="H134" s="58" t="str">
        <f>IFERROR(__xludf.DUMMYFUNCTION("""COMPUTED_VALUE"""),"107.1357055")</f>
        <v>107.1357055</v>
      </c>
      <c r="I134" s="43" t="str">
        <f>IFERROR(__xludf.DUMMYFUNCTION("""COMPUTED_VALUE"""),"Everyday")</f>
        <v>Everyday</v>
      </c>
      <c r="J134" s="63" t="str">
        <f>IFERROR(__xludf.DUMMYFUNCTION("""COMPUTED_VALUE"""),"50000")</f>
        <v>50000</v>
      </c>
      <c r="K134" s="43"/>
      <c r="L134" s="43"/>
      <c r="M134" s="43"/>
      <c r="N134" s="43"/>
      <c r="O134" s="43"/>
      <c r="P134" s="43"/>
      <c r="Q134" s="43"/>
      <c r="R134" s="43"/>
      <c r="S134" s="43"/>
      <c r="T134" s="43"/>
      <c r="U134" s="43"/>
      <c r="V134" s="43"/>
      <c r="W134" s="43"/>
      <c r="X134" s="43"/>
      <c r="Y134" s="43"/>
      <c r="Z134" s="43"/>
    </row>
    <row r="135">
      <c r="A135" s="67" t="str">
        <f>IFERROR(__xludf.DUMMYFUNCTION("""COMPUTED_VALUE"""),"22136")</f>
        <v>22136</v>
      </c>
      <c r="B135" s="67" t="str">
        <f>IFERROR(__xludf.DUMMYFUNCTION("""COMPUTED_VALUE"""),"136")</f>
        <v>136</v>
      </c>
      <c r="C135" s="68">
        <f>IFERROR(__xludf.DUMMYFUNCTION("""COMPUTED_VALUE"""),2.0)</f>
        <v>2</v>
      </c>
      <c r="D135" s="70" t="str">
        <f>IFERROR(__xludf.DUMMYFUNCTION("""COMPUTED_VALUE"""),"Kebun Raya Bogor")</f>
        <v>Kebun Raya Bogor</v>
      </c>
      <c r="E135" s="68">
        <f>IFERROR(__xludf.DUMMYFUNCTION("""COMPUTED_VALUE"""),2.0)</f>
        <v>2</v>
      </c>
      <c r="F135" s="20" t="str">
        <f>IFERROR(__xludf.DUMMYFUNCTION("""COMPUTED_VALUE"""),"Kebun Raya Bogor merupakan salah satu taman botani terbesar di Asia Tenggara. Kebun ini memiliki luas sekitar 87 hektar dan memiliki koleksi tanaman yang sangat beragam, mulai dari tanaman tropis, subtropis, hingga tanaman langka. Kebun Raya Bogor juga me"&amp;"miliki banyak fasilitas yang dapat digunakan oleh pengunjung, seperti taman bermain, restoran, dan kafe.")</f>
        <v>Kebun Raya Bogor merupakan salah satu taman botani terbesar di Asia Tenggara. Kebun ini memiliki luas sekitar 87 hektar dan memiliki koleksi tanaman yang sangat beragam, mulai dari tanaman tropis, subtropis, hingga tanaman langka. Kebun Raya Bogor juga memiliki banyak fasilitas yang dapat digunakan oleh pengunjung, seperti taman bermain, restoran, dan kafe.</v>
      </c>
      <c r="G135" s="58" t="str">
        <f>IFERROR(__xludf.DUMMYFUNCTION("""COMPUTED_VALUE"""),"-6.5976236")</f>
        <v>-6.5976236</v>
      </c>
      <c r="H135" s="58" t="str">
        <f>IFERROR(__xludf.DUMMYFUNCTION("""COMPUTED_VALUE"""),"106.7969895")</f>
        <v>106.7969895</v>
      </c>
      <c r="I135" s="43" t="str">
        <f>IFERROR(__xludf.DUMMYFUNCTION("""COMPUTED_VALUE"""),"Everyday")</f>
        <v>Everyday</v>
      </c>
      <c r="J135" s="63" t="str">
        <f>IFERROR(__xludf.DUMMYFUNCTION("""COMPUTED_VALUE"""),"25000")</f>
        <v>25000</v>
      </c>
      <c r="K135" s="43"/>
      <c r="L135" s="43"/>
      <c r="M135" s="43"/>
      <c r="N135" s="43"/>
      <c r="O135" s="43"/>
      <c r="P135" s="43"/>
      <c r="Q135" s="43"/>
      <c r="R135" s="43"/>
      <c r="S135" s="43"/>
      <c r="T135" s="43"/>
      <c r="U135" s="43"/>
      <c r="V135" s="43"/>
      <c r="W135" s="43"/>
      <c r="X135" s="43"/>
      <c r="Y135" s="43"/>
      <c r="Z135" s="43"/>
    </row>
    <row r="136">
      <c r="A136" s="67" t="str">
        <f>IFERROR(__xludf.DUMMYFUNCTION("""COMPUTED_VALUE"""),"21137")</f>
        <v>21137</v>
      </c>
      <c r="B136" s="67" t="str">
        <f>IFERROR(__xludf.DUMMYFUNCTION("""COMPUTED_VALUE"""),"137")</f>
        <v>137</v>
      </c>
      <c r="C136" s="68">
        <f>IFERROR(__xludf.DUMMYFUNCTION("""COMPUTED_VALUE"""),2.0)</f>
        <v>2</v>
      </c>
      <c r="D136" s="70" t="str">
        <f>IFERROR(__xludf.DUMMYFUNCTION("""COMPUTED_VALUE"""),"Taman Safari Indonesia")</f>
        <v>Taman Safari Indonesia</v>
      </c>
      <c r="E136" s="68">
        <f>IFERROR(__xludf.DUMMYFUNCTION("""COMPUTED_VALUE"""),1.0)</f>
        <v>1</v>
      </c>
      <c r="F136" s="20" t="str">
        <f>IFERROR(__xludf.DUMMYFUNCTION("""COMPUTED_VALUE"""),"Taman Safari Indonesia merupakan salah satu kebun binatang terbesar di Indonesia. Kebun binatang ini memiliki luas sekitar 170 hektar dan memiliki koleksi satwa yang sangat beragam, mulai dari satwa Afrika, Asia, hingga Amerika. Pengunjung dapat melihat s"&amp;"atwa-satwa tersebut secara langsung dari kendaraan yang telah disediakan")</f>
        <v>Taman Safari Indonesia merupakan salah satu kebun binatang terbesar di Indonesia. Kebun binatang ini memiliki luas sekitar 170 hektar dan memiliki koleksi satwa yang sangat beragam, mulai dari satwa Afrika, Asia, hingga Amerika. Pengunjung dapat melihat satwa-satwa tersebut secara langsung dari kendaraan yang telah disediakan</v>
      </c>
      <c r="G136" s="58" t="str">
        <f>IFERROR(__xludf.DUMMYFUNCTION("""COMPUTED_VALUE"""),"-6.7206439")</f>
        <v>-6.7206439</v>
      </c>
      <c r="H136" s="58" t="str">
        <f>IFERROR(__xludf.DUMMYFUNCTION("""COMPUTED_VALUE"""),"106.9482552")</f>
        <v>106.9482552</v>
      </c>
      <c r="I136" s="43" t="str">
        <f>IFERROR(__xludf.DUMMYFUNCTION("""COMPUTED_VALUE"""),"Everyday")</f>
        <v>Everyday</v>
      </c>
      <c r="J136" s="63" t="str">
        <f>IFERROR(__xludf.DUMMYFUNCTION("""COMPUTED_VALUE"""),"100000")</f>
        <v>100000</v>
      </c>
      <c r="K136" s="43"/>
      <c r="L136" s="43"/>
      <c r="M136" s="43"/>
      <c r="N136" s="43"/>
      <c r="O136" s="43"/>
      <c r="P136" s="43"/>
      <c r="Q136" s="43"/>
      <c r="R136" s="43"/>
      <c r="S136" s="43"/>
      <c r="T136" s="43"/>
      <c r="U136" s="43"/>
      <c r="V136" s="43"/>
      <c r="W136" s="43"/>
      <c r="X136" s="43"/>
      <c r="Y136" s="43"/>
      <c r="Z136" s="43"/>
    </row>
    <row r="137">
      <c r="A137" s="67" t="str">
        <f>IFERROR(__xludf.DUMMYFUNCTION("""COMPUTED_VALUE"""),"21138")</f>
        <v>21138</v>
      </c>
      <c r="B137" s="67" t="str">
        <f>IFERROR(__xludf.DUMMYFUNCTION("""COMPUTED_VALUE"""),"138")</f>
        <v>138</v>
      </c>
      <c r="C137" s="68">
        <f>IFERROR(__xludf.DUMMYFUNCTION("""COMPUTED_VALUE"""),2.0)</f>
        <v>2</v>
      </c>
      <c r="D137" s="70" t="str">
        <f>IFERROR(__xludf.DUMMYFUNCTION("""COMPUTED_VALUE"""),"JungleLand Adventure Theme Park")</f>
        <v>JungleLand Adventure Theme Park</v>
      </c>
      <c r="E137" s="68">
        <f>IFERROR(__xludf.DUMMYFUNCTION("""COMPUTED_VALUE"""),1.0)</f>
        <v>1</v>
      </c>
      <c r="F137" s="20" t="str">
        <f>IFERROR(__xludf.DUMMYFUNCTION("""COMPUTED_VALUE"""),"JungleLand Adventure Theme Park merupakan taman bermain terbesar di Bogor. Taman bermain ini memiliki luas sekitar 35 hektar dan memiliki berbagai macam wahana permainan yang menarik, mulai dari wahana permainan anak-anak hingga wahana permainan dewasa ya"&amp;"ng memacu adrenalin.")</f>
        <v>JungleLand Adventure Theme Park merupakan taman bermain terbesar di Bogor. Taman bermain ini memiliki luas sekitar 35 hektar dan memiliki berbagai macam wahana permainan yang menarik, mulai dari wahana permainan anak-anak hingga wahana permainan dewasa yang memacu adrenalin.</v>
      </c>
      <c r="G137" s="58" t="str">
        <f>IFERROR(__xludf.DUMMYFUNCTION("""COMPUTED_VALUE"""),"-6.5731714")</f>
        <v>-6.5731714</v>
      </c>
      <c r="H137" s="58" t="str">
        <f>IFERROR(__xludf.DUMMYFUNCTION("""COMPUTED_VALUE"""),"106.8886346")</f>
        <v>106.8886346</v>
      </c>
      <c r="I137" s="43" t="str">
        <f>IFERROR(__xludf.DUMMYFUNCTION("""COMPUTED_VALUE"""),"Everyday")</f>
        <v>Everyday</v>
      </c>
      <c r="J137" s="63" t="str">
        <f>IFERROR(__xludf.DUMMYFUNCTION("""COMPUTED_VALUE"""),"150000")</f>
        <v>150000</v>
      </c>
      <c r="K137" s="43"/>
      <c r="L137" s="43"/>
      <c r="M137" s="43"/>
      <c r="N137" s="43"/>
      <c r="O137" s="43"/>
      <c r="P137" s="43"/>
      <c r="Q137" s="43"/>
      <c r="R137" s="43"/>
      <c r="S137" s="43"/>
      <c r="T137" s="43"/>
      <c r="U137" s="43"/>
      <c r="V137" s="43"/>
      <c r="W137" s="43"/>
      <c r="X137" s="43"/>
      <c r="Y137" s="43"/>
      <c r="Z137" s="43"/>
    </row>
    <row r="138">
      <c r="A138" s="67" t="str">
        <f>IFERROR(__xludf.DUMMYFUNCTION("""COMPUTED_VALUE"""),"21139")</f>
        <v>21139</v>
      </c>
      <c r="B138" s="67" t="str">
        <f>IFERROR(__xludf.DUMMYFUNCTION("""COMPUTED_VALUE"""),"139")</f>
        <v>139</v>
      </c>
      <c r="C138" s="68">
        <f>IFERROR(__xludf.DUMMYFUNCTION("""COMPUTED_VALUE"""),2.0)</f>
        <v>2</v>
      </c>
      <c r="D138" s="70" t="str">
        <f>IFERROR(__xludf.DUMMYFUNCTION("""COMPUTED_VALUE"""),"The Jungle Waterpark")</f>
        <v>The Jungle Waterpark</v>
      </c>
      <c r="E138" s="68">
        <f>IFERROR(__xludf.DUMMYFUNCTION("""COMPUTED_VALUE"""),1.0)</f>
        <v>1</v>
      </c>
      <c r="F138" s="20" t="str">
        <f>IFERROR(__xludf.DUMMYFUNCTION("""COMPUTED_VALUE"""),"The Jungle Waterpark merupakan salah satu taman air terbesar di Bogor. Taman air ini memiliki luas sekitar 3,5 hektar dan memiliki berbagai macam wahana permainan air yang menarik, mulai dari wahana permainan anak-anak hingga wahana permainan dewasa yang "&amp;"seru.")</f>
        <v>The Jungle Waterpark merupakan salah satu taman air terbesar di Bogor. Taman air ini memiliki luas sekitar 3,5 hektar dan memiliki berbagai macam wahana permainan air yang menarik, mulai dari wahana permainan anak-anak hingga wahana permainan dewasa yang seru.</v>
      </c>
      <c r="G138" s="58" t="str">
        <f>IFERROR(__xludf.DUMMYFUNCTION("""COMPUTED_VALUE"""),"-6.5731714")</f>
        <v>-6.5731714</v>
      </c>
      <c r="H138" s="58" t="str">
        <f>IFERROR(__xludf.DUMMYFUNCTION("""COMPUTED_VALUE"""),"106.8886346")</f>
        <v>106.8886346</v>
      </c>
      <c r="I138" s="43" t="str">
        <f>IFERROR(__xludf.DUMMYFUNCTION("""COMPUTED_VALUE"""),"Everyday")</f>
        <v>Everyday</v>
      </c>
      <c r="J138" s="63" t="str">
        <f>IFERROR(__xludf.DUMMYFUNCTION("""COMPUTED_VALUE"""),"180000")</f>
        <v>180000</v>
      </c>
      <c r="K138" s="43"/>
      <c r="L138" s="43"/>
      <c r="M138" s="43"/>
      <c r="N138" s="43"/>
      <c r="O138" s="43"/>
      <c r="P138" s="43"/>
      <c r="Q138" s="43"/>
      <c r="R138" s="43"/>
      <c r="S138" s="43"/>
      <c r="T138" s="43"/>
      <c r="U138" s="43"/>
      <c r="V138" s="43"/>
      <c r="W138" s="43"/>
      <c r="X138" s="43"/>
      <c r="Y138" s="43"/>
      <c r="Z138" s="43"/>
    </row>
    <row r="139">
      <c r="A139" s="67" t="str">
        <f>IFERROR(__xludf.DUMMYFUNCTION("""COMPUTED_VALUE"""),"22140")</f>
        <v>22140</v>
      </c>
      <c r="B139" s="67" t="str">
        <f>IFERROR(__xludf.DUMMYFUNCTION("""COMPUTED_VALUE"""),"140")</f>
        <v>140</v>
      </c>
      <c r="C139" s="68">
        <f>IFERROR(__xludf.DUMMYFUNCTION("""COMPUTED_VALUE"""),2.0)</f>
        <v>2</v>
      </c>
      <c r="D139" s="70" t="str">
        <f>IFERROR(__xludf.DUMMYFUNCTION("""COMPUTED_VALUE"""),"Museum Zoologi Bogor")</f>
        <v>Museum Zoologi Bogor</v>
      </c>
      <c r="E139" s="68">
        <f>IFERROR(__xludf.DUMMYFUNCTION("""COMPUTED_VALUE"""),2.0)</f>
        <v>2</v>
      </c>
      <c r="F139" s="20" t="str">
        <f>IFERROR(__xludf.DUMMYFUNCTION("""COMPUTED_VALUE"""),"Museum Zoologi Bogor merupakan salah satu museum zoologi tertua di Indonesia. Museum ini memiliki koleksi fosil, spesimen, dan preparat hewan yang sangat beragam, mulai dari hewan purba hingga hewan modern. Museum Zoologi Bogor juga memiliki fasilitas yan"&amp;"g dapat digunakan oleh pengunjung, seperti perpustakaan, ruang audio visual, dan ruang edukasi.")</f>
        <v>Museum Zoologi Bogor merupakan salah satu museum zoologi tertua di Indonesia. Museum ini memiliki koleksi fosil, spesimen, dan preparat hewan yang sangat beragam, mulai dari hewan purba hingga hewan modern. Museum Zoologi Bogor juga memiliki fasilitas yang dapat digunakan oleh pengunjung, seperti perpustakaan, ruang audio visual, dan ruang edukasi.</v>
      </c>
      <c r="G139" s="58" t="str">
        <f>IFERROR(__xludf.DUMMYFUNCTION("""COMPUTED_VALUE"""),"-6.6036081")</f>
        <v>-6.6036081</v>
      </c>
      <c r="H139" s="58" t="str">
        <f>IFERROR(__xludf.DUMMYFUNCTION("""COMPUTED_VALUE"""),"106.7943564")</f>
        <v>106.7943564</v>
      </c>
      <c r="I139" s="43" t="str">
        <f>IFERROR(__xludf.DUMMYFUNCTION("""COMPUTED_VALUE"""),"Everyday")</f>
        <v>Everyday</v>
      </c>
      <c r="J139" s="63" t="str">
        <f>IFERROR(__xludf.DUMMYFUNCTION("""COMPUTED_VALUE"""),"25000")</f>
        <v>25000</v>
      </c>
      <c r="K139" s="43"/>
      <c r="L139" s="43"/>
      <c r="M139" s="43"/>
      <c r="N139" s="43"/>
      <c r="O139" s="43"/>
      <c r="P139" s="43"/>
      <c r="Q139" s="43"/>
      <c r="R139" s="43"/>
      <c r="S139" s="43"/>
      <c r="T139" s="43"/>
      <c r="U139" s="43"/>
      <c r="V139" s="43"/>
      <c r="W139" s="43"/>
      <c r="X139" s="43"/>
      <c r="Y139" s="43"/>
      <c r="Z139" s="43"/>
    </row>
    <row r="140">
      <c r="A140" s="67" t="str">
        <f>IFERROR(__xludf.DUMMYFUNCTION("""COMPUTED_VALUE"""),"21141")</f>
        <v>21141</v>
      </c>
      <c r="B140" s="67" t="str">
        <f>IFERROR(__xludf.DUMMYFUNCTION("""COMPUTED_VALUE"""),"141")</f>
        <v>141</v>
      </c>
      <c r="C140" s="68">
        <f>IFERROR(__xludf.DUMMYFUNCTION("""COMPUTED_VALUE"""),2.0)</f>
        <v>2</v>
      </c>
      <c r="D140" s="70" t="str">
        <f>IFERROR(__xludf.DUMMYFUNCTION("""COMPUTED_VALUE"""),"Kebun Binatang Taman Yasmin")</f>
        <v>Kebun Binatang Taman Yasmin</v>
      </c>
      <c r="E140" s="68">
        <f>IFERROR(__xludf.DUMMYFUNCTION("""COMPUTED_VALUE"""),1.0)</f>
        <v>1</v>
      </c>
      <c r="F140" s="20" t="str">
        <f>IFERROR(__xludf.DUMMYFUNCTION("""COMPUTED_VALUE"""),"Kebun Binatang Taman Yasmin merupakan salah satu kebun binatang yang populer di Bogor. Kebun binatang ini memiliki luas sekitar 10 hektar dan memiliki koleksi satwa yang beragam, mulai dari satwa lokal hingga satwa asing. Kebun Binatang Taman Yasmin juga "&amp;"memiliki fasilitas yang dapat digunakan oleh pengunjung, seperti taman bermain, restoran, dan kafe.")</f>
        <v>Kebun Binatang Taman Yasmin merupakan salah satu kebun binatang yang populer di Bogor. Kebun binatang ini memiliki luas sekitar 10 hektar dan memiliki koleksi satwa yang beragam, mulai dari satwa lokal hingga satwa asing. Kebun Binatang Taman Yasmin juga memiliki fasilitas yang dapat digunakan oleh pengunjung, seperti taman bermain, restoran, dan kafe.</v>
      </c>
      <c r="G140" s="58" t="str">
        <f>IFERROR(__xludf.DUMMYFUNCTION("""COMPUTED_VALUE"""),"-6.3325152")</f>
        <v>-6.3325152</v>
      </c>
      <c r="H140" s="58" t="str">
        <f>IFERROR(__xludf.DUMMYFUNCTION("""COMPUTED_VALUE"""),"106.6221484")</f>
        <v>106.6221484</v>
      </c>
      <c r="I140" s="43" t="str">
        <f>IFERROR(__xludf.DUMMYFUNCTION("""COMPUTED_VALUE"""),"Everyday")</f>
        <v>Everyday</v>
      </c>
      <c r="J140" s="63" t="str">
        <f>IFERROR(__xludf.DUMMYFUNCTION("""COMPUTED_VALUE"""),"25000")</f>
        <v>25000</v>
      </c>
      <c r="K140" s="43"/>
      <c r="L140" s="43"/>
      <c r="M140" s="43"/>
      <c r="N140" s="43"/>
      <c r="O140" s="43"/>
      <c r="P140" s="43"/>
      <c r="Q140" s="43"/>
      <c r="R140" s="43"/>
      <c r="S140" s="43"/>
      <c r="T140" s="43"/>
      <c r="U140" s="43"/>
      <c r="V140" s="43"/>
      <c r="W140" s="43"/>
      <c r="X140" s="43"/>
      <c r="Y140" s="43"/>
      <c r="Z140" s="43"/>
    </row>
    <row r="141">
      <c r="A141" s="67" t="str">
        <f>IFERROR(__xludf.DUMMYFUNCTION("""COMPUTED_VALUE"""),"21142")</f>
        <v>21142</v>
      </c>
      <c r="B141" s="67" t="str">
        <f>IFERROR(__xludf.DUMMYFUNCTION("""COMPUTED_VALUE"""),"142")</f>
        <v>142</v>
      </c>
      <c r="C141" s="68">
        <f>IFERROR(__xludf.DUMMYFUNCTION("""COMPUTED_VALUE"""),2.0)</f>
        <v>2</v>
      </c>
      <c r="D141" s="70" t="str">
        <f>IFERROR(__xludf.DUMMYFUNCTION("""COMPUTED_VALUE"""),"Situ Gede")</f>
        <v>Situ Gede</v>
      </c>
      <c r="E141" s="68">
        <f>IFERROR(__xludf.DUMMYFUNCTION("""COMPUTED_VALUE"""),1.0)</f>
        <v>1</v>
      </c>
      <c r="F141" s="20" t="str">
        <f>IFERROR(__xludf.DUMMYFUNCTION("""COMPUTED_VALUE"""),"Situ Gede merupakan salah satu danau terbesar di Bogor. Danau ini memiliki luas sekitar 87 hektar dan memiliki pemandangan yang indah. Pengunjung dapat berkeliling danau dengan menggunakan perahu yang disewakan oleh penduduk setempat.")</f>
        <v>Situ Gede merupakan salah satu danau terbesar di Bogor. Danau ini memiliki luas sekitar 87 hektar dan memiliki pemandangan yang indah. Pengunjung dapat berkeliling danau dengan menggunakan perahu yang disewakan oleh penduduk setempat.</v>
      </c>
      <c r="G141" s="58" t="str">
        <f>IFERROR(__xludf.DUMMYFUNCTION("""COMPUTED_VALUE"""),"-6.5534606")</f>
        <v>-6.5534606</v>
      </c>
      <c r="H141" s="58" t="str">
        <f>IFERROR(__xludf.DUMMYFUNCTION("""COMPUTED_VALUE"""),"106.7360063")</f>
        <v>106.7360063</v>
      </c>
      <c r="I141" s="43" t="str">
        <f>IFERROR(__xludf.DUMMYFUNCTION("""COMPUTED_VALUE"""),"Everyday")</f>
        <v>Everyday</v>
      </c>
      <c r="J141" s="63" t="str">
        <f>IFERROR(__xludf.DUMMYFUNCTION("""COMPUTED_VALUE"""),"Free")</f>
        <v>Free</v>
      </c>
      <c r="K141" s="43"/>
      <c r="L141" s="43"/>
      <c r="M141" s="43"/>
      <c r="N141" s="43"/>
      <c r="O141" s="43"/>
      <c r="P141" s="43"/>
      <c r="Q141" s="43"/>
      <c r="R141" s="43"/>
      <c r="S141" s="43"/>
      <c r="T141" s="43"/>
      <c r="U141" s="43"/>
      <c r="V141" s="43"/>
      <c r="W141" s="43"/>
      <c r="X141" s="43"/>
      <c r="Y141" s="43"/>
      <c r="Z141" s="43"/>
    </row>
    <row r="142">
      <c r="A142" s="67" t="str">
        <f>IFERROR(__xludf.DUMMYFUNCTION("""COMPUTED_VALUE"""),"26143")</f>
        <v>26143</v>
      </c>
      <c r="B142" s="67" t="str">
        <f>IFERROR(__xludf.DUMMYFUNCTION("""COMPUTED_VALUE"""),"143")</f>
        <v>143</v>
      </c>
      <c r="C142" s="68">
        <f>IFERROR(__xludf.DUMMYFUNCTION("""COMPUTED_VALUE"""),2.0)</f>
        <v>2</v>
      </c>
      <c r="D142" s="70" t="str">
        <f>IFERROR(__xludf.DUMMYFUNCTION("""COMPUTED_VALUE"""),"Istana Bogor")</f>
        <v>Istana Bogor</v>
      </c>
      <c r="E142" s="68">
        <f>IFERROR(__xludf.DUMMYFUNCTION("""COMPUTED_VALUE"""),6.0)</f>
        <v>6</v>
      </c>
      <c r="F142" s="20" t="str">
        <f>IFERROR(__xludf.DUMMYFUNCTION("""COMPUTED_VALUE"""),"Istana Bogor merupakan salah satu istana kepresidenan Republik Indonesia. Istana ini terletak di tengah kota Bogor dan memiliki pemandangan yang indah. Istana Bogor dapat dikunjungi oleh masyarakat umum dengan mengikuti tur wisata yang disediakan.
Ista"&amp;"na Bogor didirikan pada tahun 1745 oleh Gubernur Jenderal Hindia Belanda, Gustaaf Willem Baron van Imhoff. Istana ini telah menjadi tempat kediaman para presiden Indonesia sejak masa pemerintahan Soekarno.")</f>
        <v>Istana Bogor merupakan salah satu istana kepresidenan Republik Indonesia. Istana ini terletak di tengah kota Bogor dan memiliki pemandangan yang indah. Istana Bogor dapat dikunjungi oleh masyarakat umum dengan mengikuti tur wisata yang disediakan.
Istana Bogor didirikan pada tahun 1745 oleh Gubernur Jenderal Hindia Belanda, Gustaaf Willem Baron van Imhoff. Istana ini telah menjadi tempat kediaman para presiden Indonesia sejak masa pemerintahan Soekarno.</v>
      </c>
      <c r="G142" s="58" t="str">
        <f>IFERROR(__xludf.DUMMYFUNCTION("""COMPUTED_VALUE"""),"-6.5979993")</f>
        <v>-6.5979993</v>
      </c>
      <c r="H142" s="58" t="str">
        <f>IFERROR(__xludf.DUMMYFUNCTION("""COMPUTED_VALUE"""),"106.7948863")</f>
        <v>106.7948863</v>
      </c>
      <c r="I142" s="43" t="str">
        <f>IFERROR(__xludf.DUMMYFUNCTION("""COMPUTED_VALUE"""),"Everyday")</f>
        <v>Everyday</v>
      </c>
      <c r="J142" s="63" t="str">
        <f>IFERROR(__xludf.DUMMYFUNCTION("""COMPUTED_VALUE"""),"Free")</f>
        <v>Free</v>
      </c>
      <c r="K142" s="43"/>
      <c r="L142" s="43"/>
      <c r="M142" s="43"/>
      <c r="N142" s="43"/>
      <c r="O142" s="43"/>
      <c r="P142" s="43"/>
      <c r="Q142" s="43"/>
      <c r="R142" s="43"/>
      <c r="S142" s="43"/>
      <c r="T142" s="43"/>
      <c r="U142" s="43"/>
      <c r="V142" s="43"/>
      <c r="W142" s="43"/>
      <c r="X142" s="43"/>
      <c r="Y142" s="43"/>
      <c r="Z142" s="43"/>
    </row>
    <row r="143">
      <c r="A143" s="67" t="str">
        <f>IFERROR(__xludf.DUMMYFUNCTION("""COMPUTED_VALUE"""),"21144")</f>
        <v>21144</v>
      </c>
      <c r="B143" s="67" t="str">
        <f>IFERROR(__xludf.DUMMYFUNCTION("""COMPUTED_VALUE"""),"144")</f>
        <v>144</v>
      </c>
      <c r="C143" s="68">
        <f>IFERROR(__xludf.DUMMYFUNCTION("""COMPUTED_VALUE"""),2.0)</f>
        <v>2</v>
      </c>
      <c r="D143" s="70" t="str">
        <f>IFERROR(__xludf.DUMMYFUNCTION("""COMPUTED_VALUE"""),"Kebun Botani Cibodas")</f>
        <v>Kebun Botani Cibodas</v>
      </c>
      <c r="E143" s="68">
        <f>IFERROR(__xludf.DUMMYFUNCTION("""COMPUTED_VALUE"""),1.0)</f>
        <v>1</v>
      </c>
      <c r="F143" s="20" t="str">
        <f>IFERROR(__xludf.DUMMYFUNCTION("""COMPUTED_VALUE"""),"Kebun Botani Cibodas merupakan salah satu kebun botani terbesar di Indonesia. Kebun ini terletak di kaki Gunung Gede Pangrango dan memiliki koleksi tanaman yang sangat beragam, mulai dari tanaman tropis, subtropis, hingga tanaman langka. Kebun Botani Cibo"&amp;"das didirikan pada tahun 1852 oleh Pemerintah Hindia Belanda. Kebun ini memiliki luas sekitar 87 hektar dan telah menjadi salah satu tujuan wisata favorit di Jawa Barat.")</f>
        <v>Kebun Botani Cibodas merupakan salah satu kebun botani terbesar di Indonesia. Kebun ini terletak di kaki Gunung Gede Pangrango dan memiliki koleksi tanaman yang sangat beragam, mulai dari tanaman tropis, subtropis, hingga tanaman langka. Kebun Botani Cibodas didirikan pada tahun 1852 oleh Pemerintah Hindia Belanda. Kebun ini memiliki luas sekitar 87 hektar dan telah menjadi salah satu tujuan wisata favorit di Jawa Barat.</v>
      </c>
      <c r="G143" s="58" t="str">
        <f>IFERROR(__xludf.DUMMYFUNCTION("""COMPUTED_VALUE"""),"-6.7412738")</f>
        <v>-6.7412738</v>
      </c>
      <c r="H143" s="58" t="str">
        <f>IFERROR(__xludf.DUMMYFUNCTION("""COMPUTED_VALUE"""),"107.0050282")</f>
        <v>107.0050282</v>
      </c>
      <c r="I143" s="43" t="str">
        <f>IFERROR(__xludf.DUMMYFUNCTION("""COMPUTED_VALUE"""),"Everyday")</f>
        <v>Everyday</v>
      </c>
      <c r="J143" s="63" t="str">
        <f>IFERROR(__xludf.DUMMYFUNCTION("""COMPUTED_VALUE"""),"50000")</f>
        <v>50000</v>
      </c>
      <c r="K143" s="43"/>
      <c r="L143" s="43"/>
      <c r="M143" s="43"/>
      <c r="N143" s="43"/>
      <c r="O143" s="43"/>
      <c r="P143" s="43"/>
      <c r="Q143" s="43"/>
      <c r="R143" s="43"/>
      <c r="S143" s="43"/>
      <c r="T143" s="43"/>
      <c r="U143" s="43"/>
      <c r="V143" s="43"/>
      <c r="W143" s="43"/>
      <c r="X143" s="43"/>
      <c r="Y143" s="43"/>
      <c r="Z143" s="43"/>
    </row>
    <row r="144">
      <c r="A144" s="67" t="str">
        <f>IFERROR(__xludf.DUMMYFUNCTION("""COMPUTED_VALUE"""),"21145")</f>
        <v>21145</v>
      </c>
      <c r="B144" s="67" t="str">
        <f>IFERROR(__xludf.DUMMYFUNCTION("""COMPUTED_VALUE"""),"145")</f>
        <v>145</v>
      </c>
      <c r="C144" s="68">
        <f>IFERROR(__xludf.DUMMYFUNCTION("""COMPUTED_VALUE"""),2.0)</f>
        <v>2</v>
      </c>
      <c r="D144" s="70" t="str">
        <f>IFERROR(__xludf.DUMMYFUNCTION("""COMPUTED_VALUE"""),"The Legend Star Bogor")</f>
        <v>The Legend Star Bogor</v>
      </c>
      <c r="E144" s="68">
        <f>IFERROR(__xludf.DUMMYFUNCTION("""COMPUTED_VALUE"""),1.0)</f>
        <v>1</v>
      </c>
      <c r="F144" s="20" t="str">
        <f>IFERROR(__xludf.DUMMYFUNCTION("""COMPUTED_VALUE"""),"The Legend Star Bogor merupakan taman hiburan indoor yang bertema sejarah dan budaya Indonesia. Taman ini memiliki berbagai macam wahana permainan, mulai dari wahana permainan anak-anak hingga wahana permainan dewasa yang memacu adrenalin. The Legend Star"&amp;" Bogor didirikan pada tahun 2017. Taman ini memiliki luas sekitar 2 hektar dan telah menjadi salah satu tujuan wisata favorit di Bogor.")</f>
        <v>The Legend Star Bogor merupakan taman hiburan indoor yang bertema sejarah dan budaya Indonesia. Taman ini memiliki berbagai macam wahana permainan, mulai dari wahana permainan anak-anak hingga wahana permainan dewasa yang memacu adrenalin. The Legend Star Bogor didirikan pada tahun 2017. Taman ini memiliki luas sekitar 2 hektar dan telah menjadi salah satu tujuan wisata favorit di Bogor.</v>
      </c>
      <c r="G144" s="58" t="str">
        <f>IFERROR(__xludf.DUMMYFUNCTION("""COMPUTED_VALUE"""),"adanya di jatim bukan bogor")</f>
        <v>adanya di jatim bukan bogor</v>
      </c>
      <c r="H144" s="43"/>
      <c r="I144" s="43" t="str">
        <f>IFERROR(__xludf.DUMMYFUNCTION("""COMPUTED_VALUE"""),"Everyday")</f>
        <v>Everyday</v>
      </c>
      <c r="J144" s="63" t="str">
        <f>IFERROR(__xludf.DUMMYFUNCTION("""COMPUTED_VALUE"""),"50000")</f>
        <v>50000</v>
      </c>
      <c r="K144" s="43"/>
      <c r="L144" s="43"/>
      <c r="M144" s="43"/>
      <c r="N144" s="43"/>
      <c r="O144" s="43"/>
      <c r="P144" s="43"/>
      <c r="Q144" s="43"/>
      <c r="R144" s="43"/>
      <c r="S144" s="43"/>
      <c r="T144" s="43"/>
      <c r="U144" s="43"/>
      <c r="V144" s="43"/>
      <c r="W144" s="43"/>
      <c r="X144" s="43"/>
      <c r="Y144" s="43"/>
      <c r="Z144" s="43"/>
    </row>
    <row r="145">
      <c r="A145" s="67" t="str">
        <f>IFERROR(__xludf.DUMMYFUNCTION("""COMPUTED_VALUE"""),"22146")</f>
        <v>22146</v>
      </c>
      <c r="B145" s="67" t="str">
        <f>IFERROR(__xludf.DUMMYFUNCTION("""COMPUTED_VALUE"""),"146")</f>
        <v>146</v>
      </c>
      <c r="C145" s="68">
        <f>IFERROR(__xludf.DUMMYFUNCTION("""COMPUTED_VALUE"""),2.0)</f>
        <v>2</v>
      </c>
      <c r="D145" s="70" t="str">
        <f>IFERROR(__xludf.DUMMYFUNCTION("""COMPUTED_VALUE"""),"Taman Budaya Sentul City")</f>
        <v>Taman Budaya Sentul City</v>
      </c>
      <c r="E145" s="68">
        <f>IFERROR(__xludf.DUMMYFUNCTION("""COMPUTED_VALUE"""),2.0)</f>
        <v>2</v>
      </c>
      <c r="F145" s="20" t="str">
        <f>IFERROR(__xludf.DUMMYFUNCTION("""COMPUTED_VALUE"""),"Taman Budaya Sentul City merupakan taman budaya yang terletak di kawasan Sentul City. Taman ini memiliki berbagai macam fasilitas, mulai dari gedung pertunjukan, museum, hingga taman bermain. Taman Budaya Sentul City didirikan pada tahun 2006. Taman ini t"&amp;"elah menjadi salah satu tujuan wisata favorit di Bogor.")</f>
        <v>Taman Budaya Sentul City merupakan taman budaya yang terletak di kawasan Sentul City. Taman ini memiliki berbagai macam fasilitas, mulai dari gedung pertunjukan, museum, hingga taman bermain. Taman Budaya Sentul City didirikan pada tahun 2006. Taman ini telah menjadi salah satu tujuan wisata favorit di Bogor.</v>
      </c>
      <c r="G145" s="58" t="str">
        <f>IFERROR(__xludf.DUMMYFUNCTION("""COMPUTED_VALUE"""),"-6.5839969")</f>
        <v>-6.5839969</v>
      </c>
      <c r="H145" s="58" t="str">
        <f>IFERROR(__xludf.DUMMYFUNCTION("""COMPUTED_VALUE"""),"106.8802024")</f>
        <v>106.8802024</v>
      </c>
      <c r="I145" s="43" t="str">
        <f>IFERROR(__xludf.DUMMYFUNCTION("""COMPUTED_VALUE"""),"Everyday")</f>
        <v>Everyday</v>
      </c>
      <c r="J145" s="63" t="str">
        <f>IFERROR(__xludf.DUMMYFUNCTION("""COMPUTED_VALUE"""),"50000")</f>
        <v>50000</v>
      </c>
      <c r="K145" s="43"/>
      <c r="L145" s="43"/>
      <c r="M145" s="43"/>
      <c r="N145" s="43"/>
      <c r="O145" s="43"/>
      <c r="P145" s="43"/>
      <c r="Q145" s="43"/>
      <c r="R145" s="43"/>
      <c r="S145" s="43"/>
      <c r="T145" s="43"/>
      <c r="U145" s="43"/>
      <c r="V145" s="43"/>
      <c r="W145" s="43"/>
      <c r="X145" s="43"/>
      <c r="Y145" s="43"/>
      <c r="Z145" s="43"/>
    </row>
    <row r="146">
      <c r="A146" s="67" t="str">
        <f>IFERROR(__xludf.DUMMYFUNCTION("""COMPUTED_VALUE"""),"21147")</f>
        <v>21147</v>
      </c>
      <c r="B146" s="67" t="str">
        <f>IFERROR(__xludf.DUMMYFUNCTION("""COMPUTED_VALUE"""),"147")</f>
        <v>147</v>
      </c>
      <c r="C146" s="68">
        <f>IFERROR(__xludf.DUMMYFUNCTION("""COMPUTED_VALUE"""),2.0)</f>
        <v>2</v>
      </c>
      <c r="D146" s="70" t="str">
        <f>IFERROR(__xludf.DUMMYFUNCTION("""COMPUTED_VALUE"""),"Taman Wisata Matahari")</f>
        <v>Taman Wisata Matahari</v>
      </c>
      <c r="E146" s="68">
        <f>IFERROR(__xludf.DUMMYFUNCTION("""COMPUTED_VALUE"""),1.0)</f>
        <v>1</v>
      </c>
      <c r="F146" s="20" t="str">
        <f>IFERROR(__xludf.DUMMYFUNCTION("""COMPUTED_VALUE"""),"Taman Wisata Matahari merupakan salah satu taman rekreasi keluarga terbesar di Bogor. Taman ini memiliki berbagai macam wahana permainan, mulai dari wahana permainan anak-anak hingga wahana permainan dewasa yang memacu adrenalin.
Taman Wisata Matahari "&amp;"didirikan pada tahun 1996. Taman ini telah menjadi salah satu tujuan wisata favorit di Bogor.")</f>
        <v>Taman Wisata Matahari merupakan salah satu taman rekreasi keluarga terbesar di Bogor. Taman ini memiliki berbagai macam wahana permainan, mulai dari wahana permainan anak-anak hingga wahana permainan dewasa yang memacu adrenalin.
Taman Wisata Matahari didirikan pada tahun 1996. Taman ini telah menjadi salah satu tujuan wisata favorit di Bogor.</v>
      </c>
      <c r="G146" s="58" t="str">
        <f>IFERROR(__xludf.DUMMYFUNCTION("""COMPUTED_VALUE"""),"-6.6562039")</f>
        <v>-6.6562039</v>
      </c>
      <c r="H146" s="58" t="str">
        <f>IFERROR(__xludf.DUMMYFUNCTION("""COMPUTED_VALUE"""),"106.9139869")</f>
        <v>106.9139869</v>
      </c>
      <c r="I146" s="43" t="str">
        <f>IFERROR(__xludf.DUMMYFUNCTION("""COMPUTED_VALUE"""),"Everyday")</f>
        <v>Everyday</v>
      </c>
      <c r="J146" s="63" t="str">
        <f>IFERROR(__xludf.DUMMYFUNCTION("""COMPUTED_VALUE"""),"75000")</f>
        <v>75000</v>
      </c>
      <c r="K146" s="43"/>
      <c r="L146" s="43"/>
      <c r="M146" s="43"/>
      <c r="N146" s="43"/>
      <c r="O146" s="43"/>
      <c r="P146" s="43"/>
      <c r="Q146" s="43"/>
      <c r="R146" s="43"/>
      <c r="S146" s="43"/>
      <c r="T146" s="43"/>
      <c r="U146" s="43"/>
      <c r="V146" s="43"/>
      <c r="W146" s="43"/>
      <c r="X146" s="43"/>
      <c r="Y146" s="43"/>
      <c r="Z146" s="43"/>
    </row>
    <row r="147">
      <c r="A147" s="67" t="str">
        <f>IFERROR(__xludf.DUMMYFUNCTION("""COMPUTED_VALUE"""),"21148")</f>
        <v>21148</v>
      </c>
      <c r="B147" s="67" t="str">
        <f>IFERROR(__xludf.DUMMYFUNCTION("""COMPUTED_VALUE"""),"148")</f>
        <v>148</v>
      </c>
      <c r="C147" s="68">
        <f>IFERROR(__xludf.DUMMYFUNCTION("""COMPUTED_VALUE"""),2.0)</f>
        <v>2</v>
      </c>
      <c r="D147" s="70" t="str">
        <f>IFERROR(__xludf.DUMMYFUNCTION("""COMPUTED_VALUE"""),"Kebun Raya Cibodas")</f>
        <v>Kebun Raya Cibodas</v>
      </c>
      <c r="E147" s="68">
        <f>IFERROR(__xludf.DUMMYFUNCTION("""COMPUTED_VALUE"""),1.0)</f>
        <v>1</v>
      </c>
      <c r="F147" s="20" t="str">
        <f>IFERROR(__xludf.DUMMYFUNCTION("""COMPUTED_VALUE"""),"Kebun Raya Cibodas merupakan salah satu kebun botani terbesar di Indonesia. Kebun ini terletak di kaki Gunung Gede Pangrango dan memiliki koleksi tanaman yang sangat beragam, mulai dari tanaman tropis, subtropis, hingga tanaman langka. Kebun Raya Cibodas "&amp;"didirikan pada tahun 1852 oleh Pemerintah Hindia Belanda. Kebun ini memiliki luas sekitar 87 hektar dan telah menjadi salah satu tujuan wisata favorit di Jawa Barat. Kebun Raya Cibodas memiliki beberapa daya tarik utama, yaitu: Koleksi tanaman yang sangat"&amp;" beragam, mulai dari tanaman tropis, subtropis, hingga tanaman langka. Pemandangan alam yang indah, terutama pada saat musim hujan. Fasilitas yang lengkap, mulai dari restoran, kafe, hingga tempat parkir. Kebun Raya Cibodas cocok untuk dikunjungi oleh sem"&amp;"ua kalangan, mulai dari keluarga, pelajar, hingga wisatawan mancanegara.")</f>
        <v>Kebun Raya Cibodas merupakan salah satu kebun botani terbesar di Indonesia. Kebun ini terletak di kaki Gunung Gede Pangrango dan memiliki koleksi tanaman yang sangat beragam, mulai dari tanaman tropis, subtropis, hingga tanaman langka. Kebun Raya Cibodas didirikan pada tahun 1852 oleh Pemerintah Hindia Belanda. Kebun ini memiliki luas sekitar 87 hektar dan telah menjadi salah satu tujuan wisata favorit di Jawa Barat. Kebun Raya Cibodas memiliki beberapa daya tarik utama, yaitu: Koleksi tanaman yang sangat beragam, mulai dari tanaman tropis, subtropis, hingga tanaman langka. Pemandangan alam yang indah, terutama pada saat musim hujan. Fasilitas yang lengkap, mulai dari restoran, kafe, hingga tempat parkir. Kebun Raya Cibodas cocok untuk dikunjungi oleh semua kalangan, mulai dari keluarga, pelajar, hingga wisatawan mancanegara.</v>
      </c>
      <c r="G147" s="58" t="str">
        <f>IFERROR(__xludf.DUMMYFUNCTION("""COMPUTED_VALUE"""),"-6.7412738")</f>
        <v>-6.7412738</v>
      </c>
      <c r="H147" s="58" t="str">
        <f>IFERROR(__xludf.DUMMYFUNCTION("""COMPUTED_VALUE"""),"107.0050282")</f>
        <v>107.0050282</v>
      </c>
      <c r="I147" s="43" t="str">
        <f>IFERROR(__xludf.DUMMYFUNCTION("""COMPUTED_VALUE"""),"Everyday")</f>
        <v>Everyday</v>
      </c>
      <c r="J147" s="63" t="str">
        <f>IFERROR(__xludf.DUMMYFUNCTION("""COMPUTED_VALUE"""),"50000")</f>
        <v>50000</v>
      </c>
      <c r="K147" s="43"/>
      <c r="L147" s="43"/>
      <c r="M147" s="43"/>
      <c r="N147" s="43"/>
      <c r="O147" s="43"/>
      <c r="P147" s="43"/>
      <c r="Q147" s="43"/>
      <c r="R147" s="43"/>
      <c r="S147" s="43"/>
      <c r="T147" s="43"/>
      <c r="U147" s="43"/>
      <c r="V147" s="43"/>
      <c r="W147" s="43"/>
      <c r="X147" s="43"/>
      <c r="Y147" s="43"/>
      <c r="Z147" s="43"/>
    </row>
    <row r="148">
      <c r="A148" s="67" t="str">
        <f>IFERROR(__xludf.DUMMYFUNCTION("""COMPUTED_VALUE"""),"13149")</f>
        <v>13149</v>
      </c>
      <c r="B148" s="67" t="str">
        <f>IFERROR(__xludf.DUMMYFUNCTION("""COMPUTED_VALUE"""),"149")</f>
        <v>149</v>
      </c>
      <c r="C148" s="68">
        <f>IFERROR(__xludf.DUMMYFUNCTION("""COMPUTED_VALUE"""),1.0)</f>
        <v>1</v>
      </c>
      <c r="D148" s="70" t="str">
        <f>IFERROR(__xludf.DUMMYFUNCTION("""COMPUTED_VALUE"""),"Monumen Nasional")</f>
        <v>Monumen Nasional</v>
      </c>
      <c r="E148" s="68">
        <f>IFERROR(__xludf.DUMMYFUNCTION("""COMPUTED_VALUE"""),3.0)</f>
        <v>3</v>
      </c>
      <c r="F148" s="20" t="str">
        <f>IFERROR(__xludf.DUMMYFUNCTION("""COMPUTED_VALUE"""),"
Monumen Nasional
Monumen Nasional (Monas) merupakan salah satu ikon Kota Jakarta. Monas terletak di pusat kota Jakarta dan memiliki ketinggian 132 meter. Monas dapat dikunjungi oleh masyarakat umum secara gratis.
Monas merupakan tempat yang cocok "&amp;"untuk berolahraga, terutama jogging. Jogging di Monas dapat dilakukan dengan mengelilingi area Monas atau berlari di jalur yang telah disediakan. Jarak yang dapat ditempuh dengan jogging di Monas sekitar 1,5 kilometer.
Selain jogging, Monas juga dapat "&amp;"digunakan untuk berolahraga lainnya, seperti bersepeda, senam, atau bermain bola. Monas memiliki lahan yang luas dan terbuka, sehingga sangat cocok untuk berolahraga.")</f>
        <v>
Monumen Nasional
Monumen Nasional (Monas) merupakan salah satu ikon Kota Jakarta. Monas terletak di pusat kota Jakarta dan memiliki ketinggian 132 meter. Monas dapat dikunjungi oleh masyarakat umum secara gratis.
Monas merupakan tempat yang cocok untuk berolahraga, terutama jogging. Jogging di Monas dapat dilakukan dengan mengelilingi area Monas atau berlari di jalur yang telah disediakan. Jarak yang dapat ditempuh dengan jogging di Monas sekitar 1,5 kilometer.
Selain jogging, Monas juga dapat digunakan untuk berolahraga lainnya, seperti bersepeda, senam, atau bermain bola. Monas memiliki lahan yang luas dan terbuka, sehingga sangat cocok untuk berolahraga.</v>
      </c>
      <c r="G148" s="58" t="str">
        <f>IFERROR(__xludf.DUMMYFUNCTION("""COMPUTED_VALUE"""),"-6.1753871")</f>
        <v>-6.1753871</v>
      </c>
      <c r="H148" s="58" t="str">
        <f>IFERROR(__xludf.DUMMYFUNCTION("""COMPUTED_VALUE"""),"106.8245725")</f>
        <v>106.8245725</v>
      </c>
      <c r="I148" s="43" t="str">
        <f>IFERROR(__xludf.DUMMYFUNCTION("""COMPUTED_VALUE"""),"Everyday")</f>
        <v>Everyday</v>
      </c>
      <c r="J148" s="63" t="str">
        <f>IFERROR(__xludf.DUMMYFUNCTION("""COMPUTED_VALUE"""),"Free")</f>
        <v>Free</v>
      </c>
      <c r="K148" s="43"/>
      <c r="L148" s="43"/>
      <c r="M148" s="43"/>
      <c r="N148" s="43"/>
      <c r="O148" s="43"/>
      <c r="P148" s="43"/>
      <c r="Q148" s="43"/>
      <c r="R148" s="43"/>
      <c r="S148" s="43"/>
      <c r="T148" s="43"/>
      <c r="U148" s="43"/>
      <c r="V148" s="43"/>
      <c r="W148" s="43"/>
      <c r="X148" s="43"/>
      <c r="Y148" s="43"/>
      <c r="Z148" s="43"/>
    </row>
    <row r="149">
      <c r="A149" s="67" t="str">
        <f>IFERROR(__xludf.DUMMYFUNCTION("""COMPUTED_VALUE"""),"13150")</f>
        <v>13150</v>
      </c>
      <c r="B149" s="67" t="str">
        <f>IFERROR(__xludf.DUMMYFUNCTION("""COMPUTED_VALUE"""),"150")</f>
        <v>150</v>
      </c>
      <c r="C149" s="68">
        <f>IFERROR(__xludf.DUMMYFUNCTION("""COMPUTED_VALUE"""),1.0)</f>
        <v>1</v>
      </c>
      <c r="D149" s="70" t="str">
        <f>IFERROR(__xludf.DUMMYFUNCTION("""COMPUTED_VALUE"""),"Gelora Bung Karno")</f>
        <v>Gelora Bung Karno</v>
      </c>
      <c r="E149" s="68">
        <f>IFERROR(__xludf.DUMMYFUNCTION("""COMPUTED_VALUE"""),3.0)</f>
        <v>3</v>
      </c>
      <c r="F149" s="20" t="str">
        <f>IFERROR(__xludf.DUMMYFUNCTION("""COMPUTED_VALUE"""),"Gelora Bung Karno (GBK) merupakan kompleks olahraga terbesar di Indonesia. GBK terletak di Jakarta Pusat dan memiliki luas sekitar 117 hektar. GBK dapat dikunjungi oleh masyarakat umum secara gratis.
GBK merupakan tempat yang cocok untuk berolahraga, t"&amp;"erutama untuk olahraga yang membutuhkan lapangan yang luas, seperti sepak bola, atletik, atau tenis. GBK memiliki berbagai macam fasilitas olahraga, mulai dari lapangan sepak bola, lintasan atletik, hingga lapangan tenis.
Selain itu, GBK juga memiliki "&amp;"berbagai macam fasilitas pendukung, seperti tempat parkir, restoran, dan kafe.")</f>
        <v>Gelora Bung Karno (GBK) merupakan kompleks olahraga terbesar di Indonesia. GBK terletak di Jakarta Pusat dan memiliki luas sekitar 117 hektar. GBK dapat dikunjungi oleh masyarakat umum secara gratis.
GBK merupakan tempat yang cocok untuk berolahraga, terutama untuk olahraga yang membutuhkan lapangan yang luas, seperti sepak bola, atletik, atau tenis. GBK memiliki berbagai macam fasilitas olahraga, mulai dari lapangan sepak bola, lintasan atletik, hingga lapangan tenis.
Selain itu, GBK juga memiliki berbagai macam fasilitas pendukung, seperti tempat parkir, restoran, dan kafe.</v>
      </c>
      <c r="G149" s="58" t="str">
        <f>IFERROR(__xludf.DUMMYFUNCTION("""COMPUTED_VALUE"""),"-6.2186271")</f>
        <v>-6.2186271</v>
      </c>
      <c r="H149" s="58" t="str">
        <f>IFERROR(__xludf.DUMMYFUNCTION("""COMPUTED_VALUE"""),"106.7833401")</f>
        <v>106.7833401</v>
      </c>
      <c r="I149" s="43" t="str">
        <f>IFERROR(__xludf.DUMMYFUNCTION("""COMPUTED_VALUE"""),"Everyday")</f>
        <v>Everyday</v>
      </c>
      <c r="J149" s="63" t="str">
        <f>IFERROR(__xludf.DUMMYFUNCTION("""COMPUTED_VALUE"""),"Free")</f>
        <v>Free</v>
      </c>
      <c r="K149" s="43"/>
      <c r="L149" s="43"/>
      <c r="M149" s="43"/>
      <c r="N149" s="43"/>
      <c r="O149" s="43"/>
      <c r="P149" s="43"/>
      <c r="Q149" s="43"/>
      <c r="R149" s="43"/>
      <c r="S149" s="43"/>
      <c r="T149" s="43"/>
      <c r="U149" s="43"/>
      <c r="V149" s="43"/>
      <c r="W149" s="43"/>
      <c r="X149" s="43"/>
      <c r="Y149" s="43"/>
      <c r="Z149" s="43"/>
    </row>
    <row r="150">
      <c r="A150" s="67"/>
      <c r="B150" s="67"/>
      <c r="C150" s="68"/>
      <c r="D150" s="70"/>
      <c r="E150" s="68"/>
      <c r="F150" s="20"/>
      <c r="G150" s="43"/>
      <c r="H150" s="43"/>
      <c r="I150" s="43"/>
      <c r="J150" s="63"/>
      <c r="K150" s="43"/>
      <c r="L150" s="43"/>
      <c r="M150" s="43"/>
      <c r="N150" s="43"/>
      <c r="O150" s="43"/>
      <c r="P150" s="43"/>
      <c r="Q150" s="43"/>
      <c r="R150" s="43"/>
      <c r="S150" s="43"/>
      <c r="T150" s="43"/>
      <c r="U150" s="43"/>
      <c r="V150" s="43"/>
      <c r="W150" s="43"/>
      <c r="X150" s="43"/>
      <c r="Y150" s="43"/>
      <c r="Z150" s="43"/>
    </row>
    <row r="151">
      <c r="A151" s="67"/>
      <c r="B151" s="67"/>
      <c r="C151" s="68"/>
      <c r="D151" s="70"/>
      <c r="E151" s="68"/>
      <c r="F151" s="20"/>
      <c r="G151" s="43"/>
      <c r="H151" s="43"/>
      <c r="I151" s="43"/>
      <c r="J151" s="63"/>
      <c r="K151" s="43"/>
      <c r="L151" s="43"/>
      <c r="M151" s="43"/>
      <c r="N151" s="43"/>
      <c r="O151" s="43"/>
      <c r="P151" s="43"/>
      <c r="Q151" s="43"/>
      <c r="R151" s="43"/>
      <c r="S151" s="43"/>
      <c r="T151" s="43"/>
      <c r="U151" s="43"/>
      <c r="V151" s="43"/>
      <c r="W151" s="43"/>
      <c r="X151" s="43"/>
      <c r="Y151" s="43"/>
      <c r="Z151" s="43"/>
    </row>
    <row r="152">
      <c r="A152" s="67"/>
      <c r="B152" s="67"/>
      <c r="C152" s="68"/>
      <c r="D152" s="70"/>
      <c r="E152" s="68"/>
      <c r="F152" s="20"/>
      <c r="G152" s="43"/>
      <c r="H152" s="43"/>
      <c r="I152" s="43"/>
      <c r="J152" s="63"/>
      <c r="K152" s="43"/>
      <c r="L152" s="43"/>
      <c r="M152" s="43"/>
      <c r="N152" s="43"/>
      <c r="O152" s="43"/>
      <c r="P152" s="43"/>
      <c r="Q152" s="43"/>
      <c r="R152" s="43"/>
      <c r="S152" s="43"/>
      <c r="T152" s="43"/>
      <c r="U152" s="43"/>
      <c r="V152" s="43"/>
      <c r="W152" s="43"/>
      <c r="X152" s="43"/>
      <c r="Y152" s="43"/>
      <c r="Z152" s="43"/>
    </row>
    <row r="153">
      <c r="A153" s="67"/>
      <c r="B153" s="67"/>
      <c r="C153" s="68"/>
      <c r="D153" s="70"/>
      <c r="E153" s="68"/>
      <c r="F153" s="20"/>
      <c r="G153" s="43"/>
      <c r="H153" s="43"/>
      <c r="I153" s="43"/>
      <c r="J153" s="63"/>
      <c r="K153" s="43"/>
      <c r="L153" s="43"/>
      <c r="M153" s="43"/>
      <c r="N153" s="43"/>
      <c r="O153" s="43"/>
      <c r="P153" s="43"/>
      <c r="Q153" s="43"/>
      <c r="R153" s="43"/>
      <c r="S153" s="43"/>
      <c r="T153" s="43"/>
      <c r="U153" s="43"/>
      <c r="V153" s="43"/>
      <c r="W153" s="43"/>
      <c r="X153" s="43"/>
      <c r="Y153" s="43"/>
      <c r="Z153" s="43"/>
    </row>
    <row r="154">
      <c r="A154" s="67"/>
      <c r="B154" s="67"/>
      <c r="C154" s="68"/>
      <c r="D154" s="70"/>
      <c r="E154" s="68"/>
      <c r="F154" s="20"/>
      <c r="G154" s="43"/>
      <c r="H154" s="43"/>
      <c r="I154" s="43"/>
      <c r="J154" s="63"/>
      <c r="K154" s="43"/>
      <c r="L154" s="43"/>
      <c r="M154" s="43"/>
      <c r="N154" s="43"/>
      <c r="O154" s="43"/>
      <c r="P154" s="43"/>
      <c r="Q154" s="43"/>
      <c r="R154" s="43"/>
      <c r="S154" s="43"/>
      <c r="T154" s="43"/>
      <c r="U154" s="43"/>
      <c r="V154" s="43"/>
      <c r="W154" s="43"/>
      <c r="X154" s="43"/>
      <c r="Y154" s="43"/>
      <c r="Z154" s="43"/>
    </row>
    <row r="155">
      <c r="A155" s="67"/>
      <c r="B155" s="67"/>
      <c r="C155" s="68"/>
      <c r="D155" s="70"/>
      <c r="E155" s="68"/>
      <c r="F155" s="20"/>
      <c r="G155" s="43"/>
      <c r="H155" s="43"/>
      <c r="I155" s="43"/>
      <c r="J155" s="63"/>
      <c r="K155" s="43"/>
      <c r="L155" s="43"/>
      <c r="M155" s="43"/>
      <c r="N155" s="43"/>
      <c r="O155" s="43"/>
      <c r="P155" s="43"/>
      <c r="Q155" s="43"/>
      <c r="R155" s="43"/>
      <c r="S155" s="43"/>
      <c r="T155" s="43"/>
      <c r="U155" s="43"/>
      <c r="V155" s="43"/>
      <c r="W155" s="43"/>
      <c r="X155" s="43"/>
      <c r="Y155" s="43"/>
      <c r="Z155" s="43"/>
    </row>
    <row r="156">
      <c r="A156" s="67"/>
      <c r="B156" s="67"/>
      <c r="C156" s="68"/>
      <c r="D156" s="70"/>
      <c r="E156" s="68"/>
      <c r="F156" s="20"/>
      <c r="G156" s="43"/>
      <c r="H156" s="43"/>
      <c r="I156" s="43"/>
      <c r="J156" s="63"/>
      <c r="K156" s="43"/>
      <c r="L156" s="43"/>
      <c r="M156" s="43"/>
      <c r="N156" s="43"/>
      <c r="O156" s="43"/>
      <c r="P156" s="43"/>
      <c r="Q156" s="43"/>
      <c r="R156" s="43"/>
      <c r="S156" s="43"/>
      <c r="T156" s="43"/>
      <c r="U156" s="43"/>
      <c r="V156" s="43"/>
      <c r="W156" s="43"/>
      <c r="X156" s="43"/>
      <c r="Y156" s="43"/>
      <c r="Z156" s="43"/>
    </row>
    <row r="157">
      <c r="A157" s="67"/>
      <c r="B157" s="67"/>
      <c r="C157" s="68"/>
      <c r="D157" s="70"/>
      <c r="E157" s="68"/>
      <c r="F157" s="20"/>
      <c r="G157" s="43"/>
      <c r="H157" s="43"/>
      <c r="I157" s="43"/>
      <c r="J157" s="63"/>
      <c r="K157" s="43"/>
      <c r="L157" s="43"/>
      <c r="M157" s="43"/>
      <c r="N157" s="43"/>
      <c r="O157" s="43"/>
      <c r="P157" s="43"/>
      <c r="Q157" s="43"/>
      <c r="R157" s="43"/>
      <c r="S157" s="43"/>
      <c r="T157" s="43"/>
      <c r="U157" s="43"/>
      <c r="V157" s="43"/>
      <c r="W157" s="43"/>
      <c r="X157" s="43"/>
      <c r="Y157" s="43"/>
      <c r="Z157" s="43"/>
    </row>
    <row r="158">
      <c r="A158" s="67"/>
      <c r="B158" s="67"/>
      <c r="C158" s="68"/>
      <c r="D158" s="70"/>
      <c r="E158" s="68"/>
      <c r="F158" s="20"/>
      <c r="G158" s="43"/>
      <c r="H158" s="43"/>
      <c r="I158" s="43"/>
      <c r="J158" s="63"/>
      <c r="K158" s="43"/>
      <c r="L158" s="43"/>
      <c r="M158" s="43"/>
      <c r="N158" s="43"/>
      <c r="O158" s="43"/>
      <c r="P158" s="43"/>
      <c r="Q158" s="43"/>
      <c r="R158" s="43"/>
      <c r="S158" s="43"/>
      <c r="T158" s="43"/>
      <c r="U158" s="43"/>
      <c r="V158" s="43"/>
      <c r="W158" s="43"/>
      <c r="X158" s="43"/>
      <c r="Y158" s="43"/>
      <c r="Z158" s="43"/>
    </row>
    <row r="159">
      <c r="A159" s="67"/>
      <c r="B159" s="67"/>
      <c r="C159" s="68"/>
      <c r="D159" s="70"/>
      <c r="E159" s="68"/>
      <c r="F159" s="20"/>
      <c r="G159" s="43"/>
      <c r="H159" s="43"/>
      <c r="I159" s="43"/>
      <c r="J159" s="63"/>
      <c r="K159" s="43"/>
      <c r="L159" s="43"/>
      <c r="M159" s="43"/>
      <c r="N159" s="43"/>
      <c r="O159" s="43"/>
      <c r="P159" s="43"/>
      <c r="Q159" s="43"/>
      <c r="R159" s="43"/>
      <c r="S159" s="43"/>
      <c r="T159" s="43"/>
      <c r="U159" s="43"/>
      <c r="V159" s="43"/>
      <c r="W159" s="43"/>
      <c r="X159" s="43"/>
      <c r="Y159" s="43"/>
      <c r="Z159" s="43"/>
    </row>
    <row r="160">
      <c r="A160" s="67"/>
      <c r="B160" s="67"/>
      <c r="C160" s="68"/>
      <c r="D160" s="70"/>
      <c r="E160" s="68"/>
      <c r="F160" s="20"/>
      <c r="G160" s="43"/>
      <c r="H160" s="43"/>
      <c r="I160" s="43"/>
      <c r="J160" s="63"/>
      <c r="K160" s="43"/>
      <c r="L160" s="43"/>
      <c r="M160" s="43"/>
      <c r="N160" s="43"/>
      <c r="O160" s="43"/>
      <c r="P160" s="43"/>
      <c r="Q160" s="43"/>
      <c r="R160" s="43"/>
      <c r="S160" s="43"/>
      <c r="T160" s="43"/>
      <c r="U160" s="43"/>
      <c r="V160" s="43"/>
      <c r="W160" s="43"/>
      <c r="X160" s="43"/>
      <c r="Y160" s="43"/>
      <c r="Z160" s="43"/>
    </row>
    <row r="161">
      <c r="A161" s="67"/>
      <c r="B161" s="67"/>
      <c r="C161" s="68"/>
      <c r="D161" s="70"/>
      <c r="E161" s="68"/>
      <c r="F161" s="20"/>
      <c r="G161" s="43"/>
      <c r="H161" s="43"/>
      <c r="I161" s="43"/>
      <c r="J161" s="63"/>
      <c r="K161" s="43"/>
      <c r="L161" s="43"/>
      <c r="M161" s="43"/>
      <c r="N161" s="43"/>
      <c r="O161" s="43"/>
      <c r="P161" s="43"/>
      <c r="Q161" s="43"/>
      <c r="R161" s="43"/>
      <c r="S161" s="43"/>
      <c r="T161" s="43"/>
      <c r="U161" s="43"/>
      <c r="V161" s="43"/>
      <c r="W161" s="43"/>
      <c r="X161" s="43"/>
      <c r="Y161" s="43"/>
      <c r="Z161" s="43"/>
    </row>
    <row r="162">
      <c r="A162" s="67"/>
      <c r="B162" s="67"/>
      <c r="C162" s="68"/>
      <c r="D162" s="70"/>
      <c r="E162" s="68"/>
      <c r="F162" s="20"/>
      <c r="G162" s="43"/>
      <c r="H162" s="43"/>
      <c r="I162" s="43"/>
      <c r="J162" s="63"/>
      <c r="K162" s="43"/>
      <c r="L162" s="43"/>
      <c r="M162" s="43"/>
      <c r="N162" s="43"/>
      <c r="O162" s="43"/>
      <c r="P162" s="43"/>
      <c r="Q162" s="43"/>
      <c r="R162" s="43"/>
      <c r="S162" s="43"/>
      <c r="T162" s="43"/>
      <c r="U162" s="43"/>
      <c r="V162" s="43"/>
      <c r="W162" s="43"/>
      <c r="X162" s="43"/>
      <c r="Y162" s="43"/>
      <c r="Z162" s="43"/>
    </row>
    <row r="163">
      <c r="A163" s="67"/>
      <c r="B163" s="67"/>
      <c r="C163" s="68"/>
      <c r="D163" s="70"/>
      <c r="E163" s="68"/>
      <c r="F163" s="20"/>
      <c r="G163" s="43"/>
      <c r="H163" s="43"/>
      <c r="I163" s="43"/>
      <c r="J163" s="63"/>
      <c r="K163" s="43"/>
      <c r="L163" s="43"/>
      <c r="M163" s="43"/>
      <c r="N163" s="43"/>
      <c r="O163" s="43"/>
      <c r="P163" s="43"/>
      <c r="Q163" s="43"/>
      <c r="R163" s="43"/>
      <c r="S163" s="43"/>
      <c r="T163" s="43"/>
      <c r="U163" s="43"/>
      <c r="V163" s="43"/>
      <c r="W163" s="43"/>
      <c r="X163" s="43"/>
      <c r="Y163" s="43"/>
      <c r="Z163" s="43"/>
    </row>
    <row r="164">
      <c r="A164" s="67"/>
      <c r="B164" s="67"/>
      <c r="C164" s="68"/>
      <c r="D164" s="70"/>
      <c r="E164" s="68"/>
      <c r="F164" s="20"/>
      <c r="G164" s="43"/>
      <c r="H164" s="43"/>
      <c r="I164" s="43"/>
      <c r="J164" s="63"/>
      <c r="K164" s="43"/>
      <c r="L164" s="43"/>
      <c r="M164" s="43"/>
      <c r="N164" s="43"/>
      <c r="O164" s="43"/>
      <c r="P164" s="43"/>
      <c r="Q164" s="43"/>
      <c r="R164" s="43"/>
      <c r="S164" s="43"/>
      <c r="T164" s="43"/>
      <c r="U164" s="43"/>
      <c r="V164" s="43"/>
      <c r="W164" s="43"/>
      <c r="X164" s="43"/>
      <c r="Y164" s="43"/>
      <c r="Z164" s="43"/>
    </row>
    <row r="165">
      <c r="A165" s="67"/>
      <c r="B165" s="67"/>
      <c r="C165" s="68"/>
      <c r="D165" s="70"/>
      <c r="E165" s="68"/>
      <c r="F165" s="20"/>
      <c r="G165" s="43"/>
      <c r="H165" s="43"/>
      <c r="I165" s="43"/>
      <c r="J165" s="63"/>
      <c r="K165" s="43"/>
      <c r="L165" s="43"/>
      <c r="M165" s="43"/>
      <c r="N165" s="43"/>
      <c r="O165" s="43"/>
      <c r="P165" s="43"/>
      <c r="Q165" s="43"/>
      <c r="R165" s="43"/>
      <c r="S165" s="43"/>
      <c r="T165" s="43"/>
      <c r="U165" s="43"/>
      <c r="V165" s="43"/>
      <c r="W165" s="43"/>
      <c r="X165" s="43"/>
      <c r="Y165" s="43"/>
      <c r="Z165" s="43"/>
    </row>
    <row r="166">
      <c r="A166" s="67"/>
      <c r="B166" s="67"/>
      <c r="C166" s="68"/>
      <c r="D166" s="70"/>
      <c r="E166" s="68"/>
      <c r="F166" s="20"/>
      <c r="G166" s="43"/>
      <c r="H166" s="43"/>
      <c r="I166" s="43"/>
      <c r="J166" s="63"/>
      <c r="K166" s="43"/>
      <c r="L166" s="43"/>
      <c r="M166" s="43"/>
      <c r="N166" s="43"/>
      <c r="O166" s="43"/>
      <c r="P166" s="43"/>
      <c r="Q166" s="43"/>
      <c r="R166" s="43"/>
      <c r="S166" s="43"/>
      <c r="T166" s="43"/>
      <c r="U166" s="43"/>
      <c r="V166" s="43"/>
      <c r="W166" s="43"/>
      <c r="X166" s="43"/>
      <c r="Y166" s="43"/>
      <c r="Z166" s="43"/>
    </row>
    <row r="167">
      <c r="A167" s="67"/>
      <c r="B167" s="67"/>
      <c r="C167" s="68"/>
      <c r="D167" s="70"/>
      <c r="E167" s="68"/>
      <c r="F167" s="20"/>
      <c r="G167" s="43"/>
      <c r="H167" s="43"/>
      <c r="I167" s="43"/>
      <c r="J167" s="63"/>
      <c r="K167" s="43"/>
      <c r="L167" s="43"/>
      <c r="M167" s="43"/>
      <c r="N167" s="43"/>
      <c r="O167" s="43"/>
      <c r="P167" s="43"/>
      <c r="Q167" s="43"/>
      <c r="R167" s="43"/>
      <c r="S167" s="43"/>
      <c r="T167" s="43"/>
      <c r="U167" s="43"/>
      <c r="V167" s="43"/>
      <c r="W167" s="43"/>
      <c r="X167" s="43"/>
      <c r="Y167" s="43"/>
      <c r="Z167" s="43"/>
    </row>
    <row r="168">
      <c r="A168" s="67"/>
      <c r="B168" s="67"/>
      <c r="C168" s="68"/>
      <c r="D168" s="70"/>
      <c r="E168" s="68"/>
      <c r="F168" s="20"/>
      <c r="G168" s="43"/>
      <c r="H168" s="43"/>
      <c r="I168" s="43"/>
      <c r="J168" s="63"/>
      <c r="K168" s="43"/>
      <c r="L168" s="43"/>
      <c r="M168" s="43"/>
      <c r="N168" s="43"/>
      <c r="O168" s="43"/>
      <c r="P168" s="43"/>
      <c r="Q168" s="43"/>
      <c r="R168" s="43"/>
      <c r="S168" s="43"/>
      <c r="T168" s="43"/>
      <c r="U168" s="43"/>
      <c r="V168" s="43"/>
      <c r="W168" s="43"/>
      <c r="X168" s="43"/>
      <c r="Y168" s="43"/>
      <c r="Z168" s="43"/>
    </row>
    <row r="169">
      <c r="A169" s="67"/>
      <c r="B169" s="67"/>
      <c r="C169" s="68"/>
      <c r="D169" s="70"/>
      <c r="E169" s="68"/>
      <c r="F169" s="20"/>
      <c r="G169" s="43"/>
      <c r="H169" s="43"/>
      <c r="I169" s="43"/>
      <c r="J169" s="63"/>
      <c r="K169" s="43"/>
      <c r="L169" s="43"/>
      <c r="M169" s="43"/>
      <c r="N169" s="43"/>
      <c r="O169" s="43"/>
      <c r="P169" s="43"/>
      <c r="Q169" s="43"/>
      <c r="R169" s="43"/>
      <c r="S169" s="43"/>
      <c r="T169" s="43"/>
      <c r="U169" s="43"/>
      <c r="V169" s="43"/>
      <c r="W169" s="43"/>
      <c r="X169" s="43"/>
      <c r="Y169" s="43"/>
      <c r="Z169" s="43"/>
    </row>
    <row r="170">
      <c r="A170" s="67"/>
      <c r="B170" s="67"/>
      <c r="C170" s="68"/>
      <c r="D170" s="70"/>
      <c r="E170" s="68"/>
      <c r="F170" s="20"/>
      <c r="G170" s="43"/>
      <c r="H170" s="43"/>
      <c r="I170" s="43"/>
      <c r="J170" s="63"/>
      <c r="K170" s="43"/>
      <c r="L170" s="43"/>
      <c r="M170" s="43"/>
      <c r="N170" s="43"/>
      <c r="O170" s="43"/>
      <c r="P170" s="43"/>
      <c r="Q170" s="43"/>
      <c r="R170" s="43"/>
      <c r="S170" s="43"/>
      <c r="T170" s="43"/>
      <c r="U170" s="43"/>
      <c r="V170" s="43"/>
      <c r="W170" s="43"/>
      <c r="X170" s="43"/>
      <c r="Y170" s="43"/>
      <c r="Z170" s="43"/>
    </row>
    <row r="171">
      <c r="A171" s="67"/>
      <c r="B171" s="67"/>
      <c r="C171" s="68"/>
      <c r="D171" s="70"/>
      <c r="E171" s="68"/>
      <c r="F171" s="20"/>
      <c r="G171" s="43"/>
      <c r="H171" s="43"/>
      <c r="I171" s="43"/>
      <c r="J171" s="63"/>
      <c r="K171" s="43"/>
      <c r="L171" s="43"/>
      <c r="M171" s="43"/>
      <c r="N171" s="43"/>
      <c r="O171" s="43"/>
      <c r="P171" s="43"/>
      <c r="Q171" s="43"/>
      <c r="R171" s="43"/>
      <c r="S171" s="43"/>
      <c r="T171" s="43"/>
      <c r="U171" s="43"/>
      <c r="V171" s="43"/>
      <c r="W171" s="43"/>
      <c r="X171" s="43"/>
      <c r="Y171" s="43"/>
      <c r="Z171" s="43"/>
    </row>
    <row r="172">
      <c r="A172" s="67"/>
      <c r="B172" s="67"/>
      <c r="C172" s="68"/>
      <c r="D172" s="70"/>
      <c r="E172" s="68"/>
      <c r="F172" s="20"/>
      <c r="G172" s="43"/>
      <c r="H172" s="43"/>
      <c r="I172" s="43"/>
      <c r="J172" s="63"/>
      <c r="K172" s="43"/>
      <c r="L172" s="43"/>
      <c r="M172" s="43"/>
      <c r="N172" s="43"/>
      <c r="O172" s="43"/>
      <c r="P172" s="43"/>
      <c r="Q172" s="43"/>
      <c r="R172" s="43"/>
      <c r="S172" s="43"/>
      <c r="T172" s="43"/>
      <c r="U172" s="43"/>
      <c r="V172" s="43"/>
      <c r="W172" s="43"/>
      <c r="X172" s="43"/>
      <c r="Y172" s="43"/>
      <c r="Z172" s="43"/>
    </row>
    <row r="173">
      <c r="A173" s="67"/>
      <c r="B173" s="67"/>
      <c r="C173" s="68"/>
      <c r="D173" s="70"/>
      <c r="E173" s="68"/>
      <c r="F173" s="20"/>
      <c r="G173" s="43"/>
      <c r="H173" s="43"/>
      <c r="I173" s="43"/>
      <c r="J173" s="63"/>
      <c r="K173" s="43"/>
      <c r="L173" s="43"/>
      <c r="M173" s="43"/>
      <c r="N173" s="43"/>
      <c r="O173" s="43"/>
      <c r="P173" s="43"/>
      <c r="Q173" s="43"/>
      <c r="R173" s="43"/>
      <c r="S173" s="43"/>
      <c r="T173" s="43"/>
      <c r="U173" s="43"/>
      <c r="V173" s="43"/>
      <c r="W173" s="43"/>
      <c r="X173" s="43"/>
      <c r="Y173" s="43"/>
      <c r="Z173" s="43"/>
    </row>
    <row r="174">
      <c r="A174" s="67"/>
      <c r="B174" s="67"/>
      <c r="C174" s="68"/>
      <c r="D174" s="70"/>
      <c r="E174" s="68"/>
      <c r="F174" s="20"/>
      <c r="G174" s="43"/>
      <c r="H174" s="43"/>
      <c r="I174" s="43"/>
      <c r="J174" s="63"/>
      <c r="K174" s="43"/>
      <c r="L174" s="43"/>
      <c r="M174" s="43"/>
      <c r="N174" s="43"/>
      <c r="O174" s="43"/>
      <c r="P174" s="43"/>
      <c r="Q174" s="43"/>
      <c r="R174" s="43"/>
      <c r="S174" s="43"/>
      <c r="T174" s="43"/>
      <c r="U174" s="43"/>
      <c r="V174" s="43"/>
      <c r="W174" s="43"/>
      <c r="X174" s="43"/>
      <c r="Y174" s="43"/>
      <c r="Z174" s="43"/>
    </row>
    <row r="175">
      <c r="A175" s="67"/>
      <c r="B175" s="67"/>
      <c r="C175" s="68"/>
      <c r="D175" s="70"/>
      <c r="E175" s="68"/>
      <c r="F175" s="20"/>
      <c r="G175" s="43"/>
      <c r="H175" s="43"/>
      <c r="I175" s="43"/>
      <c r="J175" s="63"/>
      <c r="K175" s="43"/>
      <c r="L175" s="43"/>
      <c r="M175" s="43"/>
      <c r="N175" s="43"/>
      <c r="O175" s="43"/>
      <c r="P175" s="43"/>
      <c r="Q175" s="43"/>
      <c r="R175" s="43"/>
      <c r="S175" s="43"/>
      <c r="T175" s="43"/>
      <c r="U175" s="43"/>
      <c r="V175" s="43"/>
      <c r="W175" s="43"/>
      <c r="X175" s="43"/>
      <c r="Y175" s="43"/>
      <c r="Z175" s="43"/>
    </row>
    <row r="176">
      <c r="A176" s="67"/>
      <c r="B176" s="67"/>
      <c r="C176" s="68"/>
      <c r="D176" s="70"/>
      <c r="E176" s="68"/>
      <c r="F176" s="20"/>
      <c r="G176" s="43"/>
      <c r="H176" s="43"/>
      <c r="I176" s="43"/>
      <c r="J176" s="63"/>
      <c r="K176" s="43"/>
      <c r="L176" s="43"/>
      <c r="M176" s="43"/>
      <c r="N176" s="43"/>
      <c r="O176" s="43"/>
      <c r="P176" s="43"/>
      <c r="Q176" s="43"/>
      <c r="R176" s="43"/>
      <c r="S176" s="43"/>
      <c r="T176" s="43"/>
      <c r="U176" s="43"/>
      <c r="V176" s="43"/>
      <c r="W176" s="43"/>
      <c r="X176" s="43"/>
      <c r="Y176" s="43"/>
      <c r="Z176" s="43"/>
    </row>
    <row r="177">
      <c r="A177" s="67"/>
      <c r="B177" s="67"/>
      <c r="C177" s="68"/>
      <c r="D177" s="70"/>
      <c r="E177" s="68"/>
      <c r="F177" s="20"/>
      <c r="G177" s="43"/>
      <c r="H177" s="43"/>
      <c r="I177" s="43"/>
      <c r="J177" s="63"/>
      <c r="K177" s="43"/>
      <c r="L177" s="43"/>
      <c r="M177" s="43"/>
      <c r="N177" s="43"/>
      <c r="O177" s="43"/>
      <c r="P177" s="43"/>
      <c r="Q177" s="43"/>
      <c r="R177" s="43"/>
      <c r="S177" s="43"/>
      <c r="T177" s="43"/>
      <c r="U177" s="43"/>
      <c r="V177" s="43"/>
      <c r="W177" s="43"/>
      <c r="X177" s="43"/>
      <c r="Y177" s="43"/>
      <c r="Z177" s="43"/>
    </row>
    <row r="178">
      <c r="A178" s="67"/>
      <c r="B178" s="67"/>
      <c r="C178" s="68"/>
      <c r="D178" s="70"/>
      <c r="E178" s="68"/>
      <c r="F178" s="20"/>
      <c r="G178" s="43"/>
      <c r="H178" s="43"/>
      <c r="I178" s="43"/>
      <c r="J178" s="63"/>
      <c r="K178" s="43"/>
      <c r="L178" s="43"/>
      <c r="M178" s="43"/>
      <c r="N178" s="43"/>
      <c r="O178" s="43"/>
      <c r="P178" s="43"/>
      <c r="Q178" s="43"/>
      <c r="R178" s="43"/>
      <c r="S178" s="43"/>
      <c r="T178" s="43"/>
      <c r="U178" s="43"/>
      <c r="V178" s="43"/>
      <c r="W178" s="43"/>
      <c r="X178" s="43"/>
      <c r="Y178" s="43"/>
      <c r="Z178" s="43"/>
    </row>
    <row r="179">
      <c r="A179" s="67"/>
      <c r="B179" s="67"/>
      <c r="C179" s="68"/>
      <c r="D179" s="70"/>
      <c r="E179" s="68"/>
      <c r="F179" s="20"/>
      <c r="G179" s="43"/>
      <c r="H179" s="43"/>
      <c r="I179" s="43"/>
      <c r="J179" s="63"/>
      <c r="K179" s="43"/>
      <c r="L179" s="43"/>
      <c r="M179" s="43"/>
      <c r="N179" s="43"/>
      <c r="O179" s="43"/>
      <c r="P179" s="43"/>
      <c r="Q179" s="43"/>
      <c r="R179" s="43"/>
      <c r="S179" s="43"/>
      <c r="T179" s="43"/>
      <c r="U179" s="43"/>
      <c r="V179" s="43"/>
      <c r="W179" s="43"/>
      <c r="X179" s="43"/>
      <c r="Y179" s="43"/>
      <c r="Z179" s="43"/>
    </row>
    <row r="180">
      <c r="A180" s="67"/>
      <c r="B180" s="67"/>
      <c r="C180" s="68"/>
      <c r="D180" s="70"/>
      <c r="E180" s="68"/>
      <c r="F180" s="20"/>
      <c r="G180" s="43"/>
      <c r="H180" s="43"/>
      <c r="I180" s="43"/>
      <c r="J180" s="63"/>
      <c r="K180" s="43"/>
      <c r="L180" s="43"/>
      <c r="M180" s="43"/>
      <c r="N180" s="43"/>
      <c r="O180" s="43"/>
      <c r="P180" s="43"/>
      <c r="Q180" s="43"/>
      <c r="R180" s="43"/>
      <c r="S180" s="43"/>
      <c r="T180" s="43"/>
      <c r="U180" s="43"/>
      <c r="V180" s="43"/>
      <c r="W180" s="43"/>
      <c r="X180" s="43"/>
      <c r="Y180" s="43"/>
      <c r="Z180" s="43"/>
    </row>
    <row r="181">
      <c r="A181" s="67"/>
      <c r="B181" s="67"/>
      <c r="C181" s="68"/>
      <c r="D181" s="70"/>
      <c r="E181" s="68"/>
      <c r="F181" s="20"/>
      <c r="G181" s="43"/>
      <c r="H181" s="43"/>
      <c r="I181" s="43"/>
      <c r="J181" s="63"/>
      <c r="K181" s="43"/>
      <c r="L181" s="43"/>
      <c r="M181" s="43"/>
      <c r="N181" s="43"/>
      <c r="O181" s="43"/>
      <c r="P181" s="43"/>
      <c r="Q181" s="43"/>
      <c r="R181" s="43"/>
      <c r="S181" s="43"/>
      <c r="T181" s="43"/>
      <c r="U181" s="43"/>
      <c r="V181" s="43"/>
      <c r="W181" s="43"/>
      <c r="X181" s="43"/>
      <c r="Y181" s="43"/>
      <c r="Z181" s="43"/>
    </row>
    <row r="182">
      <c r="A182" s="67"/>
      <c r="B182" s="67"/>
      <c r="C182" s="68"/>
      <c r="D182" s="70"/>
      <c r="E182" s="68"/>
      <c r="F182" s="20"/>
      <c r="G182" s="43"/>
      <c r="H182" s="43"/>
      <c r="I182" s="43"/>
      <c r="J182" s="63"/>
      <c r="K182" s="43"/>
      <c r="L182" s="43"/>
      <c r="M182" s="43"/>
      <c r="N182" s="43"/>
      <c r="O182" s="43"/>
      <c r="P182" s="43"/>
      <c r="Q182" s="43"/>
      <c r="R182" s="43"/>
      <c r="S182" s="43"/>
      <c r="T182" s="43"/>
      <c r="U182" s="43"/>
      <c r="V182" s="43"/>
      <c r="W182" s="43"/>
      <c r="X182" s="43"/>
      <c r="Y182" s="43"/>
      <c r="Z182" s="43"/>
    </row>
    <row r="183">
      <c r="A183" s="67"/>
      <c r="B183" s="67"/>
      <c r="C183" s="68"/>
      <c r="D183" s="70"/>
      <c r="E183" s="68"/>
      <c r="F183" s="20"/>
      <c r="G183" s="43"/>
      <c r="H183" s="43"/>
      <c r="I183" s="43"/>
      <c r="J183" s="63"/>
      <c r="K183" s="43"/>
      <c r="L183" s="43"/>
      <c r="M183" s="43"/>
      <c r="N183" s="43"/>
      <c r="O183" s="43"/>
      <c r="P183" s="43"/>
      <c r="Q183" s="43"/>
      <c r="R183" s="43"/>
      <c r="S183" s="43"/>
      <c r="T183" s="43"/>
      <c r="U183" s="43"/>
      <c r="V183" s="43"/>
      <c r="W183" s="43"/>
      <c r="X183" s="43"/>
      <c r="Y183" s="43"/>
      <c r="Z183" s="43"/>
    </row>
    <row r="184">
      <c r="A184" s="67"/>
      <c r="B184" s="67"/>
      <c r="C184" s="68"/>
      <c r="D184" s="70"/>
      <c r="E184" s="68"/>
      <c r="F184" s="20"/>
      <c r="G184" s="43"/>
      <c r="H184" s="43"/>
      <c r="I184" s="43"/>
      <c r="J184" s="63"/>
      <c r="K184" s="43"/>
      <c r="L184" s="43"/>
      <c r="M184" s="43"/>
      <c r="N184" s="43"/>
      <c r="O184" s="43"/>
      <c r="P184" s="43"/>
      <c r="Q184" s="43"/>
      <c r="R184" s="43"/>
      <c r="S184" s="43"/>
      <c r="T184" s="43"/>
      <c r="U184" s="43"/>
      <c r="V184" s="43"/>
      <c r="W184" s="43"/>
      <c r="X184" s="43"/>
      <c r="Y184" s="43"/>
      <c r="Z184" s="43"/>
    </row>
    <row r="185">
      <c r="A185" s="67"/>
      <c r="B185" s="67"/>
      <c r="C185" s="68"/>
      <c r="D185" s="70"/>
      <c r="E185" s="68"/>
      <c r="F185" s="20"/>
      <c r="G185" s="43"/>
      <c r="H185" s="43"/>
      <c r="I185" s="43"/>
      <c r="J185" s="63"/>
      <c r="K185" s="43"/>
      <c r="L185" s="43"/>
      <c r="M185" s="43"/>
      <c r="N185" s="43"/>
      <c r="O185" s="43"/>
      <c r="P185" s="43"/>
      <c r="Q185" s="43"/>
      <c r="R185" s="43"/>
      <c r="S185" s="43"/>
      <c r="T185" s="43"/>
      <c r="U185" s="43"/>
      <c r="V185" s="43"/>
      <c r="W185" s="43"/>
      <c r="X185" s="43"/>
      <c r="Y185" s="43"/>
      <c r="Z185" s="43"/>
    </row>
    <row r="186">
      <c r="A186" s="67"/>
      <c r="B186" s="67"/>
      <c r="C186" s="68"/>
      <c r="D186" s="70"/>
      <c r="E186" s="68"/>
      <c r="F186" s="20"/>
      <c r="G186" s="43"/>
      <c r="H186" s="43"/>
      <c r="I186" s="43"/>
      <c r="J186" s="63"/>
      <c r="K186" s="43"/>
      <c r="L186" s="43"/>
      <c r="M186" s="43"/>
      <c r="N186" s="43"/>
      <c r="O186" s="43"/>
      <c r="P186" s="43"/>
      <c r="Q186" s="43"/>
      <c r="R186" s="43"/>
      <c r="S186" s="43"/>
      <c r="T186" s="43"/>
      <c r="U186" s="43"/>
      <c r="V186" s="43"/>
      <c r="W186" s="43"/>
      <c r="X186" s="43"/>
      <c r="Y186" s="43"/>
      <c r="Z186" s="43"/>
    </row>
    <row r="187">
      <c r="A187" s="67"/>
      <c r="B187" s="67"/>
      <c r="C187" s="68"/>
      <c r="D187" s="70"/>
      <c r="E187" s="68"/>
      <c r="F187" s="20"/>
      <c r="G187" s="43"/>
      <c r="H187" s="43"/>
      <c r="I187" s="43"/>
      <c r="J187" s="63"/>
      <c r="K187" s="43"/>
      <c r="L187" s="43"/>
      <c r="M187" s="43"/>
      <c r="N187" s="43"/>
      <c r="O187" s="43"/>
      <c r="P187" s="43"/>
      <c r="Q187" s="43"/>
      <c r="R187" s="43"/>
      <c r="S187" s="43"/>
      <c r="T187" s="43"/>
      <c r="U187" s="43"/>
      <c r="V187" s="43"/>
      <c r="W187" s="43"/>
      <c r="X187" s="43"/>
      <c r="Y187" s="43"/>
      <c r="Z187" s="43"/>
    </row>
    <row r="188">
      <c r="A188" s="67"/>
      <c r="B188" s="67"/>
      <c r="C188" s="68"/>
      <c r="D188" s="70"/>
      <c r="E188" s="68"/>
      <c r="F188" s="20"/>
      <c r="G188" s="43"/>
      <c r="H188" s="43"/>
      <c r="I188" s="43"/>
      <c r="J188" s="63"/>
      <c r="K188" s="43"/>
      <c r="L188" s="43"/>
      <c r="M188" s="43"/>
      <c r="N188" s="43"/>
      <c r="O188" s="43"/>
      <c r="P188" s="43"/>
      <c r="Q188" s="43"/>
      <c r="R188" s="43"/>
      <c r="S188" s="43"/>
      <c r="T188" s="43"/>
      <c r="U188" s="43"/>
      <c r="V188" s="43"/>
      <c r="W188" s="43"/>
      <c r="X188" s="43"/>
      <c r="Y188" s="43"/>
      <c r="Z188" s="43"/>
    </row>
    <row r="189">
      <c r="A189" s="67"/>
      <c r="B189" s="67"/>
      <c r="C189" s="68"/>
      <c r="D189" s="70"/>
      <c r="E189" s="68"/>
      <c r="F189" s="20"/>
      <c r="G189" s="43"/>
      <c r="H189" s="43"/>
      <c r="I189" s="43"/>
      <c r="J189" s="63"/>
      <c r="K189" s="43"/>
      <c r="L189" s="43"/>
      <c r="M189" s="43"/>
      <c r="N189" s="43"/>
      <c r="O189" s="43"/>
      <c r="P189" s="43"/>
      <c r="Q189" s="43"/>
      <c r="R189" s="43"/>
      <c r="S189" s="43"/>
      <c r="T189" s="43"/>
      <c r="U189" s="43"/>
      <c r="V189" s="43"/>
      <c r="W189" s="43"/>
      <c r="X189" s="43"/>
      <c r="Y189" s="43"/>
      <c r="Z189" s="43"/>
    </row>
    <row r="190">
      <c r="A190" s="67"/>
      <c r="B190" s="67"/>
      <c r="C190" s="68"/>
      <c r="D190" s="70"/>
      <c r="E190" s="68"/>
      <c r="F190" s="20"/>
      <c r="G190" s="43"/>
      <c r="H190" s="43"/>
      <c r="I190" s="43"/>
      <c r="J190" s="63"/>
      <c r="K190" s="43"/>
      <c r="L190" s="43"/>
      <c r="M190" s="43"/>
      <c r="N190" s="43"/>
      <c r="O190" s="43"/>
      <c r="P190" s="43"/>
      <c r="Q190" s="43"/>
      <c r="R190" s="43"/>
      <c r="S190" s="43"/>
      <c r="T190" s="43"/>
      <c r="U190" s="43"/>
      <c r="V190" s="43"/>
      <c r="W190" s="43"/>
      <c r="X190" s="43"/>
      <c r="Y190" s="43"/>
      <c r="Z190" s="43"/>
    </row>
    <row r="191">
      <c r="A191" s="67"/>
      <c r="B191" s="67"/>
      <c r="C191" s="68"/>
      <c r="D191" s="70"/>
      <c r="E191" s="68"/>
      <c r="F191" s="20"/>
      <c r="G191" s="43"/>
      <c r="H191" s="43"/>
      <c r="I191" s="43"/>
      <c r="J191" s="63"/>
      <c r="K191" s="43"/>
      <c r="L191" s="43"/>
      <c r="M191" s="43"/>
      <c r="N191" s="43"/>
      <c r="O191" s="43"/>
      <c r="P191" s="43"/>
      <c r="Q191" s="43"/>
      <c r="R191" s="43"/>
      <c r="S191" s="43"/>
      <c r="T191" s="43"/>
      <c r="U191" s="43"/>
      <c r="V191" s="43"/>
      <c r="W191" s="43"/>
      <c r="X191" s="43"/>
      <c r="Y191" s="43"/>
      <c r="Z191" s="43"/>
    </row>
    <row r="192">
      <c r="A192" s="67"/>
      <c r="B192" s="67"/>
      <c r="C192" s="68"/>
      <c r="D192" s="70"/>
      <c r="E192" s="68"/>
      <c r="F192" s="20"/>
      <c r="G192" s="43"/>
      <c r="H192" s="43"/>
      <c r="I192" s="43"/>
      <c r="J192" s="63"/>
      <c r="K192" s="43"/>
      <c r="L192" s="43"/>
      <c r="M192" s="43"/>
      <c r="N192" s="43"/>
      <c r="O192" s="43"/>
      <c r="P192" s="43"/>
      <c r="Q192" s="43"/>
      <c r="R192" s="43"/>
      <c r="S192" s="43"/>
      <c r="T192" s="43"/>
      <c r="U192" s="43"/>
      <c r="V192" s="43"/>
      <c r="W192" s="43"/>
      <c r="X192" s="43"/>
      <c r="Y192" s="43"/>
      <c r="Z192" s="43"/>
    </row>
    <row r="193">
      <c r="A193" s="67"/>
      <c r="B193" s="67"/>
      <c r="C193" s="68"/>
      <c r="D193" s="70"/>
      <c r="E193" s="68"/>
      <c r="F193" s="20"/>
      <c r="G193" s="43"/>
      <c r="H193" s="43"/>
      <c r="I193" s="43"/>
      <c r="J193" s="63"/>
      <c r="K193" s="43"/>
      <c r="L193" s="43"/>
      <c r="M193" s="43"/>
      <c r="N193" s="43"/>
      <c r="O193" s="43"/>
      <c r="P193" s="43"/>
      <c r="Q193" s="43"/>
      <c r="R193" s="43"/>
      <c r="S193" s="43"/>
      <c r="T193" s="43"/>
      <c r="U193" s="43"/>
      <c r="V193" s="43"/>
      <c r="W193" s="43"/>
      <c r="X193" s="43"/>
      <c r="Y193" s="43"/>
      <c r="Z193" s="43"/>
    </row>
    <row r="194">
      <c r="A194" s="67"/>
      <c r="B194" s="67"/>
      <c r="C194" s="68"/>
      <c r="D194" s="70"/>
      <c r="E194" s="68"/>
      <c r="F194" s="20"/>
      <c r="G194" s="43"/>
      <c r="H194" s="43"/>
      <c r="I194" s="43"/>
      <c r="J194" s="63"/>
      <c r="K194" s="43"/>
      <c r="L194" s="43"/>
      <c r="M194" s="43"/>
      <c r="N194" s="43"/>
      <c r="O194" s="43"/>
      <c r="P194" s="43"/>
      <c r="Q194" s="43"/>
      <c r="R194" s="43"/>
      <c r="S194" s="43"/>
      <c r="T194" s="43"/>
      <c r="U194" s="43"/>
      <c r="V194" s="43"/>
      <c r="W194" s="43"/>
      <c r="X194" s="43"/>
      <c r="Y194" s="43"/>
      <c r="Z194" s="43"/>
    </row>
    <row r="195">
      <c r="A195" s="67"/>
      <c r="B195" s="67"/>
      <c r="C195" s="68"/>
      <c r="D195" s="70"/>
      <c r="E195" s="68"/>
      <c r="F195" s="20"/>
      <c r="G195" s="43"/>
      <c r="H195" s="43"/>
      <c r="I195" s="43"/>
      <c r="J195" s="63"/>
      <c r="K195" s="43"/>
      <c r="L195" s="43"/>
      <c r="M195" s="43"/>
      <c r="N195" s="43"/>
      <c r="O195" s="43"/>
      <c r="P195" s="43"/>
      <c r="Q195" s="43"/>
      <c r="R195" s="43"/>
      <c r="S195" s="43"/>
      <c r="T195" s="43"/>
      <c r="U195" s="43"/>
      <c r="V195" s="43"/>
      <c r="W195" s="43"/>
      <c r="X195" s="43"/>
      <c r="Y195" s="43"/>
      <c r="Z195" s="43"/>
    </row>
    <row r="196">
      <c r="A196" s="67"/>
      <c r="B196" s="67"/>
      <c r="C196" s="68"/>
      <c r="D196" s="70"/>
      <c r="E196" s="68"/>
      <c r="F196" s="20"/>
      <c r="G196" s="43"/>
      <c r="H196" s="43"/>
      <c r="I196" s="43"/>
      <c r="J196" s="63"/>
      <c r="K196" s="43"/>
      <c r="L196" s="43"/>
      <c r="M196" s="43"/>
      <c r="N196" s="43"/>
      <c r="O196" s="43"/>
      <c r="P196" s="43"/>
      <c r="Q196" s="43"/>
      <c r="R196" s="43"/>
      <c r="S196" s="43"/>
      <c r="T196" s="43"/>
      <c r="U196" s="43"/>
      <c r="V196" s="43"/>
      <c r="W196" s="43"/>
      <c r="X196" s="43"/>
      <c r="Y196" s="43"/>
      <c r="Z196" s="43"/>
    </row>
    <row r="197">
      <c r="A197" s="67"/>
      <c r="B197" s="67"/>
      <c r="C197" s="68"/>
      <c r="D197" s="70"/>
      <c r="E197" s="68"/>
      <c r="F197" s="20"/>
      <c r="G197" s="43"/>
      <c r="H197" s="43"/>
      <c r="I197" s="43"/>
      <c r="J197" s="63"/>
      <c r="K197" s="43"/>
      <c r="L197" s="43"/>
      <c r="M197" s="43"/>
      <c r="N197" s="43"/>
      <c r="O197" s="43"/>
      <c r="P197" s="43"/>
      <c r="Q197" s="43"/>
      <c r="R197" s="43"/>
      <c r="S197" s="43"/>
      <c r="T197" s="43"/>
      <c r="U197" s="43"/>
      <c r="V197" s="43"/>
      <c r="W197" s="43"/>
      <c r="X197" s="43"/>
      <c r="Y197" s="43"/>
      <c r="Z197" s="43"/>
    </row>
    <row r="198">
      <c r="A198" s="67"/>
      <c r="B198" s="67"/>
      <c r="C198" s="68"/>
      <c r="D198" s="70"/>
      <c r="E198" s="68"/>
      <c r="F198" s="20"/>
      <c r="G198" s="43"/>
      <c r="H198" s="43"/>
      <c r="I198" s="43"/>
      <c r="J198" s="63"/>
      <c r="K198" s="43"/>
      <c r="L198" s="43"/>
      <c r="M198" s="43"/>
      <c r="N198" s="43"/>
      <c r="O198" s="43"/>
      <c r="P198" s="43"/>
      <c r="Q198" s="43"/>
      <c r="R198" s="43"/>
      <c r="S198" s="43"/>
      <c r="T198" s="43"/>
      <c r="U198" s="43"/>
      <c r="V198" s="43"/>
      <c r="W198" s="43"/>
      <c r="X198" s="43"/>
      <c r="Y198" s="43"/>
      <c r="Z198" s="43"/>
    </row>
    <row r="199">
      <c r="A199" s="67"/>
      <c r="B199" s="67"/>
      <c r="C199" s="68"/>
      <c r="D199" s="70"/>
      <c r="E199" s="68"/>
      <c r="F199" s="20"/>
      <c r="G199" s="43"/>
      <c r="H199" s="43"/>
      <c r="I199" s="43"/>
      <c r="J199" s="63"/>
      <c r="K199" s="43"/>
      <c r="L199" s="43"/>
      <c r="M199" s="43"/>
      <c r="N199" s="43"/>
      <c r="O199" s="43"/>
      <c r="P199" s="43"/>
      <c r="Q199" s="43"/>
      <c r="R199" s="43"/>
      <c r="S199" s="43"/>
      <c r="T199" s="43"/>
      <c r="U199" s="43"/>
      <c r="V199" s="43"/>
      <c r="W199" s="43"/>
      <c r="X199" s="43"/>
      <c r="Y199" s="43"/>
      <c r="Z199" s="43"/>
    </row>
    <row r="200">
      <c r="A200" s="67"/>
      <c r="B200" s="67"/>
      <c r="C200" s="68"/>
      <c r="D200" s="70"/>
      <c r="E200" s="68"/>
      <c r="F200" s="20"/>
      <c r="G200" s="43"/>
      <c r="H200" s="43"/>
      <c r="I200" s="43"/>
      <c r="J200" s="63"/>
      <c r="K200" s="43"/>
      <c r="L200" s="43"/>
      <c r="M200" s="43"/>
      <c r="N200" s="43"/>
      <c r="O200" s="43"/>
      <c r="P200" s="43"/>
      <c r="Q200" s="43"/>
      <c r="R200" s="43"/>
      <c r="S200" s="43"/>
      <c r="T200" s="43"/>
      <c r="U200" s="43"/>
      <c r="V200" s="43"/>
      <c r="W200" s="43"/>
      <c r="X200" s="43"/>
      <c r="Y200" s="43"/>
      <c r="Z200" s="43"/>
    </row>
    <row r="201">
      <c r="A201" s="67"/>
      <c r="B201" s="67"/>
      <c r="C201" s="68"/>
      <c r="D201" s="70"/>
      <c r="E201" s="68"/>
      <c r="F201" s="20"/>
      <c r="G201" s="43"/>
      <c r="H201" s="43"/>
      <c r="I201" s="43"/>
      <c r="J201" s="63"/>
      <c r="K201" s="43"/>
      <c r="L201" s="43"/>
      <c r="M201" s="43"/>
      <c r="N201" s="43"/>
      <c r="O201" s="43"/>
      <c r="P201" s="43"/>
      <c r="Q201" s="43"/>
      <c r="R201" s="43"/>
      <c r="S201" s="43"/>
      <c r="T201" s="43"/>
      <c r="U201" s="43"/>
      <c r="V201" s="43"/>
      <c r="W201" s="43"/>
      <c r="X201" s="43"/>
      <c r="Y201" s="43"/>
      <c r="Z201" s="43"/>
    </row>
    <row r="202">
      <c r="A202" s="67"/>
      <c r="B202" s="67"/>
      <c r="C202" s="68"/>
      <c r="D202" s="70"/>
      <c r="E202" s="68"/>
      <c r="F202" s="20"/>
      <c r="G202" s="43"/>
      <c r="H202" s="43"/>
      <c r="I202" s="43"/>
      <c r="J202" s="63"/>
      <c r="K202" s="43"/>
      <c r="L202" s="43"/>
      <c r="M202" s="43"/>
      <c r="N202" s="43"/>
      <c r="O202" s="43"/>
      <c r="P202" s="43"/>
      <c r="Q202" s="43"/>
      <c r="R202" s="43"/>
      <c r="S202" s="43"/>
      <c r="T202" s="43"/>
      <c r="U202" s="43"/>
      <c r="V202" s="43"/>
      <c r="W202" s="43"/>
      <c r="X202" s="43"/>
      <c r="Y202" s="43"/>
      <c r="Z202" s="43"/>
    </row>
    <row r="203">
      <c r="A203" s="67"/>
      <c r="B203" s="67"/>
      <c r="C203" s="68"/>
      <c r="D203" s="70"/>
      <c r="E203" s="68"/>
      <c r="F203" s="20"/>
      <c r="G203" s="43"/>
      <c r="H203" s="43"/>
      <c r="I203" s="43"/>
      <c r="J203" s="63"/>
      <c r="K203" s="43"/>
      <c r="L203" s="43"/>
      <c r="M203" s="43"/>
      <c r="N203" s="43"/>
      <c r="O203" s="43"/>
      <c r="P203" s="43"/>
      <c r="Q203" s="43"/>
      <c r="R203" s="43"/>
      <c r="S203" s="43"/>
      <c r="T203" s="43"/>
      <c r="U203" s="43"/>
      <c r="V203" s="43"/>
      <c r="W203" s="43"/>
      <c r="X203" s="43"/>
      <c r="Y203" s="43"/>
      <c r="Z203" s="43"/>
    </row>
    <row r="204">
      <c r="A204" s="67"/>
      <c r="B204" s="67"/>
      <c r="C204" s="68"/>
      <c r="D204" s="70"/>
      <c r="E204" s="68"/>
      <c r="F204" s="20"/>
      <c r="G204" s="43"/>
      <c r="H204" s="43"/>
      <c r="I204" s="43"/>
      <c r="J204" s="63"/>
      <c r="K204" s="43"/>
      <c r="L204" s="43"/>
      <c r="M204" s="43"/>
      <c r="N204" s="43"/>
      <c r="O204" s="43"/>
      <c r="P204" s="43"/>
      <c r="Q204" s="43"/>
      <c r="R204" s="43"/>
      <c r="S204" s="43"/>
      <c r="T204" s="43"/>
      <c r="U204" s="43"/>
      <c r="V204" s="43"/>
      <c r="W204" s="43"/>
      <c r="X204" s="43"/>
      <c r="Y204" s="43"/>
      <c r="Z204" s="43"/>
    </row>
    <row r="205">
      <c r="A205" s="67"/>
      <c r="B205" s="67"/>
      <c r="C205" s="68"/>
      <c r="D205" s="70"/>
      <c r="E205" s="68"/>
      <c r="F205" s="20"/>
      <c r="G205" s="43"/>
      <c r="H205" s="43"/>
      <c r="I205" s="43"/>
      <c r="J205" s="63"/>
      <c r="K205" s="43"/>
      <c r="L205" s="43"/>
      <c r="M205" s="43"/>
      <c r="N205" s="43"/>
      <c r="O205" s="43"/>
      <c r="P205" s="43"/>
      <c r="Q205" s="43"/>
      <c r="R205" s="43"/>
      <c r="S205" s="43"/>
      <c r="T205" s="43"/>
      <c r="U205" s="43"/>
      <c r="V205" s="43"/>
      <c r="W205" s="43"/>
      <c r="X205" s="43"/>
      <c r="Y205" s="43"/>
      <c r="Z205" s="43"/>
    </row>
    <row r="206">
      <c r="A206" s="67"/>
      <c r="B206" s="67"/>
      <c r="C206" s="68"/>
      <c r="D206" s="70"/>
      <c r="E206" s="68"/>
      <c r="F206" s="20"/>
      <c r="G206" s="43"/>
      <c r="H206" s="43"/>
      <c r="I206" s="43"/>
      <c r="J206" s="63"/>
      <c r="K206" s="43"/>
      <c r="L206" s="43"/>
      <c r="M206" s="43"/>
      <c r="N206" s="43"/>
      <c r="O206" s="43"/>
      <c r="P206" s="43"/>
      <c r="Q206" s="43"/>
      <c r="R206" s="43"/>
      <c r="S206" s="43"/>
      <c r="T206" s="43"/>
      <c r="U206" s="43"/>
      <c r="V206" s="43"/>
      <c r="W206" s="43"/>
      <c r="X206" s="43"/>
      <c r="Y206" s="43"/>
      <c r="Z206" s="43"/>
    </row>
    <row r="207">
      <c r="A207" s="67"/>
      <c r="B207" s="67"/>
      <c r="C207" s="68"/>
      <c r="D207" s="70"/>
      <c r="E207" s="68"/>
      <c r="F207" s="20"/>
      <c r="G207" s="43"/>
      <c r="H207" s="43"/>
      <c r="I207" s="43"/>
      <c r="J207" s="63"/>
      <c r="K207" s="43"/>
      <c r="L207" s="43"/>
      <c r="M207" s="43"/>
      <c r="N207" s="43"/>
      <c r="O207" s="43"/>
      <c r="P207" s="43"/>
      <c r="Q207" s="43"/>
      <c r="R207" s="43"/>
      <c r="S207" s="43"/>
      <c r="T207" s="43"/>
      <c r="U207" s="43"/>
      <c r="V207" s="43"/>
      <c r="W207" s="43"/>
      <c r="X207" s="43"/>
      <c r="Y207" s="43"/>
      <c r="Z207" s="43"/>
    </row>
    <row r="208">
      <c r="A208" s="67"/>
      <c r="B208" s="67"/>
      <c r="C208" s="68"/>
      <c r="D208" s="70"/>
      <c r="E208" s="68"/>
      <c r="F208" s="20"/>
      <c r="G208" s="43"/>
      <c r="H208" s="43"/>
      <c r="I208" s="43"/>
      <c r="J208" s="63"/>
      <c r="K208" s="43"/>
      <c r="L208" s="43"/>
      <c r="M208" s="43"/>
      <c r="N208" s="43"/>
      <c r="O208" s="43"/>
      <c r="P208" s="43"/>
      <c r="Q208" s="43"/>
      <c r="R208" s="43"/>
      <c r="S208" s="43"/>
      <c r="T208" s="43"/>
      <c r="U208" s="43"/>
      <c r="V208" s="43"/>
      <c r="W208" s="43"/>
      <c r="X208" s="43"/>
      <c r="Y208" s="43"/>
      <c r="Z208" s="43"/>
    </row>
    <row r="209">
      <c r="A209" s="67"/>
      <c r="B209" s="67"/>
      <c r="C209" s="68"/>
      <c r="D209" s="70"/>
      <c r="E209" s="68"/>
      <c r="F209" s="20"/>
      <c r="G209" s="43"/>
      <c r="H209" s="43"/>
      <c r="I209" s="43"/>
      <c r="J209" s="63"/>
      <c r="K209" s="43"/>
      <c r="L209" s="43"/>
      <c r="M209" s="43"/>
      <c r="N209" s="43"/>
      <c r="O209" s="43"/>
      <c r="P209" s="43"/>
      <c r="Q209" s="43"/>
      <c r="R209" s="43"/>
      <c r="S209" s="43"/>
      <c r="T209" s="43"/>
      <c r="U209" s="43"/>
      <c r="V209" s="43"/>
      <c r="W209" s="43"/>
      <c r="X209" s="43"/>
      <c r="Y209" s="43"/>
      <c r="Z209" s="43"/>
    </row>
    <row r="210">
      <c r="A210" s="67"/>
      <c r="B210" s="67"/>
      <c r="C210" s="68"/>
      <c r="D210" s="70"/>
      <c r="E210" s="68"/>
      <c r="F210" s="20"/>
      <c r="G210" s="43"/>
      <c r="H210" s="43"/>
      <c r="I210" s="43"/>
      <c r="J210" s="63"/>
      <c r="K210" s="43"/>
      <c r="L210" s="43"/>
      <c r="M210" s="43"/>
      <c r="N210" s="43"/>
      <c r="O210" s="43"/>
      <c r="P210" s="43"/>
      <c r="Q210" s="43"/>
      <c r="R210" s="43"/>
      <c r="S210" s="43"/>
      <c r="T210" s="43"/>
      <c r="U210" s="43"/>
      <c r="V210" s="43"/>
      <c r="W210" s="43"/>
      <c r="X210" s="43"/>
      <c r="Y210" s="43"/>
      <c r="Z210" s="43"/>
    </row>
    <row r="211">
      <c r="A211" s="67"/>
      <c r="B211" s="67"/>
      <c r="C211" s="68"/>
      <c r="D211" s="70"/>
      <c r="E211" s="68"/>
      <c r="F211" s="20"/>
      <c r="G211" s="43"/>
      <c r="H211" s="43"/>
      <c r="I211" s="43"/>
      <c r="J211" s="63"/>
      <c r="K211" s="43"/>
      <c r="L211" s="43"/>
      <c r="M211" s="43"/>
      <c r="N211" s="43"/>
      <c r="O211" s="43"/>
      <c r="P211" s="43"/>
      <c r="Q211" s="43"/>
      <c r="R211" s="43"/>
      <c r="S211" s="43"/>
      <c r="T211" s="43"/>
      <c r="U211" s="43"/>
      <c r="V211" s="43"/>
      <c r="W211" s="43"/>
      <c r="X211" s="43"/>
      <c r="Y211" s="43"/>
      <c r="Z211" s="43"/>
    </row>
    <row r="212">
      <c r="A212" s="67"/>
      <c r="B212" s="67"/>
      <c r="C212" s="68"/>
      <c r="D212" s="70"/>
      <c r="E212" s="68"/>
      <c r="F212" s="20"/>
      <c r="G212" s="43"/>
      <c r="H212" s="43"/>
      <c r="I212" s="43"/>
      <c r="J212" s="63"/>
      <c r="K212" s="43"/>
      <c r="L212" s="43"/>
      <c r="M212" s="43"/>
      <c r="N212" s="43"/>
      <c r="O212" s="43"/>
      <c r="P212" s="43"/>
      <c r="Q212" s="43"/>
      <c r="R212" s="43"/>
      <c r="S212" s="43"/>
      <c r="T212" s="43"/>
      <c r="U212" s="43"/>
      <c r="V212" s="43"/>
      <c r="W212" s="43"/>
      <c r="X212" s="43"/>
      <c r="Y212" s="43"/>
      <c r="Z212" s="43"/>
    </row>
    <row r="213">
      <c r="A213" s="67"/>
      <c r="B213" s="67"/>
      <c r="C213" s="68"/>
      <c r="D213" s="70"/>
      <c r="E213" s="68"/>
      <c r="F213" s="20"/>
      <c r="G213" s="43"/>
      <c r="H213" s="43"/>
      <c r="I213" s="43"/>
      <c r="J213" s="63"/>
      <c r="K213" s="43"/>
      <c r="L213" s="43"/>
      <c r="M213" s="43"/>
      <c r="N213" s="43"/>
      <c r="O213" s="43"/>
      <c r="P213" s="43"/>
      <c r="Q213" s="43"/>
      <c r="R213" s="43"/>
      <c r="S213" s="43"/>
      <c r="T213" s="43"/>
      <c r="U213" s="43"/>
      <c r="V213" s="43"/>
      <c r="W213" s="43"/>
      <c r="X213" s="43"/>
      <c r="Y213" s="43"/>
      <c r="Z213" s="43"/>
    </row>
    <row r="214">
      <c r="A214" s="67"/>
      <c r="B214" s="67"/>
      <c r="C214" s="68"/>
      <c r="D214" s="70"/>
      <c r="E214" s="68"/>
      <c r="F214" s="20"/>
      <c r="G214" s="43"/>
      <c r="H214" s="43"/>
      <c r="I214" s="43"/>
      <c r="J214" s="63"/>
      <c r="K214" s="43"/>
      <c r="L214" s="43"/>
      <c r="M214" s="43"/>
      <c r="N214" s="43"/>
      <c r="O214" s="43"/>
      <c r="P214" s="43"/>
      <c r="Q214" s="43"/>
      <c r="R214" s="43"/>
      <c r="S214" s="43"/>
      <c r="T214" s="43"/>
      <c r="U214" s="43"/>
      <c r="V214" s="43"/>
      <c r="W214" s="43"/>
      <c r="X214" s="43"/>
      <c r="Y214" s="43"/>
      <c r="Z214" s="43"/>
    </row>
    <row r="215">
      <c r="A215" s="67"/>
      <c r="B215" s="67"/>
      <c r="C215" s="68"/>
      <c r="D215" s="70"/>
      <c r="E215" s="68"/>
      <c r="F215" s="20"/>
      <c r="G215" s="43"/>
      <c r="H215" s="43"/>
      <c r="I215" s="43"/>
      <c r="J215" s="63"/>
      <c r="K215" s="43"/>
      <c r="L215" s="43"/>
      <c r="M215" s="43"/>
      <c r="N215" s="43"/>
      <c r="O215" s="43"/>
      <c r="P215" s="43"/>
      <c r="Q215" s="43"/>
      <c r="R215" s="43"/>
      <c r="S215" s="43"/>
      <c r="T215" s="43"/>
      <c r="U215" s="43"/>
      <c r="V215" s="43"/>
      <c r="W215" s="43"/>
      <c r="X215" s="43"/>
      <c r="Y215" s="43"/>
      <c r="Z215" s="43"/>
    </row>
    <row r="216">
      <c r="A216" s="67"/>
      <c r="B216" s="67"/>
      <c r="C216" s="68"/>
      <c r="D216" s="70"/>
      <c r="E216" s="68"/>
      <c r="F216" s="20"/>
      <c r="G216" s="43"/>
      <c r="H216" s="43"/>
      <c r="I216" s="43"/>
      <c r="J216" s="63"/>
      <c r="K216" s="43"/>
      <c r="L216" s="43"/>
      <c r="M216" s="43"/>
      <c r="N216" s="43"/>
      <c r="O216" s="43"/>
      <c r="P216" s="43"/>
      <c r="Q216" s="43"/>
      <c r="R216" s="43"/>
      <c r="S216" s="43"/>
      <c r="T216" s="43"/>
      <c r="U216" s="43"/>
      <c r="V216" s="43"/>
      <c r="W216" s="43"/>
      <c r="X216" s="43"/>
      <c r="Y216" s="43"/>
      <c r="Z216" s="43"/>
    </row>
    <row r="217">
      <c r="A217" s="67"/>
      <c r="B217" s="67"/>
      <c r="C217" s="68"/>
      <c r="D217" s="70"/>
      <c r="E217" s="68"/>
      <c r="F217" s="20"/>
      <c r="G217" s="43"/>
      <c r="H217" s="43"/>
      <c r="I217" s="43"/>
      <c r="J217" s="63"/>
      <c r="K217" s="43"/>
      <c r="L217" s="43"/>
      <c r="M217" s="43"/>
      <c r="N217" s="43"/>
      <c r="O217" s="43"/>
      <c r="P217" s="43"/>
      <c r="Q217" s="43"/>
      <c r="R217" s="43"/>
      <c r="S217" s="43"/>
      <c r="T217" s="43"/>
      <c r="U217" s="43"/>
      <c r="V217" s="43"/>
      <c r="W217" s="43"/>
      <c r="X217" s="43"/>
      <c r="Y217" s="43"/>
      <c r="Z217" s="43"/>
    </row>
    <row r="218">
      <c r="A218" s="67"/>
      <c r="B218" s="67"/>
      <c r="C218" s="68"/>
      <c r="D218" s="70"/>
      <c r="E218" s="68"/>
      <c r="F218" s="20"/>
      <c r="G218" s="43"/>
      <c r="H218" s="43"/>
      <c r="I218" s="43"/>
      <c r="J218" s="63"/>
      <c r="K218" s="43"/>
      <c r="L218" s="43"/>
      <c r="M218" s="43"/>
      <c r="N218" s="43"/>
      <c r="O218" s="43"/>
      <c r="P218" s="43"/>
      <c r="Q218" s="43"/>
      <c r="R218" s="43"/>
      <c r="S218" s="43"/>
      <c r="T218" s="43"/>
      <c r="U218" s="43"/>
      <c r="V218" s="43"/>
      <c r="W218" s="43"/>
      <c r="X218" s="43"/>
      <c r="Y218" s="43"/>
      <c r="Z218" s="43"/>
    </row>
    <row r="219">
      <c r="A219" s="67"/>
      <c r="B219" s="67"/>
      <c r="C219" s="68"/>
      <c r="D219" s="70"/>
      <c r="E219" s="68"/>
      <c r="F219" s="20"/>
      <c r="G219" s="43"/>
      <c r="H219" s="43"/>
      <c r="I219" s="43"/>
      <c r="J219" s="63"/>
      <c r="K219" s="43"/>
      <c r="L219" s="43"/>
      <c r="M219" s="43"/>
      <c r="N219" s="43"/>
      <c r="O219" s="43"/>
      <c r="P219" s="43"/>
      <c r="Q219" s="43"/>
      <c r="R219" s="43"/>
      <c r="S219" s="43"/>
      <c r="T219" s="43"/>
      <c r="U219" s="43"/>
      <c r="V219" s="43"/>
      <c r="W219" s="43"/>
      <c r="X219" s="43"/>
      <c r="Y219" s="43"/>
      <c r="Z219" s="43"/>
    </row>
    <row r="220">
      <c r="A220" s="67"/>
      <c r="B220" s="67"/>
      <c r="C220" s="68"/>
      <c r="D220" s="70"/>
      <c r="E220" s="68"/>
      <c r="F220" s="20"/>
      <c r="G220" s="43"/>
      <c r="H220" s="43"/>
      <c r="I220" s="43"/>
      <c r="J220" s="63"/>
      <c r="K220" s="43"/>
      <c r="L220" s="43"/>
      <c r="M220" s="43"/>
      <c r="N220" s="43"/>
      <c r="O220" s="43"/>
      <c r="P220" s="43"/>
      <c r="Q220" s="43"/>
      <c r="R220" s="43"/>
      <c r="S220" s="43"/>
      <c r="T220" s="43"/>
      <c r="U220" s="43"/>
      <c r="V220" s="43"/>
      <c r="W220" s="43"/>
      <c r="X220" s="43"/>
      <c r="Y220" s="43"/>
      <c r="Z220" s="43"/>
    </row>
    <row r="221">
      <c r="A221" s="67"/>
      <c r="B221" s="67"/>
      <c r="C221" s="68"/>
      <c r="D221" s="70"/>
      <c r="E221" s="68"/>
      <c r="F221" s="20"/>
      <c r="G221" s="43"/>
      <c r="H221" s="43"/>
      <c r="I221" s="43"/>
      <c r="J221" s="63"/>
      <c r="K221" s="43"/>
      <c r="L221" s="43"/>
      <c r="M221" s="43"/>
      <c r="N221" s="43"/>
      <c r="O221" s="43"/>
      <c r="P221" s="43"/>
      <c r="Q221" s="43"/>
      <c r="R221" s="43"/>
      <c r="S221" s="43"/>
      <c r="T221" s="43"/>
      <c r="U221" s="43"/>
      <c r="V221" s="43"/>
      <c r="W221" s="43"/>
      <c r="X221" s="43"/>
      <c r="Y221" s="43"/>
      <c r="Z221" s="43"/>
    </row>
    <row r="222">
      <c r="A222" s="67"/>
      <c r="B222" s="67"/>
      <c r="C222" s="68"/>
      <c r="D222" s="70"/>
      <c r="E222" s="68"/>
      <c r="F222" s="20"/>
      <c r="G222" s="43"/>
      <c r="H222" s="43"/>
      <c r="I222" s="43"/>
      <c r="J222" s="63"/>
      <c r="K222" s="43"/>
      <c r="L222" s="43"/>
      <c r="M222" s="43"/>
      <c r="N222" s="43"/>
      <c r="O222" s="43"/>
      <c r="P222" s="43"/>
      <c r="Q222" s="43"/>
      <c r="R222" s="43"/>
      <c r="S222" s="43"/>
      <c r="T222" s="43"/>
      <c r="U222" s="43"/>
      <c r="V222" s="43"/>
      <c r="W222" s="43"/>
      <c r="X222" s="43"/>
      <c r="Y222" s="43"/>
      <c r="Z222" s="43"/>
    </row>
    <row r="223">
      <c r="A223" s="67"/>
      <c r="B223" s="67"/>
      <c r="C223" s="68"/>
      <c r="D223" s="70"/>
      <c r="E223" s="68"/>
      <c r="F223" s="20"/>
      <c r="G223" s="43"/>
      <c r="H223" s="43"/>
      <c r="I223" s="43"/>
      <c r="J223" s="63"/>
      <c r="K223" s="43"/>
      <c r="L223" s="43"/>
      <c r="M223" s="43"/>
      <c r="N223" s="43"/>
      <c r="O223" s="43"/>
      <c r="P223" s="43"/>
      <c r="Q223" s="43"/>
      <c r="R223" s="43"/>
      <c r="S223" s="43"/>
      <c r="T223" s="43"/>
      <c r="U223" s="43"/>
      <c r="V223" s="43"/>
      <c r="W223" s="43"/>
      <c r="X223" s="43"/>
      <c r="Y223" s="43"/>
      <c r="Z223" s="43"/>
    </row>
    <row r="224">
      <c r="A224" s="67"/>
      <c r="B224" s="67"/>
      <c r="C224" s="68"/>
      <c r="D224" s="70"/>
      <c r="E224" s="68"/>
      <c r="F224" s="20"/>
      <c r="G224" s="43"/>
      <c r="H224" s="43"/>
      <c r="I224" s="43"/>
      <c r="J224" s="63"/>
      <c r="K224" s="43"/>
      <c r="L224" s="43"/>
      <c r="M224" s="43"/>
      <c r="N224" s="43"/>
      <c r="O224" s="43"/>
      <c r="P224" s="43"/>
      <c r="Q224" s="43"/>
      <c r="R224" s="43"/>
      <c r="S224" s="43"/>
      <c r="T224" s="43"/>
      <c r="U224" s="43"/>
      <c r="V224" s="43"/>
      <c r="W224" s="43"/>
      <c r="X224" s="43"/>
      <c r="Y224" s="43"/>
      <c r="Z224" s="43"/>
    </row>
    <row r="225">
      <c r="A225" s="67"/>
      <c r="B225" s="67"/>
      <c r="C225" s="68"/>
      <c r="D225" s="70"/>
      <c r="E225" s="68"/>
      <c r="F225" s="20"/>
      <c r="G225" s="43"/>
      <c r="H225" s="43"/>
      <c r="I225" s="43"/>
      <c r="J225" s="63"/>
      <c r="K225" s="43"/>
      <c r="L225" s="43"/>
      <c r="M225" s="43"/>
      <c r="N225" s="43"/>
      <c r="O225" s="43"/>
      <c r="P225" s="43"/>
      <c r="Q225" s="43"/>
      <c r="R225" s="43"/>
      <c r="S225" s="43"/>
      <c r="T225" s="43"/>
      <c r="U225" s="43"/>
      <c r="V225" s="43"/>
      <c r="W225" s="43"/>
      <c r="X225" s="43"/>
      <c r="Y225" s="43"/>
      <c r="Z225" s="43"/>
    </row>
    <row r="226">
      <c r="A226" s="67"/>
      <c r="B226" s="67"/>
      <c r="C226" s="68"/>
      <c r="D226" s="70"/>
      <c r="E226" s="68"/>
      <c r="F226" s="20"/>
      <c r="G226" s="43"/>
      <c r="H226" s="43"/>
      <c r="I226" s="43"/>
      <c r="J226" s="63"/>
      <c r="K226" s="43"/>
      <c r="L226" s="43"/>
      <c r="M226" s="43"/>
      <c r="N226" s="43"/>
      <c r="O226" s="43"/>
      <c r="P226" s="43"/>
      <c r="Q226" s="43"/>
      <c r="R226" s="43"/>
      <c r="S226" s="43"/>
      <c r="T226" s="43"/>
      <c r="U226" s="43"/>
      <c r="V226" s="43"/>
      <c r="W226" s="43"/>
      <c r="X226" s="43"/>
      <c r="Y226" s="43"/>
      <c r="Z226" s="43"/>
    </row>
    <row r="227">
      <c r="A227" s="67"/>
      <c r="B227" s="67"/>
      <c r="C227" s="68"/>
      <c r="D227" s="70"/>
      <c r="E227" s="68"/>
      <c r="F227" s="20"/>
      <c r="G227" s="43"/>
      <c r="H227" s="43"/>
      <c r="I227" s="43"/>
      <c r="J227" s="63"/>
      <c r="K227" s="43"/>
      <c r="L227" s="43"/>
      <c r="M227" s="43"/>
      <c r="N227" s="43"/>
      <c r="O227" s="43"/>
      <c r="P227" s="43"/>
      <c r="Q227" s="43"/>
      <c r="R227" s="43"/>
      <c r="S227" s="43"/>
      <c r="T227" s="43"/>
      <c r="U227" s="43"/>
      <c r="V227" s="43"/>
      <c r="W227" s="43"/>
      <c r="X227" s="43"/>
      <c r="Y227" s="43"/>
      <c r="Z227" s="43"/>
    </row>
    <row r="228">
      <c r="A228" s="67"/>
      <c r="B228" s="67"/>
      <c r="C228" s="68"/>
      <c r="D228" s="70"/>
      <c r="E228" s="68"/>
      <c r="F228" s="20"/>
      <c r="G228" s="43"/>
      <c r="H228" s="43"/>
      <c r="I228" s="43"/>
      <c r="J228" s="63"/>
      <c r="K228" s="43"/>
      <c r="L228" s="43"/>
      <c r="M228" s="43"/>
      <c r="N228" s="43"/>
      <c r="O228" s="43"/>
      <c r="P228" s="43"/>
      <c r="Q228" s="43"/>
      <c r="R228" s="43"/>
      <c r="S228" s="43"/>
      <c r="T228" s="43"/>
      <c r="U228" s="43"/>
      <c r="V228" s="43"/>
      <c r="W228" s="43"/>
      <c r="X228" s="43"/>
      <c r="Y228" s="43"/>
      <c r="Z228" s="43"/>
    </row>
    <row r="229">
      <c r="A229" s="67"/>
      <c r="B229" s="67"/>
      <c r="C229" s="68"/>
      <c r="D229" s="70"/>
      <c r="E229" s="68"/>
      <c r="F229" s="20"/>
      <c r="G229" s="43"/>
      <c r="H229" s="43"/>
      <c r="I229" s="43"/>
      <c r="J229" s="63"/>
      <c r="K229" s="43"/>
      <c r="L229" s="43"/>
      <c r="M229" s="43"/>
      <c r="N229" s="43"/>
      <c r="O229" s="43"/>
      <c r="P229" s="43"/>
      <c r="Q229" s="43"/>
      <c r="R229" s="43"/>
      <c r="S229" s="43"/>
      <c r="T229" s="43"/>
      <c r="U229" s="43"/>
      <c r="V229" s="43"/>
      <c r="W229" s="43"/>
      <c r="X229" s="43"/>
      <c r="Y229" s="43"/>
      <c r="Z229" s="43"/>
    </row>
    <row r="230">
      <c r="A230" s="67"/>
      <c r="B230" s="67"/>
      <c r="C230" s="68"/>
      <c r="D230" s="70"/>
      <c r="E230" s="68"/>
      <c r="F230" s="20"/>
      <c r="G230" s="43"/>
      <c r="H230" s="43"/>
      <c r="I230" s="43"/>
      <c r="J230" s="63"/>
      <c r="K230" s="43"/>
      <c r="L230" s="43"/>
      <c r="M230" s="43"/>
      <c r="N230" s="43"/>
      <c r="O230" s="43"/>
      <c r="P230" s="43"/>
      <c r="Q230" s="43"/>
      <c r="R230" s="43"/>
      <c r="S230" s="43"/>
      <c r="T230" s="43"/>
      <c r="U230" s="43"/>
      <c r="V230" s="43"/>
      <c r="W230" s="43"/>
      <c r="X230" s="43"/>
      <c r="Y230" s="43"/>
      <c r="Z230" s="43"/>
    </row>
    <row r="231">
      <c r="A231" s="67"/>
      <c r="B231" s="67"/>
      <c r="C231" s="68"/>
      <c r="D231" s="70"/>
      <c r="E231" s="68"/>
      <c r="F231" s="20"/>
      <c r="G231" s="43"/>
      <c r="H231" s="43"/>
      <c r="I231" s="43"/>
      <c r="J231" s="63"/>
      <c r="K231" s="43"/>
      <c r="L231" s="43"/>
      <c r="M231" s="43"/>
      <c r="N231" s="43"/>
      <c r="O231" s="43"/>
      <c r="P231" s="43"/>
      <c r="Q231" s="43"/>
      <c r="R231" s="43"/>
      <c r="S231" s="43"/>
      <c r="T231" s="43"/>
      <c r="U231" s="43"/>
      <c r="V231" s="43"/>
      <c r="W231" s="43"/>
      <c r="X231" s="43"/>
      <c r="Y231" s="43"/>
      <c r="Z231" s="43"/>
    </row>
    <row r="232">
      <c r="A232" s="67"/>
      <c r="B232" s="67"/>
      <c r="C232" s="68"/>
      <c r="D232" s="70"/>
      <c r="E232" s="68"/>
      <c r="F232" s="20"/>
      <c r="G232" s="43"/>
      <c r="H232" s="43"/>
      <c r="I232" s="43"/>
      <c r="J232" s="63"/>
      <c r="K232" s="43"/>
      <c r="L232" s="43"/>
      <c r="M232" s="43"/>
      <c r="N232" s="43"/>
      <c r="O232" s="43"/>
      <c r="P232" s="43"/>
      <c r="Q232" s="43"/>
      <c r="R232" s="43"/>
      <c r="S232" s="43"/>
      <c r="T232" s="43"/>
      <c r="U232" s="43"/>
      <c r="V232" s="43"/>
      <c r="W232" s="43"/>
      <c r="X232" s="43"/>
      <c r="Y232" s="43"/>
      <c r="Z232" s="43"/>
    </row>
    <row r="233">
      <c r="A233" s="67"/>
      <c r="B233" s="67"/>
      <c r="C233" s="68"/>
      <c r="D233" s="70"/>
      <c r="E233" s="68"/>
      <c r="F233" s="20"/>
      <c r="G233" s="43"/>
      <c r="H233" s="43"/>
      <c r="I233" s="43"/>
      <c r="J233" s="63"/>
      <c r="K233" s="43"/>
      <c r="L233" s="43"/>
      <c r="M233" s="43"/>
      <c r="N233" s="43"/>
      <c r="O233" s="43"/>
      <c r="P233" s="43"/>
      <c r="Q233" s="43"/>
      <c r="R233" s="43"/>
      <c r="S233" s="43"/>
      <c r="T233" s="43"/>
      <c r="U233" s="43"/>
      <c r="V233" s="43"/>
      <c r="W233" s="43"/>
      <c r="X233" s="43"/>
      <c r="Y233" s="43"/>
      <c r="Z233" s="43"/>
    </row>
    <row r="234">
      <c r="A234" s="67"/>
      <c r="B234" s="67"/>
      <c r="C234" s="68"/>
      <c r="D234" s="70"/>
      <c r="E234" s="68"/>
      <c r="F234" s="20"/>
      <c r="G234" s="43"/>
      <c r="H234" s="43"/>
      <c r="I234" s="43"/>
      <c r="J234" s="63"/>
      <c r="K234" s="43"/>
      <c r="L234" s="43"/>
      <c r="M234" s="43"/>
      <c r="N234" s="43"/>
      <c r="O234" s="43"/>
      <c r="P234" s="43"/>
      <c r="Q234" s="43"/>
      <c r="R234" s="43"/>
      <c r="S234" s="43"/>
      <c r="T234" s="43"/>
      <c r="U234" s="43"/>
      <c r="V234" s="43"/>
      <c r="W234" s="43"/>
      <c r="X234" s="43"/>
      <c r="Y234" s="43"/>
      <c r="Z234" s="43"/>
    </row>
    <row r="235">
      <c r="A235" s="67"/>
      <c r="B235" s="67"/>
      <c r="C235" s="68"/>
      <c r="D235" s="70"/>
      <c r="E235" s="68"/>
      <c r="F235" s="20"/>
      <c r="G235" s="43"/>
      <c r="H235" s="43"/>
      <c r="I235" s="43"/>
      <c r="J235" s="63"/>
      <c r="K235" s="43"/>
      <c r="L235" s="43"/>
      <c r="M235" s="43"/>
      <c r="N235" s="43"/>
      <c r="O235" s="43"/>
      <c r="P235" s="43"/>
      <c r="Q235" s="43"/>
      <c r="R235" s="43"/>
      <c r="S235" s="43"/>
      <c r="T235" s="43"/>
      <c r="U235" s="43"/>
      <c r="V235" s="43"/>
      <c r="W235" s="43"/>
      <c r="X235" s="43"/>
      <c r="Y235" s="43"/>
      <c r="Z235" s="43"/>
    </row>
    <row r="236">
      <c r="A236" s="67"/>
      <c r="B236" s="67"/>
      <c r="C236" s="68"/>
      <c r="D236" s="70"/>
      <c r="E236" s="68"/>
      <c r="F236" s="20"/>
      <c r="G236" s="43"/>
      <c r="H236" s="43"/>
      <c r="I236" s="43"/>
      <c r="J236" s="63"/>
      <c r="K236" s="43"/>
      <c r="L236" s="43"/>
      <c r="M236" s="43"/>
      <c r="N236" s="43"/>
      <c r="O236" s="43"/>
      <c r="P236" s="43"/>
      <c r="Q236" s="43"/>
      <c r="R236" s="43"/>
      <c r="S236" s="43"/>
      <c r="T236" s="43"/>
      <c r="U236" s="43"/>
      <c r="V236" s="43"/>
      <c r="W236" s="43"/>
      <c r="X236" s="43"/>
      <c r="Y236" s="43"/>
      <c r="Z236" s="43"/>
    </row>
    <row r="237">
      <c r="A237" s="67"/>
      <c r="B237" s="67"/>
      <c r="C237" s="68"/>
      <c r="D237" s="70"/>
      <c r="E237" s="68"/>
      <c r="F237" s="20"/>
      <c r="G237" s="43"/>
      <c r="H237" s="43"/>
      <c r="I237" s="43"/>
      <c r="J237" s="63"/>
      <c r="K237" s="43"/>
      <c r="L237" s="43"/>
      <c r="M237" s="43"/>
      <c r="N237" s="43"/>
      <c r="O237" s="43"/>
      <c r="P237" s="43"/>
      <c r="Q237" s="43"/>
      <c r="R237" s="43"/>
      <c r="S237" s="43"/>
      <c r="T237" s="43"/>
      <c r="U237" s="43"/>
      <c r="V237" s="43"/>
      <c r="W237" s="43"/>
      <c r="X237" s="43"/>
      <c r="Y237" s="43"/>
      <c r="Z237" s="43"/>
    </row>
    <row r="238">
      <c r="A238" s="67"/>
      <c r="B238" s="67"/>
      <c r="C238" s="68"/>
      <c r="D238" s="70"/>
      <c r="E238" s="68"/>
      <c r="F238" s="20"/>
      <c r="G238" s="43"/>
      <c r="H238" s="43"/>
      <c r="I238" s="43"/>
      <c r="J238" s="63"/>
      <c r="K238" s="43"/>
      <c r="L238" s="43"/>
      <c r="M238" s="43"/>
      <c r="N238" s="43"/>
      <c r="O238" s="43"/>
      <c r="P238" s="43"/>
      <c r="Q238" s="43"/>
      <c r="R238" s="43"/>
      <c r="S238" s="43"/>
      <c r="T238" s="43"/>
      <c r="U238" s="43"/>
      <c r="V238" s="43"/>
      <c r="W238" s="43"/>
      <c r="X238" s="43"/>
      <c r="Y238" s="43"/>
      <c r="Z238" s="43"/>
    </row>
    <row r="239">
      <c r="A239" s="67"/>
      <c r="B239" s="67"/>
      <c r="C239" s="68"/>
      <c r="D239" s="70"/>
      <c r="E239" s="68"/>
      <c r="F239" s="20"/>
      <c r="G239" s="43"/>
      <c r="H239" s="43"/>
      <c r="I239" s="43"/>
      <c r="J239" s="63"/>
      <c r="K239" s="43"/>
      <c r="L239" s="43"/>
      <c r="M239" s="43"/>
      <c r="N239" s="43"/>
      <c r="O239" s="43"/>
      <c r="P239" s="43"/>
      <c r="Q239" s="43"/>
      <c r="R239" s="43"/>
      <c r="S239" s="43"/>
      <c r="T239" s="43"/>
      <c r="U239" s="43"/>
      <c r="V239" s="43"/>
      <c r="W239" s="43"/>
      <c r="X239" s="43"/>
      <c r="Y239" s="43"/>
      <c r="Z239" s="43"/>
    </row>
    <row r="240">
      <c r="A240" s="67"/>
      <c r="B240" s="67"/>
      <c r="C240" s="68"/>
      <c r="D240" s="70"/>
      <c r="E240" s="68"/>
      <c r="F240" s="20"/>
      <c r="G240" s="43"/>
      <c r="H240" s="43"/>
      <c r="I240" s="43"/>
      <c r="J240" s="63"/>
      <c r="K240" s="43"/>
      <c r="L240" s="43"/>
      <c r="M240" s="43"/>
      <c r="N240" s="43"/>
      <c r="O240" s="43"/>
      <c r="P240" s="43"/>
      <c r="Q240" s="43"/>
      <c r="R240" s="43"/>
      <c r="S240" s="43"/>
      <c r="T240" s="43"/>
      <c r="U240" s="43"/>
      <c r="V240" s="43"/>
      <c r="W240" s="43"/>
      <c r="X240" s="43"/>
      <c r="Y240" s="43"/>
      <c r="Z240" s="43"/>
    </row>
    <row r="241">
      <c r="A241" s="67"/>
      <c r="B241" s="67"/>
      <c r="C241" s="68"/>
      <c r="D241" s="70"/>
      <c r="E241" s="68"/>
      <c r="F241" s="20"/>
      <c r="G241" s="43"/>
      <c r="H241" s="43"/>
      <c r="I241" s="43"/>
      <c r="J241" s="63"/>
      <c r="K241" s="43"/>
      <c r="L241" s="43"/>
      <c r="M241" s="43"/>
      <c r="N241" s="43"/>
      <c r="O241" s="43"/>
      <c r="P241" s="43"/>
      <c r="Q241" s="43"/>
      <c r="R241" s="43"/>
      <c r="S241" s="43"/>
      <c r="T241" s="43"/>
      <c r="U241" s="43"/>
      <c r="V241" s="43"/>
      <c r="W241" s="43"/>
      <c r="X241" s="43"/>
      <c r="Y241" s="43"/>
      <c r="Z241" s="43"/>
    </row>
    <row r="242">
      <c r="A242" s="67"/>
      <c r="B242" s="67"/>
      <c r="C242" s="68"/>
      <c r="D242" s="70"/>
      <c r="E242" s="68"/>
      <c r="F242" s="20"/>
      <c r="G242" s="43"/>
      <c r="H242" s="43"/>
      <c r="I242" s="43"/>
      <c r="J242" s="63"/>
      <c r="K242" s="43"/>
      <c r="L242" s="43"/>
      <c r="M242" s="43"/>
      <c r="N242" s="43"/>
      <c r="O242" s="43"/>
      <c r="P242" s="43"/>
      <c r="Q242" s="43"/>
      <c r="R242" s="43"/>
      <c r="S242" s="43"/>
      <c r="T242" s="43"/>
      <c r="U242" s="43"/>
      <c r="V242" s="43"/>
      <c r="W242" s="43"/>
      <c r="X242" s="43"/>
      <c r="Y242" s="43"/>
      <c r="Z242" s="43"/>
    </row>
    <row r="243">
      <c r="A243" s="67"/>
      <c r="B243" s="67"/>
      <c r="C243" s="68"/>
      <c r="D243" s="70"/>
      <c r="E243" s="68"/>
      <c r="F243" s="20"/>
      <c r="G243" s="43"/>
      <c r="H243" s="43"/>
      <c r="I243" s="43"/>
      <c r="J243" s="63"/>
      <c r="K243" s="43"/>
      <c r="L243" s="43"/>
      <c r="M243" s="43"/>
      <c r="N243" s="43"/>
      <c r="O243" s="43"/>
      <c r="P243" s="43"/>
      <c r="Q243" s="43"/>
      <c r="R243" s="43"/>
      <c r="S243" s="43"/>
      <c r="T243" s="43"/>
      <c r="U243" s="43"/>
      <c r="V243" s="43"/>
      <c r="W243" s="43"/>
      <c r="X243" s="43"/>
      <c r="Y243" s="43"/>
      <c r="Z243" s="43"/>
    </row>
    <row r="244">
      <c r="A244" s="67"/>
      <c r="B244" s="67"/>
      <c r="C244" s="68"/>
      <c r="D244" s="70"/>
      <c r="E244" s="68"/>
      <c r="F244" s="20"/>
      <c r="G244" s="43"/>
      <c r="H244" s="43"/>
      <c r="I244" s="43"/>
      <c r="J244" s="63"/>
      <c r="K244" s="43"/>
      <c r="L244" s="43"/>
      <c r="M244" s="43"/>
      <c r="N244" s="43"/>
      <c r="O244" s="43"/>
      <c r="P244" s="43"/>
      <c r="Q244" s="43"/>
      <c r="R244" s="43"/>
      <c r="S244" s="43"/>
      <c r="T244" s="43"/>
      <c r="U244" s="43"/>
      <c r="V244" s="43"/>
      <c r="W244" s="43"/>
      <c r="X244" s="43"/>
      <c r="Y244" s="43"/>
      <c r="Z244" s="43"/>
    </row>
    <row r="245">
      <c r="A245" s="67"/>
      <c r="B245" s="67"/>
      <c r="C245" s="68"/>
      <c r="D245" s="70"/>
      <c r="E245" s="68"/>
      <c r="F245" s="20"/>
      <c r="G245" s="43"/>
      <c r="H245" s="43"/>
      <c r="I245" s="43"/>
      <c r="J245" s="63"/>
      <c r="K245" s="43"/>
      <c r="L245" s="43"/>
      <c r="M245" s="43"/>
      <c r="N245" s="43"/>
      <c r="O245" s="43"/>
      <c r="P245" s="43"/>
      <c r="Q245" s="43"/>
      <c r="R245" s="43"/>
      <c r="S245" s="43"/>
      <c r="T245" s="43"/>
      <c r="U245" s="43"/>
      <c r="V245" s="43"/>
      <c r="W245" s="43"/>
      <c r="X245" s="43"/>
      <c r="Y245" s="43"/>
      <c r="Z245" s="43"/>
    </row>
    <row r="246">
      <c r="A246" s="67"/>
      <c r="B246" s="67"/>
      <c r="C246" s="68"/>
      <c r="D246" s="70"/>
      <c r="E246" s="68"/>
      <c r="F246" s="20"/>
      <c r="G246" s="43"/>
      <c r="H246" s="43"/>
      <c r="I246" s="43"/>
      <c r="J246" s="63"/>
      <c r="K246" s="43"/>
      <c r="L246" s="43"/>
      <c r="M246" s="43"/>
      <c r="N246" s="43"/>
      <c r="O246" s="43"/>
      <c r="P246" s="43"/>
      <c r="Q246" s="43"/>
      <c r="R246" s="43"/>
      <c r="S246" s="43"/>
      <c r="T246" s="43"/>
      <c r="U246" s="43"/>
      <c r="V246" s="43"/>
      <c r="W246" s="43"/>
      <c r="X246" s="43"/>
      <c r="Y246" s="43"/>
      <c r="Z246" s="43"/>
    </row>
    <row r="247">
      <c r="A247" s="67"/>
      <c r="B247" s="67"/>
      <c r="C247" s="68"/>
      <c r="D247" s="70"/>
      <c r="E247" s="68"/>
      <c r="F247" s="20"/>
      <c r="G247" s="43"/>
      <c r="H247" s="43"/>
      <c r="I247" s="43"/>
      <c r="J247" s="63"/>
      <c r="K247" s="43"/>
      <c r="L247" s="43"/>
      <c r="M247" s="43"/>
      <c r="N247" s="43"/>
      <c r="O247" s="43"/>
      <c r="P247" s="43"/>
      <c r="Q247" s="43"/>
      <c r="R247" s="43"/>
      <c r="S247" s="43"/>
      <c r="T247" s="43"/>
      <c r="U247" s="43"/>
      <c r="V247" s="43"/>
      <c r="W247" s="43"/>
      <c r="X247" s="43"/>
      <c r="Y247" s="43"/>
      <c r="Z247" s="43"/>
    </row>
    <row r="248">
      <c r="A248" s="67"/>
      <c r="B248" s="67"/>
      <c r="C248" s="68"/>
      <c r="D248" s="70"/>
      <c r="E248" s="68"/>
      <c r="F248" s="20"/>
      <c r="G248" s="43"/>
      <c r="H248" s="43"/>
      <c r="I248" s="43"/>
      <c r="J248" s="63"/>
      <c r="K248" s="43"/>
      <c r="L248" s="43"/>
      <c r="M248" s="43"/>
      <c r="N248" s="43"/>
      <c r="O248" s="43"/>
      <c r="P248" s="43"/>
      <c r="Q248" s="43"/>
      <c r="R248" s="43"/>
      <c r="S248" s="43"/>
      <c r="T248" s="43"/>
      <c r="U248" s="43"/>
      <c r="V248" s="43"/>
      <c r="W248" s="43"/>
      <c r="X248" s="43"/>
      <c r="Y248" s="43"/>
      <c r="Z248" s="43"/>
    </row>
    <row r="249">
      <c r="A249" s="67"/>
      <c r="B249" s="67"/>
      <c r="C249" s="68"/>
      <c r="D249" s="70"/>
      <c r="E249" s="68"/>
      <c r="F249" s="20"/>
      <c r="G249" s="43"/>
      <c r="H249" s="43"/>
      <c r="I249" s="43"/>
      <c r="J249" s="63"/>
      <c r="K249" s="43"/>
      <c r="L249" s="43"/>
      <c r="M249" s="43"/>
      <c r="N249" s="43"/>
      <c r="O249" s="43"/>
      <c r="P249" s="43"/>
      <c r="Q249" s="43"/>
      <c r="R249" s="43"/>
      <c r="S249" s="43"/>
      <c r="T249" s="43"/>
      <c r="U249" s="43"/>
      <c r="V249" s="43"/>
      <c r="W249" s="43"/>
      <c r="X249" s="43"/>
      <c r="Y249" s="43"/>
      <c r="Z249" s="43"/>
    </row>
    <row r="250">
      <c r="A250" s="67"/>
      <c r="B250" s="67"/>
      <c r="C250" s="68"/>
      <c r="D250" s="70"/>
      <c r="E250" s="68"/>
      <c r="F250" s="20"/>
      <c r="G250" s="43"/>
      <c r="H250" s="43"/>
      <c r="I250" s="43"/>
      <c r="J250" s="63"/>
      <c r="K250" s="43"/>
      <c r="L250" s="43"/>
      <c r="M250" s="43"/>
      <c r="N250" s="43"/>
      <c r="O250" s="43"/>
      <c r="P250" s="43"/>
      <c r="Q250" s="43"/>
      <c r="R250" s="43"/>
      <c r="S250" s="43"/>
      <c r="T250" s="43"/>
      <c r="U250" s="43"/>
      <c r="V250" s="43"/>
      <c r="W250" s="43"/>
      <c r="X250" s="43"/>
      <c r="Y250" s="43"/>
      <c r="Z250" s="43"/>
    </row>
    <row r="251">
      <c r="A251" s="67"/>
      <c r="B251" s="67"/>
      <c r="C251" s="68"/>
      <c r="D251" s="70"/>
      <c r="E251" s="68"/>
      <c r="F251" s="20"/>
      <c r="G251" s="43"/>
      <c r="H251" s="43"/>
      <c r="I251" s="43"/>
      <c r="J251" s="63"/>
      <c r="K251" s="43"/>
      <c r="L251" s="43"/>
      <c r="M251" s="43"/>
      <c r="N251" s="43"/>
      <c r="O251" s="43"/>
      <c r="P251" s="43"/>
      <c r="Q251" s="43"/>
      <c r="R251" s="43"/>
      <c r="S251" s="43"/>
      <c r="T251" s="43"/>
      <c r="U251" s="43"/>
      <c r="V251" s="43"/>
      <c r="W251" s="43"/>
      <c r="X251" s="43"/>
      <c r="Y251" s="43"/>
      <c r="Z251" s="43"/>
    </row>
    <row r="252">
      <c r="A252" s="67"/>
      <c r="B252" s="67"/>
      <c r="C252" s="68"/>
      <c r="D252" s="70"/>
      <c r="E252" s="68"/>
      <c r="F252" s="20"/>
      <c r="G252" s="43"/>
      <c r="H252" s="43"/>
      <c r="I252" s="43"/>
      <c r="J252" s="63"/>
      <c r="K252" s="43"/>
      <c r="L252" s="43"/>
      <c r="M252" s="43"/>
      <c r="N252" s="43"/>
      <c r="O252" s="43"/>
      <c r="P252" s="43"/>
      <c r="Q252" s="43"/>
      <c r="R252" s="43"/>
      <c r="S252" s="43"/>
      <c r="T252" s="43"/>
      <c r="U252" s="43"/>
      <c r="V252" s="43"/>
      <c r="W252" s="43"/>
      <c r="X252" s="43"/>
      <c r="Y252" s="43"/>
      <c r="Z252" s="43"/>
    </row>
    <row r="253">
      <c r="A253" s="67"/>
      <c r="B253" s="67"/>
      <c r="C253" s="68"/>
      <c r="D253" s="70"/>
      <c r="E253" s="68"/>
      <c r="F253" s="20"/>
      <c r="G253" s="43"/>
      <c r="H253" s="43"/>
      <c r="I253" s="43"/>
      <c r="J253" s="63"/>
      <c r="K253" s="43"/>
      <c r="L253" s="43"/>
      <c r="M253" s="43"/>
      <c r="N253" s="43"/>
      <c r="O253" s="43"/>
      <c r="P253" s="43"/>
      <c r="Q253" s="43"/>
      <c r="R253" s="43"/>
      <c r="S253" s="43"/>
      <c r="T253" s="43"/>
      <c r="U253" s="43"/>
      <c r="V253" s="43"/>
      <c r="W253" s="43"/>
      <c r="X253" s="43"/>
      <c r="Y253" s="43"/>
      <c r="Z253" s="43"/>
    </row>
    <row r="254">
      <c r="A254" s="67"/>
      <c r="B254" s="67"/>
      <c r="C254" s="68"/>
      <c r="D254" s="70"/>
      <c r="E254" s="68"/>
      <c r="F254" s="20"/>
      <c r="G254" s="43"/>
      <c r="H254" s="43"/>
      <c r="I254" s="43"/>
      <c r="J254" s="63"/>
      <c r="K254" s="43"/>
      <c r="L254" s="43"/>
      <c r="M254" s="43"/>
      <c r="N254" s="43"/>
      <c r="O254" s="43"/>
      <c r="P254" s="43"/>
      <c r="Q254" s="43"/>
      <c r="R254" s="43"/>
      <c r="S254" s="43"/>
      <c r="T254" s="43"/>
      <c r="U254" s="43"/>
      <c r="V254" s="43"/>
      <c r="W254" s="43"/>
      <c r="X254" s="43"/>
      <c r="Y254" s="43"/>
      <c r="Z254" s="43"/>
    </row>
    <row r="255">
      <c r="A255" s="67"/>
      <c r="B255" s="67"/>
      <c r="C255" s="68"/>
      <c r="D255" s="70"/>
      <c r="E255" s="68"/>
      <c r="F255" s="20"/>
      <c r="G255" s="43"/>
      <c r="H255" s="43"/>
      <c r="I255" s="43"/>
      <c r="J255" s="63"/>
      <c r="K255" s="43"/>
      <c r="L255" s="43"/>
      <c r="M255" s="43"/>
      <c r="N255" s="43"/>
      <c r="O255" s="43"/>
      <c r="P255" s="43"/>
      <c r="Q255" s="43"/>
      <c r="R255" s="43"/>
      <c r="S255" s="43"/>
      <c r="T255" s="43"/>
      <c r="U255" s="43"/>
      <c r="V255" s="43"/>
      <c r="W255" s="43"/>
      <c r="X255" s="43"/>
      <c r="Y255" s="43"/>
      <c r="Z255" s="43"/>
    </row>
    <row r="256">
      <c r="A256" s="67"/>
      <c r="B256" s="67"/>
      <c r="C256" s="68"/>
      <c r="D256" s="70"/>
      <c r="E256" s="68"/>
      <c r="F256" s="20"/>
      <c r="G256" s="43"/>
      <c r="H256" s="43"/>
      <c r="I256" s="43"/>
      <c r="J256" s="63"/>
      <c r="K256" s="43"/>
      <c r="L256" s="43"/>
      <c r="M256" s="43"/>
      <c r="N256" s="43"/>
      <c r="O256" s="43"/>
      <c r="P256" s="43"/>
      <c r="Q256" s="43"/>
      <c r="R256" s="43"/>
      <c r="S256" s="43"/>
      <c r="T256" s="43"/>
      <c r="U256" s="43"/>
      <c r="V256" s="43"/>
      <c r="W256" s="43"/>
      <c r="X256" s="43"/>
      <c r="Y256" s="43"/>
      <c r="Z256" s="43"/>
    </row>
    <row r="257">
      <c r="A257" s="67"/>
      <c r="B257" s="67"/>
      <c r="C257" s="68"/>
      <c r="D257" s="70"/>
      <c r="E257" s="68"/>
      <c r="F257" s="20"/>
      <c r="G257" s="43"/>
      <c r="H257" s="43"/>
      <c r="I257" s="43"/>
      <c r="J257" s="63"/>
      <c r="K257" s="43"/>
      <c r="L257" s="43"/>
      <c r="M257" s="43"/>
      <c r="N257" s="43"/>
      <c r="O257" s="43"/>
      <c r="P257" s="43"/>
      <c r="Q257" s="43"/>
      <c r="R257" s="43"/>
      <c r="S257" s="43"/>
      <c r="T257" s="43"/>
      <c r="U257" s="43"/>
      <c r="V257" s="43"/>
      <c r="W257" s="43"/>
      <c r="X257" s="43"/>
      <c r="Y257" s="43"/>
      <c r="Z257" s="43"/>
    </row>
    <row r="258">
      <c r="A258" s="67"/>
      <c r="B258" s="67"/>
      <c r="C258" s="68"/>
      <c r="D258" s="70"/>
      <c r="E258" s="68"/>
      <c r="F258" s="20"/>
      <c r="G258" s="43"/>
      <c r="H258" s="43"/>
      <c r="I258" s="43"/>
      <c r="J258" s="63"/>
      <c r="K258" s="43"/>
      <c r="L258" s="43"/>
      <c r="M258" s="43"/>
      <c r="N258" s="43"/>
      <c r="O258" s="43"/>
      <c r="P258" s="43"/>
      <c r="Q258" s="43"/>
      <c r="R258" s="43"/>
      <c r="S258" s="43"/>
      <c r="T258" s="43"/>
      <c r="U258" s="43"/>
      <c r="V258" s="43"/>
      <c r="W258" s="43"/>
      <c r="X258" s="43"/>
      <c r="Y258" s="43"/>
      <c r="Z258" s="43"/>
    </row>
    <row r="259">
      <c r="A259" s="67"/>
      <c r="B259" s="67"/>
      <c r="C259" s="68"/>
      <c r="D259" s="70"/>
      <c r="E259" s="68"/>
      <c r="F259" s="20"/>
      <c r="G259" s="43"/>
      <c r="H259" s="43"/>
      <c r="I259" s="43"/>
      <c r="J259" s="63"/>
      <c r="K259" s="43"/>
      <c r="L259" s="43"/>
      <c r="M259" s="43"/>
      <c r="N259" s="43"/>
      <c r="O259" s="43"/>
      <c r="P259" s="43"/>
      <c r="Q259" s="43"/>
      <c r="R259" s="43"/>
      <c r="S259" s="43"/>
      <c r="T259" s="43"/>
      <c r="U259" s="43"/>
      <c r="V259" s="43"/>
      <c r="W259" s="43"/>
      <c r="X259" s="43"/>
      <c r="Y259" s="43"/>
      <c r="Z259" s="43"/>
    </row>
    <row r="260">
      <c r="A260" s="67"/>
      <c r="B260" s="67"/>
      <c r="C260" s="68"/>
      <c r="D260" s="70"/>
      <c r="E260" s="68"/>
      <c r="F260" s="20"/>
      <c r="G260" s="43"/>
      <c r="H260" s="43"/>
      <c r="I260" s="43"/>
      <c r="J260" s="63"/>
      <c r="K260" s="43"/>
      <c r="L260" s="43"/>
      <c r="M260" s="43"/>
      <c r="N260" s="43"/>
      <c r="O260" s="43"/>
      <c r="P260" s="43"/>
      <c r="Q260" s="43"/>
      <c r="R260" s="43"/>
      <c r="S260" s="43"/>
      <c r="T260" s="43"/>
      <c r="U260" s="43"/>
      <c r="V260" s="43"/>
      <c r="W260" s="43"/>
      <c r="X260" s="43"/>
      <c r="Y260" s="43"/>
      <c r="Z260" s="43"/>
    </row>
    <row r="261">
      <c r="A261" s="67"/>
      <c r="B261" s="67"/>
      <c r="C261" s="68"/>
      <c r="D261" s="70"/>
      <c r="E261" s="68"/>
      <c r="F261" s="20"/>
      <c r="G261" s="43"/>
      <c r="H261" s="43"/>
      <c r="I261" s="43"/>
      <c r="J261" s="63"/>
      <c r="K261" s="43"/>
      <c r="L261" s="43"/>
      <c r="M261" s="43"/>
      <c r="N261" s="43"/>
      <c r="O261" s="43"/>
      <c r="P261" s="43"/>
      <c r="Q261" s="43"/>
      <c r="R261" s="43"/>
      <c r="S261" s="43"/>
      <c r="T261" s="43"/>
      <c r="U261" s="43"/>
      <c r="V261" s="43"/>
      <c r="W261" s="43"/>
      <c r="X261" s="43"/>
      <c r="Y261" s="43"/>
      <c r="Z261" s="43"/>
    </row>
    <row r="262">
      <c r="A262" s="67"/>
      <c r="B262" s="67"/>
      <c r="C262" s="68"/>
      <c r="D262" s="70"/>
      <c r="E262" s="68"/>
      <c r="F262" s="20"/>
      <c r="G262" s="43"/>
      <c r="H262" s="43"/>
      <c r="I262" s="43"/>
      <c r="J262" s="63"/>
      <c r="K262" s="43"/>
      <c r="L262" s="43"/>
      <c r="M262" s="43"/>
      <c r="N262" s="43"/>
      <c r="O262" s="43"/>
      <c r="P262" s="43"/>
      <c r="Q262" s="43"/>
      <c r="R262" s="43"/>
      <c r="S262" s="43"/>
      <c r="T262" s="43"/>
      <c r="U262" s="43"/>
      <c r="V262" s="43"/>
      <c r="W262" s="43"/>
      <c r="X262" s="43"/>
      <c r="Y262" s="43"/>
      <c r="Z262" s="43"/>
    </row>
    <row r="263">
      <c r="A263" s="67"/>
      <c r="B263" s="67"/>
      <c r="C263" s="68"/>
      <c r="D263" s="70"/>
      <c r="E263" s="68"/>
      <c r="F263" s="20"/>
      <c r="G263" s="43"/>
      <c r="H263" s="43"/>
      <c r="I263" s="43"/>
      <c r="J263" s="63"/>
      <c r="K263" s="43"/>
      <c r="L263" s="43"/>
      <c r="M263" s="43"/>
      <c r="N263" s="43"/>
      <c r="O263" s="43"/>
      <c r="P263" s="43"/>
      <c r="Q263" s="43"/>
      <c r="R263" s="43"/>
      <c r="S263" s="43"/>
      <c r="T263" s="43"/>
      <c r="U263" s="43"/>
      <c r="V263" s="43"/>
      <c r="W263" s="43"/>
      <c r="X263" s="43"/>
      <c r="Y263" s="43"/>
      <c r="Z263" s="43"/>
    </row>
    <row r="264">
      <c r="A264" s="67"/>
      <c r="B264" s="67"/>
      <c r="C264" s="68"/>
      <c r="D264" s="70"/>
      <c r="E264" s="68"/>
      <c r="F264" s="20"/>
      <c r="G264" s="43"/>
      <c r="H264" s="43"/>
      <c r="I264" s="43"/>
      <c r="J264" s="63"/>
      <c r="K264" s="43"/>
      <c r="L264" s="43"/>
      <c r="M264" s="43"/>
      <c r="N264" s="43"/>
      <c r="O264" s="43"/>
      <c r="P264" s="43"/>
      <c r="Q264" s="43"/>
      <c r="R264" s="43"/>
      <c r="S264" s="43"/>
      <c r="T264" s="43"/>
      <c r="U264" s="43"/>
      <c r="V264" s="43"/>
      <c r="W264" s="43"/>
      <c r="X264" s="43"/>
      <c r="Y264" s="43"/>
      <c r="Z264" s="43"/>
    </row>
    <row r="265">
      <c r="A265" s="67"/>
      <c r="B265" s="67"/>
      <c r="C265" s="68"/>
      <c r="D265" s="70"/>
      <c r="E265" s="68"/>
      <c r="F265" s="20"/>
      <c r="G265" s="43"/>
      <c r="H265" s="43"/>
      <c r="I265" s="43"/>
      <c r="J265" s="63"/>
      <c r="K265" s="43"/>
      <c r="L265" s="43"/>
      <c r="M265" s="43"/>
      <c r="N265" s="43"/>
      <c r="O265" s="43"/>
      <c r="P265" s="43"/>
      <c r="Q265" s="43"/>
      <c r="R265" s="43"/>
      <c r="S265" s="43"/>
      <c r="T265" s="43"/>
      <c r="U265" s="43"/>
      <c r="V265" s="43"/>
      <c r="W265" s="43"/>
      <c r="X265" s="43"/>
      <c r="Y265" s="43"/>
      <c r="Z265" s="43"/>
    </row>
    <row r="266">
      <c r="A266" s="67"/>
      <c r="B266" s="67"/>
      <c r="C266" s="68"/>
      <c r="D266" s="70"/>
      <c r="E266" s="68"/>
      <c r="F266" s="20"/>
      <c r="G266" s="43"/>
      <c r="H266" s="43"/>
      <c r="I266" s="43"/>
      <c r="J266" s="63"/>
      <c r="K266" s="43"/>
      <c r="L266" s="43"/>
      <c r="M266" s="43"/>
      <c r="N266" s="43"/>
      <c r="O266" s="43"/>
      <c r="P266" s="43"/>
      <c r="Q266" s="43"/>
      <c r="R266" s="43"/>
      <c r="S266" s="43"/>
      <c r="T266" s="43"/>
      <c r="U266" s="43"/>
      <c r="V266" s="43"/>
      <c r="W266" s="43"/>
      <c r="X266" s="43"/>
      <c r="Y266" s="43"/>
      <c r="Z266" s="43"/>
    </row>
    <row r="267">
      <c r="A267" s="67"/>
      <c r="B267" s="67"/>
      <c r="C267" s="68"/>
      <c r="D267" s="70"/>
      <c r="E267" s="68"/>
      <c r="F267" s="20"/>
      <c r="G267" s="43"/>
      <c r="H267" s="43"/>
      <c r="I267" s="43"/>
      <c r="J267" s="63"/>
      <c r="K267" s="43"/>
      <c r="L267" s="43"/>
      <c r="M267" s="43"/>
      <c r="N267" s="43"/>
      <c r="O267" s="43"/>
      <c r="P267" s="43"/>
      <c r="Q267" s="43"/>
      <c r="R267" s="43"/>
      <c r="S267" s="43"/>
      <c r="T267" s="43"/>
      <c r="U267" s="43"/>
      <c r="V267" s="43"/>
      <c r="W267" s="43"/>
      <c r="X267" s="43"/>
      <c r="Y267" s="43"/>
      <c r="Z267" s="43"/>
    </row>
    <row r="268">
      <c r="A268" s="67"/>
      <c r="B268" s="67"/>
      <c r="C268" s="68"/>
      <c r="D268" s="70"/>
      <c r="E268" s="68"/>
      <c r="F268" s="20"/>
      <c r="G268" s="43"/>
      <c r="H268" s="43"/>
      <c r="I268" s="43"/>
      <c r="J268" s="63"/>
      <c r="K268" s="43"/>
      <c r="L268" s="43"/>
      <c r="M268" s="43"/>
      <c r="N268" s="43"/>
      <c r="O268" s="43"/>
      <c r="P268" s="43"/>
      <c r="Q268" s="43"/>
      <c r="R268" s="43"/>
      <c r="S268" s="43"/>
      <c r="T268" s="43"/>
      <c r="U268" s="43"/>
      <c r="V268" s="43"/>
      <c r="W268" s="43"/>
      <c r="X268" s="43"/>
      <c r="Y268" s="43"/>
      <c r="Z268" s="43"/>
    </row>
    <row r="269">
      <c r="A269" s="67"/>
      <c r="B269" s="67"/>
      <c r="C269" s="68"/>
      <c r="D269" s="70"/>
      <c r="E269" s="68"/>
      <c r="F269" s="20"/>
      <c r="G269" s="43"/>
      <c r="H269" s="43"/>
      <c r="I269" s="43"/>
      <c r="J269" s="63"/>
      <c r="K269" s="43"/>
      <c r="L269" s="43"/>
      <c r="M269" s="43"/>
      <c r="N269" s="43"/>
      <c r="O269" s="43"/>
      <c r="P269" s="43"/>
      <c r="Q269" s="43"/>
      <c r="R269" s="43"/>
      <c r="S269" s="43"/>
      <c r="T269" s="43"/>
      <c r="U269" s="43"/>
      <c r="V269" s="43"/>
      <c r="W269" s="43"/>
      <c r="X269" s="43"/>
      <c r="Y269" s="43"/>
      <c r="Z269" s="43"/>
    </row>
    <row r="270">
      <c r="A270" s="67"/>
      <c r="B270" s="67"/>
      <c r="C270" s="68"/>
      <c r="D270" s="70"/>
      <c r="E270" s="68"/>
      <c r="F270" s="20"/>
      <c r="G270" s="43"/>
      <c r="H270" s="43"/>
      <c r="I270" s="43"/>
      <c r="J270" s="63"/>
      <c r="K270" s="43"/>
      <c r="L270" s="43"/>
      <c r="M270" s="43"/>
      <c r="N270" s="43"/>
      <c r="O270" s="43"/>
      <c r="P270" s="43"/>
      <c r="Q270" s="43"/>
      <c r="R270" s="43"/>
      <c r="S270" s="43"/>
      <c r="T270" s="43"/>
      <c r="U270" s="43"/>
      <c r="V270" s="43"/>
      <c r="W270" s="43"/>
      <c r="X270" s="43"/>
      <c r="Y270" s="43"/>
      <c r="Z270" s="43"/>
    </row>
    <row r="271">
      <c r="A271" s="67"/>
      <c r="B271" s="67"/>
      <c r="C271" s="68"/>
      <c r="D271" s="70"/>
      <c r="E271" s="68"/>
      <c r="F271" s="20"/>
      <c r="G271" s="43"/>
      <c r="H271" s="43"/>
      <c r="I271" s="43"/>
      <c r="J271" s="63"/>
      <c r="K271" s="43"/>
      <c r="L271" s="43"/>
      <c r="M271" s="43"/>
      <c r="N271" s="43"/>
      <c r="O271" s="43"/>
      <c r="P271" s="43"/>
      <c r="Q271" s="43"/>
      <c r="R271" s="43"/>
      <c r="S271" s="43"/>
      <c r="T271" s="43"/>
      <c r="U271" s="43"/>
      <c r="V271" s="43"/>
      <c r="W271" s="43"/>
      <c r="X271" s="43"/>
      <c r="Y271" s="43"/>
      <c r="Z271" s="43"/>
    </row>
    <row r="272">
      <c r="A272" s="67"/>
      <c r="B272" s="67"/>
      <c r="C272" s="68"/>
      <c r="D272" s="70"/>
      <c r="E272" s="68"/>
      <c r="F272" s="20"/>
      <c r="G272" s="43"/>
      <c r="H272" s="43"/>
      <c r="I272" s="43"/>
      <c r="J272" s="63"/>
      <c r="K272" s="43"/>
      <c r="L272" s="43"/>
      <c r="M272" s="43"/>
      <c r="N272" s="43"/>
      <c r="O272" s="43"/>
      <c r="P272" s="43"/>
      <c r="Q272" s="43"/>
      <c r="R272" s="43"/>
      <c r="S272" s="43"/>
      <c r="T272" s="43"/>
      <c r="U272" s="43"/>
      <c r="V272" s="43"/>
      <c r="W272" s="43"/>
      <c r="X272" s="43"/>
      <c r="Y272" s="43"/>
      <c r="Z272" s="43"/>
    </row>
    <row r="273">
      <c r="A273" s="67"/>
      <c r="B273" s="67"/>
      <c r="C273" s="68"/>
      <c r="D273" s="70"/>
      <c r="E273" s="68"/>
      <c r="F273" s="20"/>
      <c r="G273" s="43"/>
      <c r="H273" s="43"/>
      <c r="I273" s="43"/>
      <c r="J273" s="63"/>
      <c r="K273" s="43"/>
      <c r="L273" s="43"/>
      <c r="M273" s="43"/>
      <c r="N273" s="43"/>
      <c r="O273" s="43"/>
      <c r="P273" s="43"/>
      <c r="Q273" s="43"/>
      <c r="R273" s="43"/>
      <c r="S273" s="43"/>
      <c r="T273" s="43"/>
      <c r="U273" s="43"/>
      <c r="V273" s="43"/>
      <c r="W273" s="43"/>
      <c r="X273" s="43"/>
      <c r="Y273" s="43"/>
      <c r="Z273" s="43"/>
    </row>
    <row r="274">
      <c r="A274" s="67"/>
      <c r="B274" s="67"/>
      <c r="C274" s="68"/>
      <c r="D274" s="70"/>
      <c r="E274" s="68"/>
      <c r="F274" s="20"/>
      <c r="G274" s="43"/>
      <c r="H274" s="43"/>
      <c r="I274" s="43"/>
      <c r="J274" s="63"/>
      <c r="K274" s="43"/>
      <c r="L274" s="43"/>
      <c r="M274" s="43"/>
      <c r="N274" s="43"/>
      <c r="O274" s="43"/>
      <c r="P274" s="43"/>
      <c r="Q274" s="43"/>
      <c r="R274" s="43"/>
      <c r="S274" s="43"/>
      <c r="T274" s="43"/>
      <c r="U274" s="43"/>
      <c r="V274" s="43"/>
      <c r="W274" s="43"/>
      <c r="X274" s="43"/>
      <c r="Y274" s="43"/>
      <c r="Z274" s="43"/>
    </row>
    <row r="275">
      <c r="A275" s="67"/>
      <c r="B275" s="67"/>
      <c r="C275" s="68"/>
      <c r="D275" s="70"/>
      <c r="E275" s="68"/>
      <c r="F275" s="20"/>
      <c r="G275" s="43"/>
      <c r="H275" s="43"/>
      <c r="I275" s="43"/>
      <c r="J275" s="63"/>
      <c r="K275" s="43"/>
      <c r="L275" s="43"/>
      <c r="M275" s="43"/>
      <c r="N275" s="43"/>
      <c r="O275" s="43"/>
      <c r="P275" s="43"/>
      <c r="Q275" s="43"/>
      <c r="R275" s="43"/>
      <c r="S275" s="43"/>
      <c r="T275" s="43"/>
      <c r="U275" s="43"/>
      <c r="V275" s="43"/>
      <c r="W275" s="43"/>
      <c r="X275" s="43"/>
      <c r="Y275" s="43"/>
      <c r="Z275" s="43"/>
    </row>
    <row r="276">
      <c r="A276" s="67"/>
      <c r="B276" s="67"/>
      <c r="C276" s="68"/>
      <c r="D276" s="70"/>
      <c r="E276" s="68"/>
      <c r="F276" s="20"/>
      <c r="G276" s="43"/>
      <c r="H276" s="43"/>
      <c r="I276" s="43"/>
      <c r="J276" s="63"/>
      <c r="K276" s="43"/>
      <c r="L276" s="43"/>
      <c r="M276" s="43"/>
      <c r="N276" s="43"/>
      <c r="O276" s="43"/>
      <c r="P276" s="43"/>
      <c r="Q276" s="43"/>
      <c r="R276" s="43"/>
      <c r="S276" s="43"/>
      <c r="T276" s="43"/>
      <c r="U276" s="43"/>
      <c r="V276" s="43"/>
      <c r="W276" s="43"/>
      <c r="X276" s="43"/>
      <c r="Y276" s="43"/>
      <c r="Z276" s="43"/>
    </row>
    <row r="277">
      <c r="A277" s="67"/>
      <c r="B277" s="67"/>
      <c r="C277" s="68"/>
      <c r="D277" s="70"/>
      <c r="E277" s="68"/>
      <c r="F277" s="20"/>
      <c r="G277" s="43"/>
      <c r="H277" s="43"/>
      <c r="I277" s="43"/>
      <c r="J277" s="63"/>
      <c r="K277" s="43"/>
      <c r="L277" s="43"/>
      <c r="M277" s="43"/>
      <c r="N277" s="43"/>
      <c r="O277" s="43"/>
      <c r="P277" s="43"/>
      <c r="Q277" s="43"/>
      <c r="R277" s="43"/>
      <c r="S277" s="43"/>
      <c r="T277" s="43"/>
      <c r="U277" s="43"/>
      <c r="V277" s="43"/>
      <c r="W277" s="43"/>
      <c r="X277" s="43"/>
      <c r="Y277" s="43"/>
      <c r="Z277" s="43"/>
    </row>
    <row r="278">
      <c r="A278" s="67"/>
      <c r="B278" s="67"/>
      <c r="C278" s="68"/>
      <c r="D278" s="70"/>
      <c r="E278" s="68"/>
      <c r="F278" s="20"/>
      <c r="G278" s="43"/>
      <c r="H278" s="43"/>
      <c r="I278" s="43"/>
      <c r="J278" s="63"/>
      <c r="K278" s="43"/>
      <c r="L278" s="43"/>
      <c r="M278" s="43"/>
      <c r="N278" s="43"/>
      <c r="O278" s="43"/>
      <c r="P278" s="43"/>
      <c r="Q278" s="43"/>
      <c r="R278" s="43"/>
      <c r="S278" s="43"/>
      <c r="T278" s="43"/>
      <c r="U278" s="43"/>
      <c r="V278" s="43"/>
      <c r="W278" s="43"/>
      <c r="X278" s="43"/>
      <c r="Y278" s="43"/>
      <c r="Z278" s="43"/>
    </row>
    <row r="279">
      <c r="A279" s="67"/>
      <c r="B279" s="67"/>
      <c r="C279" s="68"/>
      <c r="D279" s="70"/>
      <c r="E279" s="68"/>
      <c r="F279" s="20"/>
      <c r="G279" s="43"/>
      <c r="H279" s="43"/>
      <c r="I279" s="43"/>
      <c r="J279" s="63"/>
      <c r="K279" s="43"/>
      <c r="L279" s="43"/>
      <c r="M279" s="43"/>
      <c r="N279" s="43"/>
      <c r="O279" s="43"/>
      <c r="P279" s="43"/>
      <c r="Q279" s="43"/>
      <c r="R279" s="43"/>
      <c r="S279" s="43"/>
      <c r="T279" s="43"/>
      <c r="U279" s="43"/>
      <c r="V279" s="43"/>
      <c r="W279" s="43"/>
      <c r="X279" s="43"/>
      <c r="Y279" s="43"/>
      <c r="Z279" s="43"/>
    </row>
    <row r="280">
      <c r="A280" s="67"/>
      <c r="B280" s="67"/>
      <c r="C280" s="68"/>
      <c r="D280" s="70"/>
      <c r="E280" s="68"/>
      <c r="F280" s="20"/>
      <c r="G280" s="43"/>
      <c r="H280" s="43"/>
      <c r="I280" s="43"/>
      <c r="J280" s="63"/>
      <c r="K280" s="43"/>
      <c r="L280" s="43"/>
      <c r="M280" s="43"/>
      <c r="N280" s="43"/>
      <c r="O280" s="43"/>
      <c r="P280" s="43"/>
      <c r="Q280" s="43"/>
      <c r="R280" s="43"/>
      <c r="S280" s="43"/>
      <c r="T280" s="43"/>
      <c r="U280" s="43"/>
      <c r="V280" s="43"/>
      <c r="W280" s="43"/>
      <c r="X280" s="43"/>
      <c r="Y280" s="43"/>
      <c r="Z280" s="43"/>
    </row>
    <row r="281">
      <c r="A281" s="67"/>
      <c r="B281" s="67"/>
      <c r="C281" s="68"/>
      <c r="D281" s="70"/>
      <c r="E281" s="68"/>
      <c r="F281" s="20"/>
      <c r="G281" s="43"/>
      <c r="H281" s="43"/>
      <c r="I281" s="43"/>
      <c r="J281" s="63"/>
      <c r="K281" s="43"/>
      <c r="L281" s="43"/>
      <c r="M281" s="43"/>
      <c r="N281" s="43"/>
      <c r="O281" s="43"/>
      <c r="P281" s="43"/>
      <c r="Q281" s="43"/>
      <c r="R281" s="43"/>
      <c r="S281" s="43"/>
      <c r="T281" s="43"/>
      <c r="U281" s="43"/>
      <c r="V281" s="43"/>
      <c r="W281" s="43"/>
      <c r="X281" s="43"/>
      <c r="Y281" s="43"/>
      <c r="Z281" s="43"/>
    </row>
    <row r="282">
      <c r="A282" s="67"/>
      <c r="B282" s="67"/>
      <c r="C282" s="68"/>
      <c r="D282" s="70"/>
      <c r="E282" s="68"/>
      <c r="F282" s="20"/>
      <c r="G282" s="43"/>
      <c r="H282" s="43"/>
      <c r="I282" s="43"/>
      <c r="J282" s="63"/>
      <c r="K282" s="43"/>
      <c r="L282" s="43"/>
      <c r="M282" s="43"/>
      <c r="N282" s="43"/>
      <c r="O282" s="43"/>
      <c r="P282" s="43"/>
      <c r="Q282" s="43"/>
      <c r="R282" s="43"/>
      <c r="S282" s="43"/>
      <c r="T282" s="43"/>
      <c r="U282" s="43"/>
      <c r="V282" s="43"/>
      <c r="W282" s="43"/>
      <c r="X282" s="43"/>
      <c r="Y282" s="43"/>
      <c r="Z282" s="43"/>
    </row>
    <row r="283">
      <c r="A283" s="67"/>
      <c r="B283" s="67"/>
      <c r="C283" s="68"/>
      <c r="D283" s="70"/>
      <c r="E283" s="68"/>
      <c r="F283" s="20"/>
      <c r="G283" s="43"/>
      <c r="H283" s="43"/>
      <c r="I283" s="43"/>
      <c r="J283" s="63"/>
      <c r="K283" s="43"/>
      <c r="L283" s="43"/>
      <c r="M283" s="43"/>
      <c r="N283" s="43"/>
      <c r="O283" s="43"/>
      <c r="P283" s="43"/>
      <c r="Q283" s="43"/>
      <c r="R283" s="43"/>
      <c r="S283" s="43"/>
      <c r="T283" s="43"/>
      <c r="U283" s="43"/>
      <c r="V283" s="43"/>
      <c r="W283" s="43"/>
      <c r="X283" s="43"/>
      <c r="Y283" s="43"/>
      <c r="Z283" s="43"/>
    </row>
    <row r="284">
      <c r="A284" s="67"/>
      <c r="B284" s="67"/>
      <c r="C284" s="68"/>
      <c r="D284" s="70"/>
      <c r="E284" s="68"/>
      <c r="F284" s="20"/>
      <c r="G284" s="43"/>
      <c r="H284" s="43"/>
      <c r="I284" s="43"/>
      <c r="J284" s="63"/>
      <c r="K284" s="43"/>
      <c r="L284" s="43"/>
      <c r="M284" s="43"/>
      <c r="N284" s="43"/>
      <c r="O284" s="43"/>
      <c r="P284" s="43"/>
      <c r="Q284" s="43"/>
      <c r="R284" s="43"/>
      <c r="S284" s="43"/>
      <c r="T284" s="43"/>
      <c r="U284" s="43"/>
      <c r="V284" s="43"/>
      <c r="W284" s="43"/>
      <c r="X284" s="43"/>
      <c r="Y284" s="43"/>
      <c r="Z284" s="43"/>
    </row>
    <row r="285">
      <c r="A285" s="67"/>
      <c r="B285" s="67"/>
      <c r="C285" s="68"/>
      <c r="D285" s="70"/>
      <c r="E285" s="68"/>
      <c r="F285" s="20"/>
      <c r="G285" s="43"/>
      <c r="H285" s="43"/>
      <c r="I285" s="43"/>
      <c r="J285" s="63"/>
      <c r="K285" s="43"/>
      <c r="L285" s="43"/>
      <c r="M285" s="43"/>
      <c r="N285" s="43"/>
      <c r="O285" s="43"/>
      <c r="P285" s="43"/>
      <c r="Q285" s="43"/>
      <c r="R285" s="43"/>
      <c r="S285" s="43"/>
      <c r="T285" s="43"/>
      <c r="U285" s="43"/>
      <c r="V285" s="43"/>
      <c r="W285" s="43"/>
      <c r="X285" s="43"/>
      <c r="Y285" s="43"/>
      <c r="Z285" s="43"/>
    </row>
    <row r="286">
      <c r="A286" s="67"/>
      <c r="B286" s="67"/>
      <c r="C286" s="68"/>
      <c r="D286" s="70"/>
      <c r="E286" s="68"/>
      <c r="F286" s="20"/>
      <c r="G286" s="43"/>
      <c r="H286" s="43"/>
      <c r="I286" s="43"/>
      <c r="J286" s="63"/>
      <c r="K286" s="43"/>
      <c r="L286" s="43"/>
      <c r="M286" s="43"/>
      <c r="N286" s="43"/>
      <c r="O286" s="43"/>
      <c r="P286" s="43"/>
      <c r="Q286" s="43"/>
      <c r="R286" s="43"/>
      <c r="S286" s="43"/>
      <c r="T286" s="43"/>
      <c r="U286" s="43"/>
      <c r="V286" s="43"/>
      <c r="W286" s="43"/>
      <c r="X286" s="43"/>
      <c r="Y286" s="43"/>
      <c r="Z286" s="43"/>
    </row>
    <row r="287">
      <c r="A287" s="67"/>
      <c r="B287" s="67"/>
      <c r="C287" s="68"/>
      <c r="D287" s="70"/>
      <c r="E287" s="68"/>
      <c r="F287" s="20"/>
      <c r="G287" s="43"/>
      <c r="H287" s="43"/>
      <c r="I287" s="43"/>
      <c r="J287" s="63"/>
      <c r="K287" s="43"/>
      <c r="L287" s="43"/>
      <c r="M287" s="43"/>
      <c r="N287" s="43"/>
      <c r="O287" s="43"/>
      <c r="P287" s="43"/>
      <c r="Q287" s="43"/>
      <c r="R287" s="43"/>
      <c r="S287" s="43"/>
      <c r="T287" s="43"/>
      <c r="U287" s="43"/>
      <c r="V287" s="43"/>
      <c r="W287" s="43"/>
      <c r="X287" s="43"/>
      <c r="Y287" s="43"/>
      <c r="Z287" s="43"/>
    </row>
    <row r="288">
      <c r="A288" s="67"/>
      <c r="B288" s="67"/>
      <c r="C288" s="68"/>
      <c r="D288" s="70"/>
      <c r="E288" s="68"/>
      <c r="F288" s="20"/>
      <c r="G288" s="43"/>
      <c r="H288" s="43"/>
      <c r="I288" s="43"/>
      <c r="J288" s="63"/>
      <c r="K288" s="43"/>
      <c r="L288" s="43"/>
      <c r="M288" s="43"/>
      <c r="N288" s="43"/>
      <c r="O288" s="43"/>
      <c r="P288" s="43"/>
      <c r="Q288" s="43"/>
      <c r="R288" s="43"/>
      <c r="S288" s="43"/>
      <c r="T288" s="43"/>
      <c r="U288" s="43"/>
      <c r="V288" s="43"/>
      <c r="W288" s="43"/>
      <c r="X288" s="43"/>
      <c r="Y288" s="43"/>
      <c r="Z288" s="43"/>
    </row>
    <row r="289">
      <c r="A289" s="67"/>
      <c r="B289" s="67"/>
      <c r="C289" s="68"/>
      <c r="D289" s="70"/>
      <c r="E289" s="68"/>
      <c r="F289" s="20"/>
      <c r="G289" s="43"/>
      <c r="H289" s="43"/>
      <c r="I289" s="43"/>
      <c r="J289" s="63"/>
      <c r="K289" s="43"/>
      <c r="L289" s="43"/>
      <c r="M289" s="43"/>
      <c r="N289" s="43"/>
      <c r="O289" s="43"/>
      <c r="P289" s="43"/>
      <c r="Q289" s="43"/>
      <c r="R289" s="43"/>
      <c r="S289" s="43"/>
      <c r="T289" s="43"/>
      <c r="U289" s="43"/>
      <c r="V289" s="43"/>
      <c r="W289" s="43"/>
      <c r="X289" s="43"/>
      <c r="Y289" s="43"/>
      <c r="Z289" s="43"/>
    </row>
    <row r="290">
      <c r="A290" s="67"/>
      <c r="B290" s="67"/>
      <c r="C290" s="68"/>
      <c r="D290" s="70"/>
      <c r="E290" s="68"/>
      <c r="F290" s="20"/>
      <c r="G290" s="43"/>
      <c r="H290" s="43"/>
      <c r="I290" s="43"/>
      <c r="J290" s="63"/>
      <c r="K290" s="43"/>
      <c r="L290" s="43"/>
      <c r="M290" s="43"/>
      <c r="N290" s="43"/>
      <c r="O290" s="43"/>
      <c r="P290" s="43"/>
      <c r="Q290" s="43"/>
      <c r="R290" s="43"/>
      <c r="S290" s="43"/>
      <c r="T290" s="43"/>
      <c r="U290" s="43"/>
      <c r="V290" s="43"/>
      <c r="W290" s="43"/>
      <c r="X290" s="43"/>
      <c r="Y290" s="43"/>
      <c r="Z290" s="43"/>
    </row>
    <row r="291">
      <c r="A291" s="67"/>
      <c r="B291" s="67"/>
      <c r="C291" s="68"/>
      <c r="D291" s="70"/>
      <c r="E291" s="68"/>
      <c r="F291" s="20"/>
      <c r="G291" s="43"/>
      <c r="H291" s="43"/>
      <c r="I291" s="43"/>
      <c r="J291" s="63"/>
      <c r="K291" s="43"/>
      <c r="L291" s="43"/>
      <c r="M291" s="43"/>
      <c r="N291" s="43"/>
      <c r="O291" s="43"/>
      <c r="P291" s="43"/>
      <c r="Q291" s="43"/>
      <c r="R291" s="43"/>
      <c r="S291" s="43"/>
      <c r="T291" s="43"/>
      <c r="U291" s="43"/>
      <c r="V291" s="43"/>
      <c r="W291" s="43"/>
      <c r="X291" s="43"/>
      <c r="Y291" s="43"/>
      <c r="Z291" s="43"/>
    </row>
    <row r="292">
      <c r="A292" s="67"/>
      <c r="B292" s="67"/>
      <c r="C292" s="68"/>
      <c r="D292" s="70"/>
      <c r="E292" s="68"/>
      <c r="F292" s="20"/>
      <c r="G292" s="43"/>
      <c r="H292" s="43"/>
      <c r="I292" s="43"/>
      <c r="J292" s="63"/>
      <c r="K292" s="43"/>
      <c r="L292" s="43"/>
      <c r="M292" s="43"/>
      <c r="N292" s="43"/>
      <c r="O292" s="43"/>
      <c r="P292" s="43"/>
      <c r="Q292" s="43"/>
      <c r="R292" s="43"/>
      <c r="S292" s="43"/>
      <c r="T292" s="43"/>
      <c r="U292" s="43"/>
      <c r="V292" s="43"/>
      <c r="W292" s="43"/>
      <c r="X292" s="43"/>
      <c r="Y292" s="43"/>
      <c r="Z292" s="43"/>
    </row>
    <row r="293">
      <c r="A293" s="67"/>
      <c r="B293" s="67"/>
      <c r="C293" s="68"/>
      <c r="D293" s="70"/>
      <c r="E293" s="68"/>
      <c r="F293" s="20"/>
      <c r="G293" s="43"/>
      <c r="H293" s="43"/>
      <c r="I293" s="43"/>
      <c r="J293" s="63"/>
      <c r="K293" s="43"/>
      <c r="L293" s="43"/>
      <c r="M293" s="43"/>
      <c r="N293" s="43"/>
      <c r="O293" s="43"/>
      <c r="P293" s="43"/>
      <c r="Q293" s="43"/>
      <c r="R293" s="43"/>
      <c r="S293" s="43"/>
      <c r="T293" s="43"/>
      <c r="U293" s="43"/>
      <c r="V293" s="43"/>
      <c r="W293" s="43"/>
      <c r="X293" s="43"/>
      <c r="Y293" s="43"/>
      <c r="Z293" s="43"/>
    </row>
    <row r="294">
      <c r="A294" s="67"/>
      <c r="B294" s="67"/>
      <c r="C294" s="68"/>
      <c r="D294" s="70"/>
      <c r="E294" s="68"/>
      <c r="F294" s="20"/>
      <c r="G294" s="43"/>
      <c r="H294" s="43"/>
      <c r="I294" s="43"/>
      <c r="J294" s="63"/>
      <c r="K294" s="43"/>
      <c r="L294" s="43"/>
      <c r="M294" s="43"/>
      <c r="N294" s="43"/>
      <c r="O294" s="43"/>
      <c r="P294" s="43"/>
      <c r="Q294" s="43"/>
      <c r="R294" s="43"/>
      <c r="S294" s="43"/>
      <c r="T294" s="43"/>
      <c r="U294" s="43"/>
      <c r="V294" s="43"/>
      <c r="W294" s="43"/>
      <c r="X294" s="43"/>
      <c r="Y294" s="43"/>
      <c r="Z294" s="43"/>
    </row>
    <row r="295">
      <c r="A295" s="67"/>
      <c r="B295" s="67"/>
      <c r="C295" s="68"/>
      <c r="D295" s="70"/>
      <c r="E295" s="68"/>
      <c r="F295" s="20"/>
      <c r="G295" s="43"/>
      <c r="H295" s="43"/>
      <c r="I295" s="43"/>
      <c r="J295" s="63"/>
      <c r="K295" s="43"/>
      <c r="L295" s="43"/>
      <c r="M295" s="43"/>
      <c r="N295" s="43"/>
      <c r="O295" s="43"/>
      <c r="P295" s="43"/>
      <c r="Q295" s="43"/>
      <c r="R295" s="43"/>
      <c r="S295" s="43"/>
      <c r="T295" s="43"/>
      <c r="U295" s="43"/>
      <c r="V295" s="43"/>
      <c r="W295" s="43"/>
      <c r="X295" s="43"/>
      <c r="Y295" s="43"/>
      <c r="Z295" s="43"/>
    </row>
    <row r="296">
      <c r="A296" s="67"/>
      <c r="B296" s="67"/>
      <c r="C296" s="68"/>
      <c r="D296" s="70"/>
      <c r="E296" s="68"/>
      <c r="F296" s="20"/>
      <c r="G296" s="43"/>
      <c r="H296" s="43"/>
      <c r="I296" s="43"/>
      <c r="J296" s="63"/>
      <c r="K296" s="43"/>
      <c r="L296" s="43"/>
      <c r="M296" s="43"/>
      <c r="N296" s="43"/>
      <c r="O296" s="43"/>
      <c r="P296" s="43"/>
      <c r="Q296" s="43"/>
      <c r="R296" s="43"/>
      <c r="S296" s="43"/>
      <c r="T296" s="43"/>
      <c r="U296" s="43"/>
      <c r="V296" s="43"/>
      <c r="W296" s="43"/>
      <c r="X296" s="43"/>
      <c r="Y296" s="43"/>
      <c r="Z296" s="43"/>
    </row>
    <row r="297">
      <c r="A297" s="67"/>
      <c r="B297" s="67"/>
      <c r="C297" s="68"/>
      <c r="D297" s="70"/>
      <c r="E297" s="68"/>
      <c r="F297" s="20"/>
      <c r="G297" s="43"/>
      <c r="H297" s="43"/>
      <c r="I297" s="43"/>
      <c r="J297" s="63"/>
      <c r="K297" s="43"/>
      <c r="L297" s="43"/>
      <c r="M297" s="43"/>
      <c r="N297" s="43"/>
      <c r="O297" s="43"/>
      <c r="P297" s="43"/>
      <c r="Q297" s="43"/>
      <c r="R297" s="43"/>
      <c r="S297" s="43"/>
      <c r="T297" s="43"/>
      <c r="U297" s="43"/>
      <c r="V297" s="43"/>
      <c r="W297" s="43"/>
      <c r="X297" s="43"/>
      <c r="Y297" s="43"/>
      <c r="Z297" s="43"/>
    </row>
    <row r="298">
      <c r="A298" s="67"/>
      <c r="B298" s="67"/>
      <c r="C298" s="68"/>
      <c r="D298" s="70"/>
      <c r="E298" s="68"/>
      <c r="F298" s="20"/>
      <c r="G298" s="43"/>
      <c r="H298" s="43"/>
      <c r="I298" s="43"/>
      <c r="J298" s="63"/>
      <c r="K298" s="43"/>
      <c r="L298" s="43"/>
      <c r="M298" s="43"/>
      <c r="N298" s="43"/>
      <c r="O298" s="43"/>
      <c r="P298" s="43"/>
      <c r="Q298" s="43"/>
      <c r="R298" s="43"/>
      <c r="S298" s="43"/>
      <c r="T298" s="43"/>
      <c r="U298" s="43"/>
      <c r="V298" s="43"/>
      <c r="W298" s="43"/>
      <c r="X298" s="43"/>
      <c r="Y298" s="43"/>
      <c r="Z298" s="43"/>
    </row>
    <row r="299">
      <c r="A299" s="67"/>
      <c r="B299" s="67"/>
      <c r="C299" s="68"/>
      <c r="D299" s="70"/>
      <c r="E299" s="68"/>
      <c r="F299" s="20"/>
      <c r="G299" s="43"/>
      <c r="H299" s="43"/>
      <c r="I299" s="43"/>
      <c r="J299" s="63"/>
      <c r="K299" s="43"/>
      <c r="L299" s="43"/>
      <c r="M299" s="43"/>
      <c r="N299" s="43"/>
      <c r="O299" s="43"/>
      <c r="P299" s="43"/>
      <c r="Q299" s="43"/>
      <c r="R299" s="43"/>
      <c r="S299" s="43"/>
      <c r="T299" s="43"/>
      <c r="U299" s="43"/>
      <c r="V299" s="43"/>
      <c r="W299" s="43"/>
      <c r="X299" s="43"/>
      <c r="Y299" s="43"/>
      <c r="Z299" s="43"/>
    </row>
    <row r="300">
      <c r="A300" s="67"/>
      <c r="B300" s="67"/>
      <c r="C300" s="68"/>
      <c r="D300" s="70"/>
      <c r="E300" s="68"/>
      <c r="F300" s="20"/>
      <c r="G300" s="43"/>
      <c r="H300" s="43"/>
      <c r="I300" s="43"/>
      <c r="J300" s="63"/>
      <c r="K300" s="43"/>
      <c r="L300" s="43"/>
      <c r="M300" s="43"/>
      <c r="N300" s="43"/>
      <c r="O300" s="43"/>
      <c r="P300" s="43"/>
      <c r="Q300" s="43"/>
      <c r="R300" s="43"/>
      <c r="S300" s="43"/>
      <c r="T300" s="43"/>
      <c r="U300" s="43"/>
      <c r="V300" s="43"/>
      <c r="W300" s="43"/>
      <c r="X300" s="43"/>
      <c r="Y300" s="43"/>
      <c r="Z300" s="43"/>
    </row>
    <row r="301">
      <c r="A301" s="67"/>
      <c r="B301" s="67"/>
      <c r="C301" s="68"/>
      <c r="D301" s="70"/>
      <c r="E301" s="68"/>
      <c r="F301" s="20"/>
      <c r="G301" s="43"/>
      <c r="H301" s="43"/>
      <c r="I301" s="43"/>
      <c r="J301" s="63"/>
      <c r="K301" s="43"/>
      <c r="L301" s="43"/>
      <c r="M301" s="43"/>
      <c r="N301" s="43"/>
      <c r="O301" s="43"/>
      <c r="P301" s="43"/>
      <c r="Q301" s="43"/>
      <c r="R301" s="43"/>
      <c r="S301" s="43"/>
      <c r="T301" s="43"/>
      <c r="U301" s="43"/>
      <c r="V301" s="43"/>
      <c r="W301" s="43"/>
      <c r="X301" s="43"/>
      <c r="Y301" s="43"/>
      <c r="Z301" s="43"/>
    </row>
    <row r="302">
      <c r="A302" s="67"/>
      <c r="B302" s="67"/>
      <c r="C302" s="68"/>
      <c r="D302" s="70"/>
      <c r="E302" s="68"/>
      <c r="F302" s="20"/>
      <c r="G302" s="43"/>
      <c r="H302" s="43"/>
      <c r="I302" s="43"/>
      <c r="J302" s="63"/>
      <c r="K302" s="43"/>
      <c r="L302" s="43"/>
      <c r="M302" s="43"/>
      <c r="N302" s="43"/>
      <c r="O302" s="43"/>
      <c r="P302" s="43"/>
      <c r="Q302" s="43"/>
      <c r="R302" s="43"/>
      <c r="S302" s="43"/>
      <c r="T302" s="43"/>
      <c r="U302" s="43"/>
      <c r="V302" s="43"/>
      <c r="W302" s="43"/>
      <c r="X302" s="43"/>
      <c r="Y302" s="43"/>
      <c r="Z302" s="43"/>
    </row>
    <row r="303">
      <c r="A303" s="67"/>
      <c r="B303" s="67"/>
      <c r="C303" s="68"/>
      <c r="D303" s="70"/>
      <c r="E303" s="68"/>
      <c r="F303" s="20"/>
      <c r="G303" s="43"/>
      <c r="H303" s="43"/>
      <c r="I303" s="43"/>
      <c r="J303" s="63"/>
      <c r="K303" s="43"/>
      <c r="L303" s="43"/>
      <c r="M303" s="43"/>
      <c r="N303" s="43"/>
      <c r="O303" s="43"/>
      <c r="P303" s="43"/>
      <c r="Q303" s="43"/>
      <c r="R303" s="43"/>
      <c r="S303" s="43"/>
      <c r="T303" s="43"/>
      <c r="U303" s="43"/>
      <c r="V303" s="43"/>
      <c r="W303" s="43"/>
      <c r="X303" s="43"/>
      <c r="Y303" s="43"/>
      <c r="Z303" s="43"/>
    </row>
    <row r="304">
      <c r="A304" s="67"/>
      <c r="B304" s="67"/>
      <c r="C304" s="68"/>
      <c r="D304" s="70"/>
      <c r="E304" s="68"/>
      <c r="F304" s="20"/>
      <c r="G304" s="43"/>
      <c r="H304" s="43"/>
      <c r="I304" s="43"/>
      <c r="J304" s="63"/>
      <c r="K304" s="43"/>
      <c r="L304" s="43"/>
      <c r="M304" s="43"/>
      <c r="N304" s="43"/>
      <c r="O304" s="43"/>
      <c r="P304" s="43"/>
      <c r="Q304" s="43"/>
      <c r="R304" s="43"/>
      <c r="S304" s="43"/>
      <c r="T304" s="43"/>
      <c r="U304" s="43"/>
      <c r="V304" s="43"/>
      <c r="W304" s="43"/>
      <c r="X304" s="43"/>
      <c r="Y304" s="43"/>
      <c r="Z304" s="43"/>
    </row>
    <row r="305">
      <c r="A305" s="67"/>
      <c r="B305" s="67"/>
      <c r="C305" s="68"/>
      <c r="D305" s="70"/>
      <c r="E305" s="68"/>
      <c r="F305" s="20"/>
      <c r="G305" s="43"/>
      <c r="H305" s="43"/>
      <c r="I305" s="43"/>
      <c r="J305" s="63"/>
      <c r="K305" s="43"/>
      <c r="L305" s="43"/>
      <c r="M305" s="43"/>
      <c r="N305" s="43"/>
      <c r="O305" s="43"/>
      <c r="P305" s="43"/>
      <c r="Q305" s="43"/>
      <c r="R305" s="43"/>
      <c r="S305" s="43"/>
      <c r="T305" s="43"/>
      <c r="U305" s="43"/>
      <c r="V305" s="43"/>
      <c r="W305" s="43"/>
      <c r="X305" s="43"/>
      <c r="Y305" s="43"/>
      <c r="Z305" s="43"/>
    </row>
    <row r="306">
      <c r="A306" s="67"/>
      <c r="B306" s="67"/>
      <c r="C306" s="68"/>
      <c r="D306" s="70"/>
      <c r="E306" s="68"/>
      <c r="F306" s="20"/>
      <c r="G306" s="43"/>
      <c r="H306" s="43"/>
      <c r="I306" s="43"/>
      <c r="J306" s="63"/>
      <c r="K306" s="43"/>
      <c r="L306" s="43"/>
      <c r="M306" s="43"/>
      <c r="N306" s="43"/>
      <c r="O306" s="43"/>
      <c r="P306" s="43"/>
      <c r="Q306" s="43"/>
      <c r="R306" s="43"/>
      <c r="S306" s="43"/>
      <c r="T306" s="43"/>
      <c r="U306" s="43"/>
      <c r="V306" s="43"/>
      <c r="W306" s="43"/>
      <c r="X306" s="43"/>
      <c r="Y306" s="43"/>
      <c r="Z306" s="43"/>
    </row>
    <row r="307">
      <c r="A307" s="67"/>
      <c r="B307" s="67"/>
      <c r="C307" s="68"/>
      <c r="D307" s="70"/>
      <c r="E307" s="68"/>
      <c r="F307" s="20"/>
      <c r="G307" s="43"/>
      <c r="H307" s="43"/>
      <c r="I307" s="43"/>
      <c r="J307" s="63"/>
      <c r="K307" s="43"/>
      <c r="L307" s="43"/>
      <c r="M307" s="43"/>
      <c r="N307" s="43"/>
      <c r="O307" s="43"/>
      <c r="P307" s="43"/>
      <c r="Q307" s="43"/>
      <c r="R307" s="43"/>
      <c r="S307" s="43"/>
      <c r="T307" s="43"/>
      <c r="U307" s="43"/>
      <c r="V307" s="43"/>
      <c r="W307" s="43"/>
      <c r="X307" s="43"/>
      <c r="Y307" s="43"/>
      <c r="Z307" s="43"/>
    </row>
    <row r="308">
      <c r="A308" s="67"/>
      <c r="B308" s="67"/>
      <c r="C308" s="68"/>
      <c r="D308" s="70"/>
      <c r="E308" s="68"/>
      <c r="F308" s="20"/>
      <c r="G308" s="43"/>
      <c r="H308" s="43"/>
      <c r="I308" s="43"/>
      <c r="J308" s="63"/>
      <c r="K308" s="43"/>
      <c r="L308" s="43"/>
      <c r="M308" s="43"/>
      <c r="N308" s="43"/>
      <c r="O308" s="43"/>
      <c r="P308" s="43"/>
      <c r="Q308" s="43"/>
      <c r="R308" s="43"/>
      <c r="S308" s="43"/>
      <c r="T308" s="43"/>
      <c r="U308" s="43"/>
      <c r="V308" s="43"/>
      <c r="W308" s="43"/>
      <c r="X308" s="43"/>
      <c r="Y308" s="43"/>
      <c r="Z308" s="43"/>
    </row>
    <row r="309">
      <c r="A309" s="67"/>
      <c r="B309" s="67"/>
      <c r="C309" s="68"/>
      <c r="D309" s="70"/>
      <c r="E309" s="68"/>
      <c r="F309" s="20"/>
      <c r="G309" s="43"/>
      <c r="H309" s="43"/>
      <c r="I309" s="43"/>
      <c r="J309" s="63"/>
      <c r="K309" s="43"/>
      <c r="L309" s="43"/>
      <c r="M309" s="43"/>
      <c r="N309" s="43"/>
      <c r="O309" s="43"/>
      <c r="P309" s="43"/>
      <c r="Q309" s="43"/>
      <c r="R309" s="43"/>
      <c r="S309" s="43"/>
      <c r="T309" s="43"/>
      <c r="U309" s="43"/>
      <c r="V309" s="43"/>
      <c r="W309" s="43"/>
      <c r="X309" s="43"/>
      <c r="Y309" s="43"/>
      <c r="Z309" s="43"/>
    </row>
    <row r="310">
      <c r="A310" s="67"/>
      <c r="B310" s="67"/>
      <c r="C310" s="68"/>
      <c r="D310" s="70"/>
      <c r="E310" s="68"/>
      <c r="F310" s="20"/>
      <c r="G310" s="43"/>
      <c r="H310" s="43"/>
      <c r="I310" s="43"/>
      <c r="J310" s="63"/>
      <c r="K310" s="43"/>
      <c r="L310" s="43"/>
      <c r="M310" s="43"/>
      <c r="N310" s="43"/>
      <c r="O310" s="43"/>
      <c r="P310" s="43"/>
      <c r="Q310" s="43"/>
      <c r="R310" s="43"/>
      <c r="S310" s="43"/>
      <c r="T310" s="43"/>
      <c r="U310" s="43"/>
      <c r="V310" s="43"/>
      <c r="W310" s="43"/>
      <c r="X310" s="43"/>
      <c r="Y310" s="43"/>
      <c r="Z310" s="43"/>
    </row>
    <row r="311">
      <c r="A311" s="67"/>
      <c r="B311" s="67"/>
      <c r="C311" s="68"/>
      <c r="D311" s="70"/>
      <c r="E311" s="68"/>
      <c r="F311" s="20"/>
      <c r="G311" s="43"/>
      <c r="H311" s="43"/>
      <c r="I311" s="43"/>
      <c r="J311" s="63"/>
      <c r="K311" s="43"/>
      <c r="L311" s="43"/>
      <c r="M311" s="43"/>
      <c r="N311" s="43"/>
      <c r="O311" s="43"/>
      <c r="P311" s="43"/>
      <c r="Q311" s="43"/>
      <c r="R311" s="43"/>
      <c r="S311" s="43"/>
      <c r="T311" s="43"/>
      <c r="U311" s="43"/>
      <c r="V311" s="43"/>
      <c r="W311" s="43"/>
      <c r="X311" s="43"/>
      <c r="Y311" s="43"/>
      <c r="Z311" s="43"/>
    </row>
    <row r="312">
      <c r="A312" s="67"/>
      <c r="B312" s="67"/>
      <c r="C312" s="68"/>
      <c r="D312" s="70"/>
      <c r="E312" s="68"/>
      <c r="F312" s="20"/>
      <c r="G312" s="43"/>
      <c r="H312" s="43"/>
      <c r="I312" s="43"/>
      <c r="J312" s="63"/>
      <c r="K312" s="43"/>
      <c r="L312" s="43"/>
      <c r="M312" s="43"/>
      <c r="N312" s="43"/>
      <c r="O312" s="43"/>
      <c r="P312" s="43"/>
      <c r="Q312" s="43"/>
      <c r="R312" s="43"/>
      <c r="S312" s="43"/>
      <c r="T312" s="43"/>
      <c r="U312" s="43"/>
      <c r="V312" s="43"/>
      <c r="W312" s="43"/>
      <c r="X312" s="43"/>
      <c r="Y312" s="43"/>
      <c r="Z312" s="43"/>
    </row>
    <row r="313">
      <c r="A313" s="67"/>
      <c r="B313" s="67"/>
      <c r="C313" s="68"/>
      <c r="D313" s="70"/>
      <c r="E313" s="68"/>
      <c r="F313" s="20"/>
      <c r="G313" s="43"/>
      <c r="H313" s="43"/>
      <c r="I313" s="43"/>
      <c r="J313" s="63"/>
      <c r="K313" s="43"/>
      <c r="L313" s="43"/>
      <c r="M313" s="43"/>
      <c r="N313" s="43"/>
      <c r="O313" s="43"/>
      <c r="P313" s="43"/>
      <c r="Q313" s="43"/>
      <c r="R313" s="43"/>
      <c r="S313" s="43"/>
      <c r="T313" s="43"/>
      <c r="U313" s="43"/>
      <c r="V313" s="43"/>
      <c r="W313" s="43"/>
      <c r="X313" s="43"/>
      <c r="Y313" s="43"/>
      <c r="Z313" s="43"/>
    </row>
    <row r="314">
      <c r="A314" s="67"/>
      <c r="B314" s="67"/>
      <c r="C314" s="68"/>
      <c r="D314" s="70"/>
      <c r="E314" s="68"/>
      <c r="F314" s="20"/>
      <c r="G314" s="43"/>
      <c r="H314" s="43"/>
      <c r="I314" s="43"/>
      <c r="J314" s="63"/>
      <c r="K314" s="43"/>
      <c r="L314" s="43"/>
      <c r="M314" s="43"/>
      <c r="N314" s="43"/>
      <c r="O314" s="43"/>
      <c r="P314" s="43"/>
      <c r="Q314" s="43"/>
      <c r="R314" s="43"/>
      <c r="S314" s="43"/>
      <c r="T314" s="43"/>
      <c r="U314" s="43"/>
      <c r="V314" s="43"/>
      <c r="W314" s="43"/>
      <c r="X314" s="43"/>
      <c r="Y314" s="43"/>
      <c r="Z314" s="43"/>
    </row>
    <row r="315">
      <c r="A315" s="67"/>
      <c r="B315" s="67"/>
      <c r="C315" s="68"/>
      <c r="D315" s="70"/>
      <c r="E315" s="68"/>
      <c r="F315" s="20"/>
      <c r="G315" s="43"/>
      <c r="H315" s="43"/>
      <c r="I315" s="43"/>
      <c r="J315" s="63"/>
      <c r="K315" s="43"/>
      <c r="L315" s="43"/>
      <c r="M315" s="43"/>
      <c r="N315" s="43"/>
      <c r="O315" s="43"/>
      <c r="P315" s="43"/>
      <c r="Q315" s="43"/>
      <c r="R315" s="43"/>
      <c r="S315" s="43"/>
      <c r="T315" s="43"/>
      <c r="U315" s="43"/>
      <c r="V315" s="43"/>
      <c r="W315" s="43"/>
      <c r="X315" s="43"/>
      <c r="Y315" s="43"/>
      <c r="Z315" s="43"/>
    </row>
    <row r="316">
      <c r="A316" s="67"/>
      <c r="B316" s="67"/>
      <c r="C316" s="68"/>
      <c r="D316" s="70"/>
      <c r="E316" s="68"/>
      <c r="F316" s="20"/>
      <c r="G316" s="43"/>
      <c r="H316" s="43"/>
      <c r="I316" s="43"/>
      <c r="J316" s="63"/>
      <c r="K316" s="43"/>
      <c r="L316" s="43"/>
      <c r="M316" s="43"/>
      <c r="N316" s="43"/>
      <c r="O316" s="43"/>
      <c r="P316" s="43"/>
      <c r="Q316" s="43"/>
      <c r="R316" s="43"/>
      <c r="S316" s="43"/>
      <c r="T316" s="43"/>
      <c r="U316" s="43"/>
      <c r="V316" s="43"/>
      <c r="W316" s="43"/>
      <c r="X316" s="43"/>
      <c r="Y316" s="43"/>
      <c r="Z316" s="43"/>
    </row>
    <row r="317">
      <c r="A317" s="67"/>
      <c r="B317" s="67"/>
      <c r="C317" s="68"/>
      <c r="D317" s="70"/>
      <c r="E317" s="68"/>
      <c r="F317" s="20"/>
      <c r="G317" s="43"/>
      <c r="H317" s="43"/>
      <c r="I317" s="43"/>
      <c r="J317" s="63"/>
      <c r="K317" s="43"/>
      <c r="L317" s="43"/>
      <c r="M317" s="43"/>
      <c r="N317" s="43"/>
      <c r="O317" s="43"/>
      <c r="P317" s="43"/>
      <c r="Q317" s="43"/>
      <c r="R317" s="43"/>
      <c r="S317" s="43"/>
      <c r="T317" s="43"/>
      <c r="U317" s="43"/>
      <c r="V317" s="43"/>
      <c r="W317" s="43"/>
      <c r="X317" s="43"/>
      <c r="Y317" s="43"/>
      <c r="Z317" s="43"/>
    </row>
    <row r="318">
      <c r="A318" s="67"/>
      <c r="B318" s="67"/>
      <c r="C318" s="68"/>
      <c r="D318" s="70"/>
      <c r="E318" s="68"/>
      <c r="F318" s="20"/>
      <c r="G318" s="43"/>
      <c r="H318" s="43"/>
      <c r="I318" s="43"/>
      <c r="J318" s="63"/>
      <c r="K318" s="43"/>
      <c r="L318" s="43"/>
      <c r="M318" s="43"/>
      <c r="N318" s="43"/>
      <c r="O318" s="43"/>
      <c r="P318" s="43"/>
      <c r="Q318" s="43"/>
      <c r="R318" s="43"/>
      <c r="S318" s="43"/>
      <c r="T318" s="43"/>
      <c r="U318" s="43"/>
      <c r="V318" s="43"/>
      <c r="W318" s="43"/>
      <c r="X318" s="43"/>
      <c r="Y318" s="43"/>
      <c r="Z318" s="43"/>
    </row>
    <row r="319">
      <c r="A319" s="67"/>
      <c r="B319" s="67"/>
      <c r="C319" s="68"/>
      <c r="D319" s="70"/>
      <c r="E319" s="68"/>
      <c r="F319" s="20"/>
      <c r="G319" s="43"/>
      <c r="H319" s="43"/>
      <c r="I319" s="43"/>
      <c r="J319" s="63"/>
      <c r="K319" s="43"/>
      <c r="L319" s="43"/>
      <c r="M319" s="43"/>
      <c r="N319" s="43"/>
      <c r="O319" s="43"/>
      <c r="P319" s="43"/>
      <c r="Q319" s="43"/>
      <c r="R319" s="43"/>
      <c r="S319" s="43"/>
      <c r="T319" s="43"/>
      <c r="U319" s="43"/>
      <c r="V319" s="43"/>
      <c r="W319" s="43"/>
      <c r="X319" s="43"/>
      <c r="Y319" s="43"/>
      <c r="Z319" s="43"/>
    </row>
    <row r="320">
      <c r="A320" s="67"/>
      <c r="B320" s="67"/>
      <c r="C320" s="68"/>
      <c r="D320" s="70"/>
      <c r="E320" s="68"/>
      <c r="F320" s="20"/>
      <c r="G320" s="43"/>
      <c r="H320" s="43"/>
      <c r="I320" s="43"/>
      <c r="J320" s="63"/>
      <c r="K320" s="43"/>
      <c r="L320" s="43"/>
      <c r="M320" s="43"/>
      <c r="N320" s="43"/>
      <c r="O320" s="43"/>
      <c r="P320" s="43"/>
      <c r="Q320" s="43"/>
      <c r="R320" s="43"/>
      <c r="S320" s="43"/>
      <c r="T320" s="43"/>
      <c r="U320" s="43"/>
      <c r="V320" s="43"/>
      <c r="W320" s="43"/>
      <c r="X320" s="43"/>
      <c r="Y320" s="43"/>
      <c r="Z320" s="43"/>
    </row>
    <row r="321">
      <c r="A321" s="67"/>
      <c r="B321" s="67"/>
      <c r="C321" s="68"/>
      <c r="D321" s="70"/>
      <c r="E321" s="68"/>
      <c r="F321" s="20"/>
      <c r="G321" s="43"/>
      <c r="H321" s="43"/>
      <c r="I321" s="43"/>
      <c r="J321" s="63"/>
      <c r="K321" s="43"/>
      <c r="L321" s="43"/>
      <c r="M321" s="43"/>
      <c r="N321" s="43"/>
      <c r="O321" s="43"/>
      <c r="P321" s="43"/>
      <c r="Q321" s="43"/>
      <c r="R321" s="43"/>
      <c r="S321" s="43"/>
      <c r="T321" s="43"/>
      <c r="U321" s="43"/>
      <c r="V321" s="43"/>
      <c r="W321" s="43"/>
      <c r="X321" s="43"/>
      <c r="Y321" s="43"/>
      <c r="Z321" s="43"/>
    </row>
    <row r="322">
      <c r="A322" s="67"/>
      <c r="B322" s="67"/>
      <c r="C322" s="68"/>
      <c r="D322" s="70"/>
      <c r="E322" s="68"/>
      <c r="F322" s="20"/>
      <c r="G322" s="43"/>
      <c r="H322" s="43"/>
      <c r="I322" s="43"/>
      <c r="J322" s="63"/>
      <c r="K322" s="43"/>
      <c r="L322" s="43"/>
      <c r="M322" s="43"/>
      <c r="N322" s="43"/>
      <c r="O322" s="43"/>
      <c r="P322" s="43"/>
      <c r="Q322" s="43"/>
      <c r="R322" s="43"/>
      <c r="S322" s="43"/>
      <c r="T322" s="43"/>
      <c r="U322" s="43"/>
      <c r="V322" s="43"/>
      <c r="W322" s="43"/>
      <c r="X322" s="43"/>
      <c r="Y322" s="43"/>
      <c r="Z322" s="43"/>
    </row>
    <row r="323">
      <c r="A323" s="67"/>
      <c r="B323" s="67"/>
      <c r="C323" s="68"/>
      <c r="D323" s="70"/>
      <c r="E323" s="68"/>
      <c r="F323" s="20"/>
      <c r="G323" s="43"/>
      <c r="H323" s="43"/>
      <c r="I323" s="43"/>
      <c r="J323" s="63"/>
      <c r="K323" s="43"/>
      <c r="L323" s="43"/>
      <c r="M323" s="43"/>
      <c r="N323" s="43"/>
      <c r="O323" s="43"/>
      <c r="P323" s="43"/>
      <c r="Q323" s="43"/>
      <c r="R323" s="43"/>
      <c r="S323" s="43"/>
      <c r="T323" s="43"/>
      <c r="U323" s="43"/>
      <c r="V323" s="43"/>
      <c r="W323" s="43"/>
      <c r="X323" s="43"/>
      <c r="Y323" s="43"/>
      <c r="Z323" s="43"/>
    </row>
    <row r="324">
      <c r="A324" s="67"/>
      <c r="B324" s="67"/>
      <c r="C324" s="68"/>
      <c r="D324" s="70"/>
      <c r="E324" s="68"/>
      <c r="F324" s="20"/>
      <c r="G324" s="43"/>
      <c r="H324" s="43"/>
      <c r="I324" s="43"/>
      <c r="J324" s="63"/>
      <c r="K324" s="43"/>
      <c r="L324" s="43"/>
      <c r="M324" s="43"/>
      <c r="N324" s="43"/>
      <c r="O324" s="43"/>
      <c r="P324" s="43"/>
      <c r="Q324" s="43"/>
      <c r="R324" s="43"/>
      <c r="S324" s="43"/>
      <c r="T324" s="43"/>
      <c r="U324" s="43"/>
      <c r="V324" s="43"/>
      <c r="W324" s="43"/>
      <c r="X324" s="43"/>
      <c r="Y324" s="43"/>
      <c r="Z324" s="43"/>
    </row>
    <row r="325">
      <c r="A325" s="67"/>
      <c r="B325" s="67"/>
      <c r="C325" s="68"/>
      <c r="D325" s="70"/>
      <c r="E325" s="68"/>
      <c r="F325" s="20"/>
      <c r="G325" s="43"/>
      <c r="H325" s="43"/>
      <c r="I325" s="43"/>
      <c r="J325" s="63"/>
      <c r="K325" s="43"/>
      <c r="L325" s="43"/>
      <c r="M325" s="43"/>
      <c r="N325" s="43"/>
      <c r="O325" s="43"/>
      <c r="P325" s="43"/>
      <c r="Q325" s="43"/>
      <c r="R325" s="43"/>
      <c r="S325" s="43"/>
      <c r="T325" s="43"/>
      <c r="U325" s="43"/>
      <c r="V325" s="43"/>
      <c r="W325" s="43"/>
      <c r="X325" s="43"/>
      <c r="Y325" s="43"/>
      <c r="Z325" s="43"/>
    </row>
    <row r="326">
      <c r="A326" s="67"/>
      <c r="B326" s="67"/>
      <c r="C326" s="68"/>
      <c r="D326" s="70"/>
      <c r="E326" s="68"/>
      <c r="F326" s="20"/>
      <c r="G326" s="43"/>
      <c r="H326" s="43"/>
      <c r="I326" s="43"/>
      <c r="J326" s="63"/>
      <c r="K326" s="43"/>
      <c r="L326" s="43"/>
      <c r="M326" s="43"/>
      <c r="N326" s="43"/>
      <c r="O326" s="43"/>
      <c r="P326" s="43"/>
      <c r="Q326" s="43"/>
      <c r="R326" s="43"/>
      <c r="S326" s="43"/>
      <c r="T326" s="43"/>
      <c r="U326" s="43"/>
      <c r="V326" s="43"/>
      <c r="W326" s="43"/>
      <c r="X326" s="43"/>
      <c r="Y326" s="43"/>
      <c r="Z326" s="43"/>
    </row>
    <row r="327">
      <c r="A327" s="67"/>
      <c r="B327" s="67"/>
      <c r="C327" s="68"/>
      <c r="D327" s="70"/>
      <c r="E327" s="68"/>
      <c r="F327" s="20"/>
      <c r="G327" s="43"/>
      <c r="H327" s="43"/>
      <c r="I327" s="43"/>
      <c r="J327" s="63"/>
      <c r="K327" s="43"/>
      <c r="L327" s="43"/>
      <c r="M327" s="43"/>
      <c r="N327" s="43"/>
      <c r="O327" s="43"/>
      <c r="P327" s="43"/>
      <c r="Q327" s="43"/>
      <c r="R327" s="43"/>
      <c r="S327" s="43"/>
      <c r="T327" s="43"/>
      <c r="U327" s="43"/>
      <c r="V327" s="43"/>
      <c r="W327" s="43"/>
      <c r="X327" s="43"/>
      <c r="Y327" s="43"/>
      <c r="Z327" s="43"/>
    </row>
    <row r="328">
      <c r="A328" s="67"/>
      <c r="B328" s="67"/>
      <c r="C328" s="68"/>
      <c r="D328" s="70"/>
      <c r="E328" s="68"/>
      <c r="F328" s="20"/>
      <c r="G328" s="43"/>
      <c r="H328" s="43"/>
      <c r="I328" s="43"/>
      <c r="J328" s="63"/>
      <c r="K328" s="43"/>
      <c r="L328" s="43"/>
      <c r="M328" s="43"/>
      <c r="N328" s="43"/>
      <c r="O328" s="43"/>
      <c r="P328" s="43"/>
      <c r="Q328" s="43"/>
      <c r="R328" s="43"/>
      <c r="S328" s="43"/>
      <c r="T328" s="43"/>
      <c r="U328" s="43"/>
      <c r="V328" s="43"/>
      <c r="W328" s="43"/>
      <c r="X328" s="43"/>
      <c r="Y328" s="43"/>
      <c r="Z328" s="43"/>
    </row>
    <row r="329">
      <c r="A329" s="67"/>
      <c r="B329" s="67"/>
      <c r="C329" s="68"/>
      <c r="D329" s="70"/>
      <c r="E329" s="68"/>
      <c r="F329" s="20"/>
      <c r="G329" s="43"/>
      <c r="H329" s="43"/>
      <c r="I329" s="43"/>
      <c r="J329" s="63"/>
      <c r="K329" s="43"/>
      <c r="L329" s="43"/>
      <c r="M329" s="43"/>
      <c r="N329" s="43"/>
      <c r="O329" s="43"/>
      <c r="P329" s="43"/>
      <c r="Q329" s="43"/>
      <c r="R329" s="43"/>
      <c r="S329" s="43"/>
      <c r="T329" s="43"/>
      <c r="U329" s="43"/>
      <c r="V329" s="43"/>
      <c r="W329" s="43"/>
      <c r="X329" s="43"/>
      <c r="Y329" s="43"/>
      <c r="Z329" s="43"/>
    </row>
    <row r="330">
      <c r="A330" s="67"/>
      <c r="B330" s="67"/>
      <c r="C330" s="68"/>
      <c r="D330" s="70"/>
      <c r="E330" s="68"/>
      <c r="F330" s="20"/>
      <c r="G330" s="43"/>
      <c r="H330" s="43"/>
      <c r="I330" s="43"/>
      <c r="J330" s="63"/>
      <c r="K330" s="43"/>
      <c r="L330" s="43"/>
      <c r="M330" s="43"/>
      <c r="N330" s="43"/>
      <c r="O330" s="43"/>
      <c r="P330" s="43"/>
      <c r="Q330" s="43"/>
      <c r="R330" s="43"/>
      <c r="S330" s="43"/>
      <c r="T330" s="43"/>
      <c r="U330" s="43"/>
      <c r="V330" s="43"/>
      <c r="W330" s="43"/>
      <c r="X330" s="43"/>
      <c r="Y330" s="43"/>
      <c r="Z330" s="43"/>
    </row>
    <row r="331">
      <c r="A331" s="67"/>
      <c r="B331" s="67"/>
      <c r="C331" s="68"/>
      <c r="D331" s="70"/>
      <c r="E331" s="68"/>
      <c r="F331" s="20"/>
      <c r="G331" s="43"/>
      <c r="H331" s="43"/>
      <c r="I331" s="43"/>
      <c r="J331" s="63"/>
      <c r="K331" s="43"/>
      <c r="L331" s="43"/>
      <c r="M331" s="43"/>
      <c r="N331" s="43"/>
      <c r="O331" s="43"/>
      <c r="P331" s="43"/>
      <c r="Q331" s="43"/>
      <c r="R331" s="43"/>
      <c r="S331" s="43"/>
      <c r="T331" s="43"/>
      <c r="U331" s="43"/>
      <c r="V331" s="43"/>
      <c r="W331" s="43"/>
      <c r="X331" s="43"/>
      <c r="Y331" s="43"/>
      <c r="Z331" s="43"/>
    </row>
    <row r="332">
      <c r="A332" s="67"/>
      <c r="B332" s="67"/>
      <c r="C332" s="68"/>
      <c r="D332" s="70"/>
      <c r="E332" s="68"/>
      <c r="F332" s="20"/>
      <c r="G332" s="43"/>
      <c r="H332" s="43"/>
      <c r="I332" s="43"/>
      <c r="J332" s="63"/>
      <c r="K332" s="43"/>
      <c r="L332" s="43"/>
      <c r="M332" s="43"/>
      <c r="N332" s="43"/>
      <c r="O332" s="43"/>
      <c r="P332" s="43"/>
      <c r="Q332" s="43"/>
      <c r="R332" s="43"/>
      <c r="S332" s="43"/>
      <c r="T332" s="43"/>
      <c r="U332" s="43"/>
      <c r="V332" s="43"/>
      <c r="W332" s="43"/>
      <c r="X332" s="43"/>
      <c r="Y332" s="43"/>
      <c r="Z332" s="43"/>
    </row>
    <row r="333">
      <c r="A333" s="67"/>
      <c r="B333" s="67"/>
      <c r="C333" s="68"/>
      <c r="D333" s="70"/>
      <c r="E333" s="68"/>
      <c r="F333" s="20"/>
      <c r="G333" s="43"/>
      <c r="H333" s="43"/>
      <c r="I333" s="43"/>
      <c r="J333" s="63"/>
      <c r="K333" s="43"/>
      <c r="L333" s="43"/>
      <c r="M333" s="43"/>
      <c r="N333" s="43"/>
      <c r="O333" s="43"/>
      <c r="P333" s="43"/>
      <c r="Q333" s="43"/>
      <c r="R333" s="43"/>
      <c r="S333" s="43"/>
      <c r="T333" s="43"/>
      <c r="U333" s="43"/>
      <c r="V333" s="43"/>
      <c r="W333" s="43"/>
      <c r="X333" s="43"/>
      <c r="Y333" s="43"/>
      <c r="Z333" s="43"/>
    </row>
    <row r="334">
      <c r="A334" s="67"/>
      <c r="B334" s="67"/>
      <c r="C334" s="68"/>
      <c r="D334" s="70"/>
      <c r="E334" s="68"/>
      <c r="F334" s="20"/>
      <c r="G334" s="43"/>
      <c r="H334" s="43"/>
      <c r="I334" s="43"/>
      <c r="J334" s="63"/>
      <c r="K334" s="43"/>
      <c r="L334" s="43"/>
      <c r="M334" s="43"/>
      <c r="N334" s="43"/>
      <c r="O334" s="43"/>
      <c r="P334" s="43"/>
      <c r="Q334" s="43"/>
      <c r="R334" s="43"/>
      <c r="S334" s="43"/>
      <c r="T334" s="43"/>
      <c r="U334" s="43"/>
      <c r="V334" s="43"/>
      <c r="W334" s="43"/>
      <c r="X334" s="43"/>
      <c r="Y334" s="43"/>
      <c r="Z334" s="43"/>
    </row>
    <row r="335">
      <c r="A335" s="67"/>
      <c r="B335" s="67"/>
      <c r="C335" s="68"/>
      <c r="D335" s="70"/>
      <c r="E335" s="68"/>
      <c r="F335" s="20"/>
      <c r="G335" s="43"/>
      <c r="H335" s="43"/>
      <c r="I335" s="43"/>
      <c r="J335" s="63"/>
      <c r="K335" s="43"/>
      <c r="L335" s="43"/>
      <c r="M335" s="43"/>
      <c r="N335" s="43"/>
      <c r="O335" s="43"/>
      <c r="P335" s="43"/>
      <c r="Q335" s="43"/>
      <c r="R335" s="43"/>
      <c r="S335" s="43"/>
      <c r="T335" s="43"/>
      <c r="U335" s="43"/>
      <c r="V335" s="43"/>
      <c r="W335" s="43"/>
      <c r="X335" s="43"/>
      <c r="Y335" s="43"/>
      <c r="Z335" s="43"/>
    </row>
    <row r="336">
      <c r="A336" s="67"/>
      <c r="B336" s="67"/>
      <c r="C336" s="68"/>
      <c r="D336" s="70"/>
      <c r="E336" s="68"/>
      <c r="F336" s="20"/>
      <c r="G336" s="43"/>
      <c r="H336" s="43"/>
      <c r="I336" s="43"/>
      <c r="J336" s="63"/>
      <c r="K336" s="43"/>
      <c r="L336" s="43"/>
      <c r="M336" s="43"/>
      <c r="N336" s="43"/>
      <c r="O336" s="43"/>
      <c r="P336" s="43"/>
      <c r="Q336" s="43"/>
      <c r="R336" s="43"/>
      <c r="S336" s="43"/>
      <c r="T336" s="43"/>
      <c r="U336" s="43"/>
      <c r="V336" s="43"/>
      <c r="W336" s="43"/>
      <c r="X336" s="43"/>
      <c r="Y336" s="43"/>
      <c r="Z336" s="43"/>
    </row>
    <row r="337">
      <c r="A337" s="67"/>
      <c r="B337" s="67"/>
      <c r="C337" s="68"/>
      <c r="D337" s="70"/>
      <c r="E337" s="68"/>
      <c r="F337" s="20"/>
      <c r="G337" s="43"/>
      <c r="H337" s="43"/>
      <c r="I337" s="43"/>
      <c r="J337" s="63"/>
      <c r="K337" s="43"/>
      <c r="L337" s="43"/>
      <c r="M337" s="43"/>
      <c r="N337" s="43"/>
      <c r="O337" s="43"/>
      <c r="P337" s="43"/>
      <c r="Q337" s="43"/>
      <c r="R337" s="43"/>
      <c r="S337" s="43"/>
      <c r="T337" s="43"/>
      <c r="U337" s="43"/>
      <c r="V337" s="43"/>
      <c r="W337" s="43"/>
      <c r="X337" s="43"/>
      <c r="Y337" s="43"/>
      <c r="Z337" s="43"/>
    </row>
    <row r="338">
      <c r="A338" s="67"/>
      <c r="B338" s="67"/>
      <c r="C338" s="68"/>
      <c r="D338" s="70"/>
      <c r="E338" s="68"/>
      <c r="F338" s="20"/>
      <c r="G338" s="43"/>
      <c r="H338" s="43"/>
      <c r="I338" s="43"/>
      <c r="J338" s="63"/>
      <c r="K338" s="43"/>
      <c r="L338" s="43"/>
      <c r="M338" s="43"/>
      <c r="N338" s="43"/>
      <c r="O338" s="43"/>
      <c r="P338" s="43"/>
      <c r="Q338" s="43"/>
      <c r="R338" s="43"/>
      <c r="S338" s="43"/>
      <c r="T338" s="43"/>
      <c r="U338" s="43"/>
      <c r="V338" s="43"/>
      <c r="W338" s="43"/>
      <c r="X338" s="43"/>
      <c r="Y338" s="43"/>
      <c r="Z338" s="43"/>
    </row>
    <row r="339">
      <c r="A339" s="67"/>
      <c r="B339" s="67"/>
      <c r="C339" s="68"/>
      <c r="D339" s="70"/>
      <c r="E339" s="68"/>
      <c r="F339" s="20"/>
      <c r="G339" s="43"/>
      <c r="H339" s="43"/>
      <c r="I339" s="43"/>
      <c r="J339" s="63"/>
      <c r="K339" s="43"/>
      <c r="L339" s="43"/>
      <c r="M339" s="43"/>
      <c r="N339" s="43"/>
      <c r="O339" s="43"/>
      <c r="P339" s="43"/>
      <c r="Q339" s="43"/>
      <c r="R339" s="43"/>
      <c r="S339" s="43"/>
      <c r="T339" s="43"/>
      <c r="U339" s="43"/>
      <c r="V339" s="43"/>
      <c r="W339" s="43"/>
      <c r="X339" s="43"/>
      <c r="Y339" s="43"/>
      <c r="Z339" s="43"/>
    </row>
    <row r="340">
      <c r="A340" s="67"/>
      <c r="B340" s="67"/>
      <c r="C340" s="68"/>
      <c r="D340" s="70"/>
      <c r="E340" s="68"/>
      <c r="F340" s="20"/>
      <c r="G340" s="43"/>
      <c r="H340" s="43"/>
      <c r="I340" s="43"/>
      <c r="J340" s="63"/>
      <c r="K340" s="43"/>
      <c r="L340" s="43"/>
      <c r="M340" s="43"/>
      <c r="N340" s="43"/>
      <c r="O340" s="43"/>
      <c r="P340" s="43"/>
      <c r="Q340" s="43"/>
      <c r="R340" s="43"/>
      <c r="S340" s="43"/>
      <c r="T340" s="43"/>
      <c r="U340" s="43"/>
      <c r="V340" s="43"/>
      <c r="W340" s="43"/>
      <c r="X340" s="43"/>
      <c r="Y340" s="43"/>
      <c r="Z340" s="43"/>
    </row>
    <row r="341">
      <c r="A341" s="67"/>
      <c r="B341" s="67"/>
      <c r="C341" s="68"/>
      <c r="D341" s="70"/>
      <c r="E341" s="68"/>
      <c r="F341" s="20"/>
      <c r="G341" s="43"/>
      <c r="H341" s="43"/>
      <c r="I341" s="43"/>
      <c r="J341" s="63"/>
      <c r="K341" s="43"/>
      <c r="L341" s="43"/>
      <c r="M341" s="43"/>
      <c r="N341" s="43"/>
      <c r="O341" s="43"/>
      <c r="P341" s="43"/>
      <c r="Q341" s="43"/>
      <c r="R341" s="43"/>
      <c r="S341" s="43"/>
      <c r="T341" s="43"/>
      <c r="U341" s="43"/>
      <c r="V341" s="43"/>
      <c r="W341" s="43"/>
      <c r="X341" s="43"/>
      <c r="Y341" s="43"/>
      <c r="Z341" s="43"/>
    </row>
    <row r="342">
      <c r="A342" s="67"/>
      <c r="B342" s="67"/>
      <c r="C342" s="68"/>
      <c r="D342" s="70"/>
      <c r="E342" s="68"/>
      <c r="F342" s="20"/>
      <c r="G342" s="43"/>
      <c r="H342" s="43"/>
      <c r="I342" s="43"/>
      <c r="J342" s="63"/>
      <c r="K342" s="43"/>
      <c r="L342" s="43"/>
      <c r="M342" s="43"/>
      <c r="N342" s="43"/>
      <c r="O342" s="43"/>
      <c r="P342" s="43"/>
      <c r="Q342" s="43"/>
      <c r="R342" s="43"/>
      <c r="S342" s="43"/>
      <c r="T342" s="43"/>
      <c r="U342" s="43"/>
      <c r="V342" s="43"/>
      <c r="W342" s="43"/>
      <c r="X342" s="43"/>
      <c r="Y342" s="43"/>
      <c r="Z342" s="43"/>
    </row>
    <row r="343">
      <c r="A343" s="67"/>
      <c r="B343" s="67"/>
      <c r="C343" s="68"/>
      <c r="D343" s="70"/>
      <c r="E343" s="68"/>
      <c r="F343" s="20"/>
      <c r="G343" s="43"/>
      <c r="H343" s="43"/>
      <c r="I343" s="43"/>
      <c r="J343" s="63"/>
      <c r="K343" s="43"/>
      <c r="L343" s="43"/>
      <c r="M343" s="43"/>
      <c r="N343" s="43"/>
      <c r="O343" s="43"/>
      <c r="P343" s="43"/>
      <c r="Q343" s="43"/>
      <c r="R343" s="43"/>
      <c r="S343" s="43"/>
      <c r="T343" s="43"/>
      <c r="U343" s="43"/>
      <c r="V343" s="43"/>
      <c r="W343" s="43"/>
      <c r="X343" s="43"/>
      <c r="Y343" s="43"/>
      <c r="Z343" s="43"/>
    </row>
    <row r="344">
      <c r="A344" s="67"/>
      <c r="B344" s="67"/>
      <c r="C344" s="68"/>
      <c r="D344" s="70"/>
      <c r="E344" s="68"/>
      <c r="F344" s="20"/>
      <c r="G344" s="43"/>
      <c r="H344" s="43"/>
      <c r="I344" s="43"/>
      <c r="J344" s="63"/>
      <c r="K344" s="43"/>
      <c r="L344" s="43"/>
      <c r="M344" s="43"/>
      <c r="N344" s="43"/>
      <c r="O344" s="43"/>
      <c r="P344" s="43"/>
      <c r="Q344" s="43"/>
      <c r="R344" s="43"/>
      <c r="S344" s="43"/>
      <c r="T344" s="43"/>
      <c r="U344" s="43"/>
      <c r="V344" s="43"/>
      <c r="W344" s="43"/>
      <c r="X344" s="43"/>
      <c r="Y344" s="43"/>
      <c r="Z344" s="43"/>
    </row>
    <row r="345">
      <c r="A345" s="67"/>
      <c r="B345" s="67"/>
      <c r="C345" s="68"/>
      <c r="D345" s="70"/>
      <c r="E345" s="68"/>
      <c r="F345" s="20"/>
      <c r="G345" s="43"/>
      <c r="H345" s="43"/>
      <c r="I345" s="43"/>
      <c r="J345" s="63"/>
      <c r="K345" s="43"/>
      <c r="L345" s="43"/>
      <c r="M345" s="43"/>
      <c r="N345" s="43"/>
      <c r="O345" s="43"/>
      <c r="P345" s="43"/>
      <c r="Q345" s="43"/>
      <c r="R345" s="43"/>
      <c r="S345" s="43"/>
      <c r="T345" s="43"/>
      <c r="U345" s="43"/>
      <c r="V345" s="43"/>
      <c r="W345" s="43"/>
      <c r="X345" s="43"/>
      <c r="Y345" s="43"/>
      <c r="Z345" s="43"/>
    </row>
    <row r="346">
      <c r="A346" s="67"/>
      <c r="B346" s="67"/>
      <c r="C346" s="68"/>
      <c r="D346" s="70"/>
      <c r="E346" s="68"/>
      <c r="F346" s="20"/>
      <c r="G346" s="43"/>
      <c r="H346" s="43"/>
      <c r="I346" s="43"/>
      <c r="J346" s="63"/>
      <c r="K346" s="43"/>
      <c r="L346" s="43"/>
      <c r="M346" s="43"/>
      <c r="N346" s="43"/>
      <c r="O346" s="43"/>
      <c r="P346" s="43"/>
      <c r="Q346" s="43"/>
      <c r="R346" s="43"/>
      <c r="S346" s="43"/>
      <c r="T346" s="43"/>
      <c r="U346" s="43"/>
      <c r="V346" s="43"/>
      <c r="W346" s="43"/>
      <c r="X346" s="43"/>
      <c r="Y346" s="43"/>
      <c r="Z346" s="43"/>
    </row>
    <row r="347">
      <c r="A347" s="67"/>
      <c r="B347" s="67"/>
      <c r="C347" s="68"/>
      <c r="D347" s="70"/>
      <c r="E347" s="68"/>
      <c r="F347" s="20"/>
      <c r="G347" s="43"/>
      <c r="H347" s="43"/>
      <c r="I347" s="43"/>
      <c r="J347" s="63"/>
      <c r="K347" s="43"/>
      <c r="L347" s="43"/>
      <c r="M347" s="43"/>
      <c r="N347" s="43"/>
      <c r="O347" s="43"/>
      <c r="P347" s="43"/>
      <c r="Q347" s="43"/>
      <c r="R347" s="43"/>
      <c r="S347" s="43"/>
      <c r="T347" s="43"/>
      <c r="U347" s="43"/>
      <c r="V347" s="43"/>
      <c r="W347" s="43"/>
      <c r="X347" s="43"/>
      <c r="Y347" s="43"/>
      <c r="Z347" s="43"/>
    </row>
    <row r="348">
      <c r="A348" s="67"/>
      <c r="B348" s="67"/>
      <c r="C348" s="68"/>
      <c r="D348" s="70"/>
      <c r="E348" s="68"/>
      <c r="F348" s="20"/>
      <c r="G348" s="43"/>
      <c r="H348" s="43"/>
      <c r="I348" s="43"/>
      <c r="J348" s="63"/>
      <c r="K348" s="43"/>
      <c r="L348" s="43"/>
      <c r="M348" s="43"/>
      <c r="N348" s="43"/>
      <c r="O348" s="43"/>
      <c r="P348" s="43"/>
      <c r="Q348" s="43"/>
      <c r="R348" s="43"/>
      <c r="S348" s="43"/>
      <c r="T348" s="43"/>
      <c r="U348" s="43"/>
      <c r="V348" s="43"/>
      <c r="W348" s="43"/>
      <c r="X348" s="43"/>
      <c r="Y348" s="43"/>
      <c r="Z348" s="43"/>
    </row>
    <row r="349">
      <c r="A349" s="67"/>
      <c r="B349" s="67"/>
      <c r="C349" s="68"/>
      <c r="D349" s="70"/>
      <c r="E349" s="68"/>
      <c r="F349" s="20"/>
      <c r="G349" s="43"/>
      <c r="H349" s="43"/>
      <c r="I349" s="43"/>
      <c r="J349" s="63"/>
      <c r="K349" s="43"/>
      <c r="L349" s="43"/>
      <c r="M349" s="43"/>
      <c r="N349" s="43"/>
      <c r="O349" s="43"/>
      <c r="P349" s="43"/>
      <c r="Q349" s="43"/>
      <c r="R349" s="43"/>
      <c r="S349" s="43"/>
      <c r="T349" s="43"/>
      <c r="U349" s="43"/>
      <c r="V349" s="43"/>
      <c r="W349" s="43"/>
      <c r="X349" s="43"/>
      <c r="Y349" s="43"/>
      <c r="Z349" s="43"/>
    </row>
    <row r="350">
      <c r="A350" s="67"/>
      <c r="B350" s="67"/>
      <c r="C350" s="68"/>
      <c r="D350" s="70"/>
      <c r="E350" s="68"/>
      <c r="F350" s="20"/>
      <c r="G350" s="43"/>
      <c r="H350" s="43"/>
      <c r="I350" s="43"/>
      <c r="J350" s="63"/>
      <c r="K350" s="43"/>
      <c r="L350" s="43"/>
      <c r="M350" s="43"/>
      <c r="N350" s="43"/>
      <c r="O350" s="43"/>
      <c r="P350" s="43"/>
      <c r="Q350" s="43"/>
      <c r="R350" s="43"/>
      <c r="S350" s="43"/>
      <c r="T350" s="43"/>
      <c r="U350" s="43"/>
      <c r="V350" s="43"/>
      <c r="W350" s="43"/>
      <c r="X350" s="43"/>
      <c r="Y350" s="43"/>
      <c r="Z350" s="43"/>
    </row>
    <row r="351">
      <c r="A351" s="67"/>
      <c r="B351" s="67"/>
      <c r="C351" s="68"/>
      <c r="D351" s="70"/>
      <c r="E351" s="68"/>
      <c r="F351" s="20"/>
      <c r="G351" s="43"/>
      <c r="H351" s="43"/>
      <c r="I351" s="43"/>
      <c r="J351" s="63"/>
      <c r="K351" s="43"/>
      <c r="L351" s="43"/>
      <c r="M351" s="43"/>
      <c r="N351" s="43"/>
      <c r="O351" s="43"/>
      <c r="P351" s="43"/>
      <c r="Q351" s="43"/>
      <c r="R351" s="43"/>
      <c r="S351" s="43"/>
      <c r="T351" s="43"/>
      <c r="U351" s="43"/>
      <c r="V351" s="43"/>
      <c r="W351" s="43"/>
      <c r="X351" s="43"/>
      <c r="Y351" s="43"/>
      <c r="Z351" s="43"/>
    </row>
    <row r="352">
      <c r="A352" s="67"/>
      <c r="B352" s="67"/>
      <c r="C352" s="68"/>
      <c r="D352" s="70"/>
      <c r="E352" s="68"/>
      <c r="F352" s="20"/>
      <c r="G352" s="43"/>
      <c r="H352" s="43"/>
      <c r="I352" s="43"/>
      <c r="J352" s="63"/>
      <c r="K352" s="43"/>
      <c r="L352" s="43"/>
      <c r="M352" s="43"/>
      <c r="N352" s="43"/>
      <c r="O352" s="43"/>
      <c r="P352" s="43"/>
      <c r="Q352" s="43"/>
      <c r="R352" s="43"/>
      <c r="S352" s="43"/>
      <c r="T352" s="43"/>
      <c r="U352" s="43"/>
      <c r="V352" s="43"/>
      <c r="W352" s="43"/>
      <c r="X352" s="43"/>
      <c r="Y352" s="43"/>
      <c r="Z352" s="43"/>
    </row>
    <row r="353">
      <c r="A353" s="67"/>
      <c r="B353" s="67"/>
      <c r="C353" s="68"/>
      <c r="D353" s="70"/>
      <c r="E353" s="68"/>
      <c r="F353" s="20"/>
      <c r="G353" s="43"/>
      <c r="H353" s="43"/>
      <c r="I353" s="43"/>
      <c r="J353" s="63"/>
      <c r="K353" s="43"/>
      <c r="L353" s="43"/>
      <c r="M353" s="43"/>
      <c r="N353" s="43"/>
      <c r="O353" s="43"/>
      <c r="P353" s="43"/>
      <c r="Q353" s="43"/>
      <c r="R353" s="43"/>
      <c r="S353" s="43"/>
      <c r="T353" s="43"/>
      <c r="U353" s="43"/>
      <c r="V353" s="43"/>
      <c r="W353" s="43"/>
      <c r="X353" s="43"/>
      <c r="Y353" s="43"/>
      <c r="Z353" s="43"/>
    </row>
    <row r="354">
      <c r="A354" s="67"/>
      <c r="B354" s="67"/>
      <c r="C354" s="68"/>
      <c r="D354" s="70"/>
      <c r="E354" s="68"/>
      <c r="F354" s="20"/>
      <c r="G354" s="43"/>
      <c r="H354" s="43"/>
      <c r="I354" s="43"/>
      <c r="J354" s="63"/>
      <c r="K354" s="43"/>
      <c r="L354" s="43"/>
      <c r="M354" s="43"/>
      <c r="N354" s="43"/>
      <c r="O354" s="43"/>
      <c r="P354" s="43"/>
      <c r="Q354" s="43"/>
      <c r="R354" s="43"/>
      <c r="S354" s="43"/>
      <c r="T354" s="43"/>
      <c r="U354" s="43"/>
      <c r="V354" s="43"/>
      <c r="W354" s="43"/>
      <c r="X354" s="43"/>
      <c r="Y354" s="43"/>
      <c r="Z354" s="43"/>
    </row>
    <row r="355">
      <c r="A355" s="67"/>
      <c r="B355" s="67"/>
      <c r="C355" s="68"/>
      <c r="D355" s="70"/>
      <c r="E355" s="68"/>
      <c r="F355" s="20"/>
      <c r="G355" s="43"/>
      <c r="H355" s="43"/>
      <c r="I355" s="43"/>
      <c r="J355" s="63"/>
      <c r="K355" s="43"/>
      <c r="L355" s="43"/>
      <c r="M355" s="43"/>
      <c r="N355" s="43"/>
      <c r="O355" s="43"/>
      <c r="P355" s="43"/>
      <c r="Q355" s="43"/>
      <c r="R355" s="43"/>
      <c r="S355" s="43"/>
      <c r="T355" s="43"/>
      <c r="U355" s="43"/>
      <c r="V355" s="43"/>
      <c r="W355" s="43"/>
      <c r="X355" s="43"/>
      <c r="Y355" s="43"/>
      <c r="Z355" s="43"/>
    </row>
    <row r="356">
      <c r="A356" s="67"/>
      <c r="B356" s="67"/>
      <c r="C356" s="68"/>
      <c r="D356" s="70"/>
      <c r="E356" s="68"/>
      <c r="F356" s="20"/>
      <c r="G356" s="43"/>
      <c r="H356" s="43"/>
      <c r="I356" s="43"/>
      <c r="J356" s="63"/>
      <c r="K356" s="43"/>
      <c r="L356" s="43"/>
      <c r="M356" s="43"/>
      <c r="N356" s="43"/>
      <c r="O356" s="43"/>
      <c r="P356" s="43"/>
      <c r="Q356" s="43"/>
      <c r="R356" s="43"/>
      <c r="S356" s="43"/>
      <c r="T356" s="43"/>
      <c r="U356" s="43"/>
      <c r="V356" s="43"/>
      <c r="W356" s="43"/>
      <c r="X356" s="43"/>
      <c r="Y356" s="43"/>
      <c r="Z356" s="43"/>
    </row>
    <row r="357">
      <c r="A357" s="67"/>
      <c r="B357" s="67"/>
      <c r="C357" s="68"/>
      <c r="D357" s="70"/>
      <c r="E357" s="68"/>
      <c r="F357" s="20"/>
      <c r="G357" s="43"/>
      <c r="H357" s="43"/>
      <c r="I357" s="43"/>
      <c r="J357" s="63"/>
      <c r="K357" s="43"/>
      <c r="L357" s="43"/>
      <c r="M357" s="43"/>
      <c r="N357" s="43"/>
      <c r="O357" s="43"/>
      <c r="P357" s="43"/>
      <c r="Q357" s="43"/>
      <c r="R357" s="43"/>
      <c r="S357" s="43"/>
      <c r="T357" s="43"/>
      <c r="U357" s="43"/>
      <c r="V357" s="43"/>
      <c r="W357" s="43"/>
      <c r="X357" s="43"/>
      <c r="Y357" s="43"/>
      <c r="Z357" s="43"/>
    </row>
    <row r="358">
      <c r="A358" s="67"/>
      <c r="B358" s="67"/>
      <c r="C358" s="68"/>
      <c r="D358" s="70"/>
      <c r="E358" s="68"/>
      <c r="F358" s="20"/>
      <c r="G358" s="43"/>
      <c r="H358" s="43"/>
      <c r="I358" s="43"/>
      <c r="J358" s="63"/>
      <c r="K358" s="43"/>
      <c r="L358" s="43"/>
      <c r="M358" s="43"/>
      <c r="N358" s="43"/>
      <c r="O358" s="43"/>
      <c r="P358" s="43"/>
      <c r="Q358" s="43"/>
      <c r="R358" s="43"/>
      <c r="S358" s="43"/>
      <c r="T358" s="43"/>
      <c r="U358" s="43"/>
      <c r="V358" s="43"/>
      <c r="W358" s="43"/>
      <c r="X358" s="43"/>
      <c r="Y358" s="43"/>
      <c r="Z358" s="43"/>
    </row>
    <row r="359">
      <c r="A359" s="67"/>
      <c r="B359" s="67"/>
      <c r="C359" s="68"/>
      <c r="D359" s="70"/>
      <c r="E359" s="68"/>
      <c r="F359" s="20"/>
      <c r="G359" s="43"/>
      <c r="H359" s="43"/>
      <c r="I359" s="43"/>
      <c r="J359" s="63"/>
      <c r="K359" s="43"/>
      <c r="L359" s="43"/>
      <c r="M359" s="43"/>
      <c r="N359" s="43"/>
      <c r="O359" s="43"/>
      <c r="P359" s="43"/>
      <c r="Q359" s="43"/>
      <c r="R359" s="43"/>
      <c r="S359" s="43"/>
      <c r="T359" s="43"/>
      <c r="U359" s="43"/>
      <c r="V359" s="43"/>
      <c r="W359" s="43"/>
      <c r="X359" s="43"/>
      <c r="Y359" s="43"/>
      <c r="Z359" s="43"/>
    </row>
    <row r="360">
      <c r="A360" s="67"/>
      <c r="B360" s="67"/>
      <c r="C360" s="68"/>
      <c r="D360" s="70"/>
      <c r="E360" s="68"/>
      <c r="F360" s="20"/>
      <c r="G360" s="43"/>
      <c r="H360" s="43"/>
      <c r="I360" s="43"/>
      <c r="J360" s="63"/>
      <c r="K360" s="43"/>
      <c r="L360" s="43"/>
      <c r="M360" s="43"/>
      <c r="N360" s="43"/>
      <c r="O360" s="43"/>
      <c r="P360" s="43"/>
      <c r="Q360" s="43"/>
      <c r="R360" s="43"/>
      <c r="S360" s="43"/>
      <c r="T360" s="43"/>
      <c r="U360" s="43"/>
      <c r="V360" s="43"/>
      <c r="W360" s="43"/>
      <c r="X360" s="43"/>
      <c r="Y360" s="43"/>
      <c r="Z360" s="43"/>
    </row>
    <row r="361">
      <c r="A361" s="67"/>
      <c r="B361" s="67"/>
      <c r="C361" s="68"/>
      <c r="D361" s="70"/>
      <c r="E361" s="68"/>
      <c r="F361" s="20"/>
      <c r="G361" s="43"/>
      <c r="H361" s="43"/>
      <c r="I361" s="43"/>
      <c r="J361" s="63"/>
      <c r="K361" s="43"/>
      <c r="L361" s="43"/>
      <c r="M361" s="43"/>
      <c r="N361" s="43"/>
      <c r="O361" s="43"/>
      <c r="P361" s="43"/>
      <c r="Q361" s="43"/>
      <c r="R361" s="43"/>
      <c r="S361" s="43"/>
      <c r="T361" s="43"/>
      <c r="U361" s="43"/>
      <c r="V361" s="43"/>
      <c r="W361" s="43"/>
      <c r="X361" s="43"/>
      <c r="Y361" s="43"/>
      <c r="Z361" s="43"/>
    </row>
    <row r="362">
      <c r="A362" s="67"/>
      <c r="B362" s="67"/>
      <c r="C362" s="68"/>
      <c r="D362" s="70"/>
      <c r="E362" s="68"/>
      <c r="F362" s="20"/>
      <c r="G362" s="43"/>
      <c r="H362" s="43"/>
      <c r="I362" s="43"/>
      <c r="J362" s="63"/>
      <c r="K362" s="43"/>
      <c r="L362" s="43"/>
      <c r="M362" s="43"/>
      <c r="N362" s="43"/>
      <c r="O362" s="43"/>
      <c r="P362" s="43"/>
      <c r="Q362" s="43"/>
      <c r="R362" s="43"/>
      <c r="S362" s="43"/>
      <c r="T362" s="43"/>
      <c r="U362" s="43"/>
      <c r="V362" s="43"/>
      <c r="W362" s="43"/>
      <c r="X362" s="43"/>
      <c r="Y362" s="43"/>
      <c r="Z362" s="43"/>
    </row>
    <row r="363">
      <c r="A363" s="67"/>
      <c r="B363" s="67"/>
      <c r="C363" s="68"/>
      <c r="D363" s="70"/>
      <c r="E363" s="68"/>
      <c r="F363" s="20"/>
      <c r="G363" s="43"/>
      <c r="H363" s="43"/>
      <c r="I363" s="43"/>
      <c r="J363" s="63"/>
      <c r="K363" s="43"/>
      <c r="L363" s="43"/>
      <c r="M363" s="43"/>
      <c r="N363" s="43"/>
      <c r="O363" s="43"/>
      <c r="P363" s="43"/>
      <c r="Q363" s="43"/>
      <c r="R363" s="43"/>
      <c r="S363" s="43"/>
      <c r="T363" s="43"/>
      <c r="U363" s="43"/>
      <c r="V363" s="43"/>
      <c r="W363" s="43"/>
      <c r="X363" s="43"/>
      <c r="Y363" s="43"/>
      <c r="Z363" s="43"/>
    </row>
    <row r="364">
      <c r="A364" s="67"/>
      <c r="B364" s="67"/>
      <c r="C364" s="68"/>
      <c r="D364" s="70"/>
      <c r="E364" s="68"/>
      <c r="F364" s="20"/>
      <c r="G364" s="43"/>
      <c r="H364" s="43"/>
      <c r="I364" s="43"/>
      <c r="J364" s="63"/>
      <c r="K364" s="43"/>
      <c r="L364" s="43"/>
      <c r="M364" s="43"/>
      <c r="N364" s="43"/>
      <c r="O364" s="43"/>
      <c r="P364" s="43"/>
      <c r="Q364" s="43"/>
      <c r="R364" s="43"/>
      <c r="S364" s="43"/>
      <c r="T364" s="43"/>
      <c r="U364" s="43"/>
      <c r="V364" s="43"/>
      <c r="W364" s="43"/>
      <c r="X364" s="43"/>
      <c r="Y364" s="43"/>
      <c r="Z364" s="43"/>
    </row>
    <row r="365">
      <c r="A365" s="67"/>
      <c r="B365" s="67"/>
      <c r="C365" s="68"/>
      <c r="D365" s="70"/>
      <c r="E365" s="68"/>
      <c r="F365" s="20"/>
      <c r="G365" s="43"/>
      <c r="H365" s="43"/>
      <c r="I365" s="43"/>
      <c r="J365" s="63"/>
      <c r="K365" s="43"/>
      <c r="L365" s="43"/>
      <c r="M365" s="43"/>
      <c r="N365" s="43"/>
      <c r="O365" s="43"/>
      <c r="P365" s="43"/>
      <c r="Q365" s="43"/>
      <c r="R365" s="43"/>
      <c r="S365" s="43"/>
      <c r="T365" s="43"/>
      <c r="U365" s="43"/>
      <c r="V365" s="43"/>
      <c r="W365" s="43"/>
      <c r="X365" s="43"/>
      <c r="Y365" s="43"/>
      <c r="Z365" s="43"/>
    </row>
    <row r="366">
      <c r="A366" s="67"/>
      <c r="B366" s="67"/>
      <c r="C366" s="68"/>
      <c r="D366" s="70"/>
      <c r="E366" s="68"/>
      <c r="F366" s="20"/>
      <c r="G366" s="43"/>
      <c r="H366" s="43"/>
      <c r="I366" s="43"/>
      <c r="J366" s="63"/>
      <c r="K366" s="43"/>
      <c r="L366" s="43"/>
      <c r="M366" s="43"/>
      <c r="N366" s="43"/>
      <c r="O366" s="43"/>
      <c r="P366" s="43"/>
      <c r="Q366" s="43"/>
      <c r="R366" s="43"/>
      <c r="S366" s="43"/>
      <c r="T366" s="43"/>
      <c r="U366" s="43"/>
      <c r="V366" s="43"/>
      <c r="W366" s="43"/>
      <c r="X366" s="43"/>
      <c r="Y366" s="43"/>
      <c r="Z366" s="43"/>
    </row>
    <row r="367">
      <c r="A367" s="67"/>
      <c r="B367" s="67"/>
      <c r="C367" s="68"/>
      <c r="D367" s="70"/>
      <c r="E367" s="68"/>
      <c r="F367" s="20"/>
      <c r="G367" s="43"/>
      <c r="H367" s="43"/>
      <c r="I367" s="43"/>
      <c r="J367" s="63"/>
      <c r="K367" s="43"/>
      <c r="L367" s="43"/>
      <c r="M367" s="43"/>
      <c r="N367" s="43"/>
      <c r="O367" s="43"/>
      <c r="P367" s="43"/>
      <c r="Q367" s="43"/>
      <c r="R367" s="43"/>
      <c r="S367" s="43"/>
      <c r="T367" s="43"/>
      <c r="U367" s="43"/>
      <c r="V367" s="43"/>
      <c r="W367" s="43"/>
      <c r="X367" s="43"/>
      <c r="Y367" s="43"/>
      <c r="Z367" s="43"/>
    </row>
    <row r="368">
      <c r="A368" s="67"/>
      <c r="B368" s="67"/>
      <c r="C368" s="68"/>
      <c r="D368" s="70"/>
      <c r="E368" s="68"/>
      <c r="F368" s="20"/>
      <c r="G368" s="43"/>
      <c r="H368" s="43"/>
      <c r="I368" s="43"/>
      <c r="J368" s="63"/>
      <c r="K368" s="43"/>
      <c r="L368" s="43"/>
      <c r="M368" s="43"/>
      <c r="N368" s="43"/>
      <c r="O368" s="43"/>
      <c r="P368" s="43"/>
      <c r="Q368" s="43"/>
      <c r="R368" s="43"/>
      <c r="S368" s="43"/>
      <c r="T368" s="43"/>
      <c r="U368" s="43"/>
      <c r="V368" s="43"/>
      <c r="W368" s="43"/>
      <c r="X368" s="43"/>
      <c r="Y368" s="43"/>
      <c r="Z368" s="43"/>
    </row>
    <row r="369">
      <c r="A369" s="67"/>
      <c r="B369" s="67"/>
      <c r="C369" s="68"/>
      <c r="D369" s="70"/>
      <c r="E369" s="68"/>
      <c r="F369" s="20"/>
      <c r="G369" s="43"/>
      <c r="H369" s="43"/>
      <c r="I369" s="43"/>
      <c r="J369" s="63"/>
      <c r="K369" s="43"/>
      <c r="L369" s="43"/>
      <c r="M369" s="43"/>
      <c r="N369" s="43"/>
      <c r="O369" s="43"/>
      <c r="P369" s="43"/>
      <c r="Q369" s="43"/>
      <c r="R369" s="43"/>
      <c r="S369" s="43"/>
      <c r="T369" s="43"/>
      <c r="U369" s="43"/>
      <c r="V369" s="43"/>
      <c r="W369" s="43"/>
      <c r="X369" s="43"/>
      <c r="Y369" s="43"/>
      <c r="Z369" s="43"/>
    </row>
    <row r="370">
      <c r="A370" s="67"/>
      <c r="B370" s="67"/>
      <c r="C370" s="68"/>
      <c r="D370" s="70"/>
      <c r="E370" s="68"/>
      <c r="F370" s="20"/>
      <c r="G370" s="43"/>
      <c r="H370" s="43"/>
      <c r="I370" s="43"/>
      <c r="J370" s="63"/>
      <c r="K370" s="43"/>
      <c r="L370" s="43"/>
      <c r="M370" s="43"/>
      <c r="N370" s="43"/>
      <c r="O370" s="43"/>
      <c r="P370" s="43"/>
      <c r="Q370" s="43"/>
      <c r="R370" s="43"/>
      <c r="S370" s="43"/>
      <c r="T370" s="43"/>
      <c r="U370" s="43"/>
      <c r="V370" s="43"/>
      <c r="W370" s="43"/>
      <c r="X370" s="43"/>
      <c r="Y370" s="43"/>
      <c r="Z370" s="43"/>
    </row>
    <row r="371">
      <c r="A371" s="67"/>
      <c r="B371" s="67"/>
      <c r="C371" s="68"/>
      <c r="D371" s="70"/>
      <c r="E371" s="68"/>
      <c r="F371" s="20"/>
      <c r="G371" s="43"/>
      <c r="H371" s="43"/>
      <c r="I371" s="43"/>
      <c r="J371" s="63"/>
      <c r="K371" s="43"/>
      <c r="L371" s="43"/>
      <c r="M371" s="43"/>
      <c r="N371" s="43"/>
      <c r="O371" s="43"/>
      <c r="P371" s="43"/>
      <c r="Q371" s="43"/>
      <c r="R371" s="43"/>
      <c r="S371" s="43"/>
      <c r="T371" s="43"/>
      <c r="U371" s="43"/>
      <c r="V371" s="43"/>
      <c r="W371" s="43"/>
      <c r="X371" s="43"/>
      <c r="Y371" s="43"/>
      <c r="Z371" s="43"/>
    </row>
    <row r="372">
      <c r="A372" s="67"/>
      <c r="B372" s="67"/>
      <c r="C372" s="68"/>
      <c r="D372" s="70"/>
      <c r="E372" s="68"/>
      <c r="F372" s="20"/>
      <c r="G372" s="43"/>
      <c r="H372" s="43"/>
      <c r="I372" s="43"/>
      <c r="J372" s="63"/>
      <c r="K372" s="43"/>
      <c r="L372" s="43"/>
      <c r="M372" s="43"/>
      <c r="N372" s="43"/>
      <c r="O372" s="43"/>
      <c r="P372" s="43"/>
      <c r="Q372" s="43"/>
      <c r="R372" s="43"/>
      <c r="S372" s="43"/>
      <c r="T372" s="43"/>
      <c r="U372" s="43"/>
      <c r="V372" s="43"/>
      <c r="W372" s="43"/>
      <c r="X372" s="43"/>
      <c r="Y372" s="43"/>
      <c r="Z372" s="43"/>
    </row>
    <row r="373">
      <c r="A373" s="67"/>
      <c r="B373" s="67"/>
      <c r="C373" s="68"/>
      <c r="D373" s="70"/>
      <c r="E373" s="68"/>
      <c r="F373" s="20"/>
      <c r="G373" s="43"/>
      <c r="H373" s="43"/>
      <c r="I373" s="43"/>
      <c r="J373" s="63"/>
      <c r="K373" s="43"/>
      <c r="L373" s="43"/>
      <c r="M373" s="43"/>
      <c r="N373" s="43"/>
      <c r="O373" s="43"/>
      <c r="P373" s="43"/>
      <c r="Q373" s="43"/>
      <c r="R373" s="43"/>
      <c r="S373" s="43"/>
      <c r="T373" s="43"/>
      <c r="U373" s="43"/>
      <c r="V373" s="43"/>
      <c r="W373" s="43"/>
      <c r="X373" s="43"/>
      <c r="Y373" s="43"/>
      <c r="Z373" s="43"/>
    </row>
    <row r="374">
      <c r="A374" s="67"/>
      <c r="B374" s="67"/>
      <c r="C374" s="68"/>
      <c r="D374" s="70"/>
      <c r="E374" s="68"/>
      <c r="F374" s="20"/>
      <c r="G374" s="43"/>
      <c r="H374" s="43"/>
      <c r="I374" s="43"/>
      <c r="J374" s="63"/>
      <c r="K374" s="43"/>
      <c r="L374" s="43"/>
      <c r="M374" s="43"/>
      <c r="N374" s="43"/>
      <c r="O374" s="43"/>
      <c r="P374" s="43"/>
      <c r="Q374" s="43"/>
      <c r="R374" s="43"/>
      <c r="S374" s="43"/>
      <c r="T374" s="43"/>
      <c r="U374" s="43"/>
      <c r="V374" s="43"/>
      <c r="W374" s="43"/>
      <c r="X374" s="43"/>
      <c r="Y374" s="43"/>
      <c r="Z374" s="43"/>
    </row>
    <row r="375">
      <c r="A375" s="67"/>
      <c r="B375" s="67"/>
      <c r="C375" s="68"/>
      <c r="D375" s="70"/>
      <c r="E375" s="68"/>
      <c r="F375" s="20"/>
      <c r="G375" s="43"/>
      <c r="H375" s="43"/>
      <c r="I375" s="43"/>
      <c r="J375" s="63"/>
      <c r="K375" s="43"/>
      <c r="L375" s="43"/>
      <c r="M375" s="43"/>
      <c r="N375" s="43"/>
      <c r="O375" s="43"/>
      <c r="P375" s="43"/>
      <c r="Q375" s="43"/>
      <c r="R375" s="43"/>
      <c r="S375" s="43"/>
      <c r="T375" s="43"/>
      <c r="U375" s="43"/>
      <c r="V375" s="43"/>
      <c r="W375" s="43"/>
      <c r="X375" s="43"/>
      <c r="Y375" s="43"/>
      <c r="Z375" s="43"/>
    </row>
    <row r="376">
      <c r="A376" s="67"/>
      <c r="B376" s="67"/>
      <c r="C376" s="68"/>
      <c r="D376" s="70"/>
      <c r="E376" s="68"/>
      <c r="F376" s="20"/>
      <c r="G376" s="43"/>
      <c r="H376" s="43"/>
      <c r="I376" s="43"/>
      <c r="J376" s="63"/>
      <c r="K376" s="43"/>
      <c r="L376" s="43"/>
      <c r="M376" s="43"/>
      <c r="N376" s="43"/>
      <c r="O376" s="43"/>
      <c r="P376" s="43"/>
      <c r="Q376" s="43"/>
      <c r="R376" s="43"/>
      <c r="S376" s="43"/>
      <c r="T376" s="43"/>
      <c r="U376" s="43"/>
      <c r="V376" s="43"/>
      <c r="W376" s="43"/>
      <c r="X376" s="43"/>
      <c r="Y376" s="43"/>
      <c r="Z376" s="43"/>
    </row>
    <row r="377">
      <c r="A377" s="67"/>
      <c r="B377" s="67"/>
      <c r="C377" s="68"/>
      <c r="D377" s="70"/>
      <c r="E377" s="68"/>
      <c r="F377" s="20"/>
      <c r="G377" s="43"/>
      <c r="H377" s="43"/>
      <c r="I377" s="43"/>
      <c r="J377" s="63"/>
      <c r="K377" s="43"/>
      <c r="L377" s="43"/>
      <c r="M377" s="43"/>
      <c r="N377" s="43"/>
      <c r="O377" s="43"/>
      <c r="P377" s="43"/>
      <c r="Q377" s="43"/>
      <c r="R377" s="43"/>
      <c r="S377" s="43"/>
      <c r="T377" s="43"/>
      <c r="U377" s="43"/>
      <c r="V377" s="43"/>
      <c r="W377" s="43"/>
      <c r="X377" s="43"/>
      <c r="Y377" s="43"/>
      <c r="Z377" s="43"/>
    </row>
    <row r="378">
      <c r="A378" s="67"/>
      <c r="B378" s="67"/>
      <c r="C378" s="68"/>
      <c r="D378" s="70"/>
      <c r="E378" s="68"/>
      <c r="F378" s="20"/>
      <c r="G378" s="43"/>
      <c r="H378" s="43"/>
      <c r="I378" s="43"/>
      <c r="J378" s="63"/>
      <c r="K378" s="43"/>
      <c r="L378" s="43"/>
      <c r="M378" s="43"/>
      <c r="N378" s="43"/>
      <c r="O378" s="43"/>
      <c r="P378" s="43"/>
      <c r="Q378" s="43"/>
      <c r="R378" s="43"/>
      <c r="S378" s="43"/>
      <c r="T378" s="43"/>
      <c r="U378" s="43"/>
      <c r="V378" s="43"/>
      <c r="W378" s="43"/>
      <c r="X378" s="43"/>
      <c r="Y378" s="43"/>
      <c r="Z378" s="43"/>
    </row>
    <row r="379">
      <c r="A379" s="67"/>
      <c r="B379" s="67"/>
      <c r="C379" s="68"/>
      <c r="D379" s="70"/>
      <c r="E379" s="68"/>
      <c r="F379" s="20"/>
      <c r="G379" s="43"/>
      <c r="H379" s="43"/>
      <c r="I379" s="43"/>
      <c r="J379" s="63"/>
      <c r="K379" s="43"/>
      <c r="L379" s="43"/>
      <c r="M379" s="43"/>
      <c r="N379" s="43"/>
      <c r="O379" s="43"/>
      <c r="P379" s="43"/>
      <c r="Q379" s="43"/>
      <c r="R379" s="43"/>
      <c r="S379" s="43"/>
      <c r="T379" s="43"/>
      <c r="U379" s="43"/>
      <c r="V379" s="43"/>
      <c r="W379" s="43"/>
      <c r="X379" s="43"/>
      <c r="Y379" s="43"/>
      <c r="Z379" s="43"/>
    </row>
    <row r="380">
      <c r="A380" s="67"/>
      <c r="B380" s="67"/>
      <c r="C380" s="68"/>
      <c r="D380" s="70"/>
      <c r="E380" s="68"/>
      <c r="F380" s="20"/>
      <c r="G380" s="43"/>
      <c r="H380" s="43"/>
      <c r="I380" s="43"/>
      <c r="J380" s="63"/>
      <c r="K380" s="43"/>
      <c r="L380" s="43"/>
      <c r="M380" s="43"/>
      <c r="N380" s="43"/>
      <c r="O380" s="43"/>
      <c r="P380" s="43"/>
      <c r="Q380" s="43"/>
      <c r="R380" s="43"/>
      <c r="S380" s="43"/>
      <c r="T380" s="43"/>
      <c r="U380" s="43"/>
      <c r="V380" s="43"/>
      <c r="W380" s="43"/>
      <c r="X380" s="43"/>
      <c r="Y380" s="43"/>
      <c r="Z380" s="43"/>
    </row>
    <row r="381">
      <c r="A381" s="67"/>
      <c r="B381" s="67"/>
      <c r="C381" s="68"/>
      <c r="D381" s="70"/>
      <c r="E381" s="68"/>
      <c r="F381" s="20"/>
      <c r="G381" s="43"/>
      <c r="H381" s="43"/>
      <c r="I381" s="43"/>
      <c r="J381" s="63"/>
      <c r="K381" s="43"/>
      <c r="L381" s="43"/>
      <c r="M381" s="43"/>
      <c r="N381" s="43"/>
      <c r="O381" s="43"/>
      <c r="P381" s="43"/>
      <c r="Q381" s="43"/>
      <c r="R381" s="43"/>
      <c r="S381" s="43"/>
      <c r="T381" s="43"/>
      <c r="U381" s="43"/>
      <c r="V381" s="43"/>
      <c r="W381" s="43"/>
      <c r="X381" s="43"/>
      <c r="Y381" s="43"/>
      <c r="Z381" s="43"/>
    </row>
    <row r="382">
      <c r="A382" s="67"/>
      <c r="B382" s="67"/>
      <c r="C382" s="68"/>
      <c r="D382" s="70"/>
      <c r="E382" s="68"/>
      <c r="F382" s="20"/>
      <c r="G382" s="43"/>
      <c r="H382" s="43"/>
      <c r="I382" s="43"/>
      <c r="J382" s="63"/>
      <c r="K382" s="43"/>
      <c r="L382" s="43"/>
      <c r="M382" s="43"/>
      <c r="N382" s="43"/>
      <c r="O382" s="43"/>
      <c r="P382" s="43"/>
      <c r="Q382" s="43"/>
      <c r="R382" s="43"/>
      <c r="S382" s="43"/>
      <c r="T382" s="43"/>
      <c r="U382" s="43"/>
      <c r="V382" s="43"/>
      <c r="W382" s="43"/>
      <c r="X382" s="43"/>
      <c r="Y382" s="43"/>
      <c r="Z382" s="43"/>
    </row>
    <row r="383">
      <c r="A383" s="67"/>
      <c r="B383" s="67"/>
      <c r="C383" s="68"/>
      <c r="D383" s="70"/>
      <c r="E383" s="68"/>
      <c r="F383" s="20"/>
      <c r="G383" s="43"/>
      <c r="H383" s="43"/>
      <c r="I383" s="43"/>
      <c r="J383" s="63"/>
      <c r="K383" s="43"/>
      <c r="L383" s="43"/>
      <c r="M383" s="43"/>
      <c r="N383" s="43"/>
      <c r="O383" s="43"/>
      <c r="P383" s="43"/>
      <c r="Q383" s="43"/>
      <c r="R383" s="43"/>
      <c r="S383" s="43"/>
      <c r="T383" s="43"/>
      <c r="U383" s="43"/>
      <c r="V383" s="43"/>
      <c r="W383" s="43"/>
      <c r="X383" s="43"/>
      <c r="Y383" s="43"/>
      <c r="Z383" s="43"/>
    </row>
    <row r="384">
      <c r="A384" s="67"/>
      <c r="B384" s="67"/>
      <c r="C384" s="68"/>
      <c r="D384" s="70"/>
      <c r="E384" s="68"/>
      <c r="F384" s="20"/>
      <c r="G384" s="43"/>
      <c r="H384" s="43"/>
      <c r="I384" s="43"/>
      <c r="J384" s="63"/>
      <c r="K384" s="43"/>
      <c r="L384" s="43"/>
      <c r="M384" s="43"/>
      <c r="N384" s="43"/>
      <c r="O384" s="43"/>
      <c r="P384" s="43"/>
      <c r="Q384" s="43"/>
      <c r="R384" s="43"/>
      <c r="S384" s="43"/>
      <c r="T384" s="43"/>
      <c r="U384" s="43"/>
      <c r="V384" s="43"/>
      <c r="W384" s="43"/>
      <c r="X384" s="43"/>
      <c r="Y384" s="43"/>
      <c r="Z384" s="43"/>
    </row>
    <row r="385">
      <c r="A385" s="67"/>
      <c r="B385" s="67"/>
      <c r="C385" s="68"/>
      <c r="D385" s="70"/>
      <c r="E385" s="68"/>
      <c r="F385" s="20"/>
      <c r="G385" s="43"/>
      <c r="H385" s="43"/>
      <c r="I385" s="43"/>
      <c r="J385" s="63"/>
      <c r="K385" s="43"/>
      <c r="L385" s="43"/>
      <c r="M385" s="43"/>
      <c r="N385" s="43"/>
      <c r="O385" s="43"/>
      <c r="P385" s="43"/>
      <c r="Q385" s="43"/>
      <c r="R385" s="43"/>
      <c r="S385" s="43"/>
      <c r="T385" s="43"/>
      <c r="U385" s="43"/>
      <c r="V385" s="43"/>
      <c r="W385" s="43"/>
      <c r="X385" s="43"/>
      <c r="Y385" s="43"/>
      <c r="Z385" s="43"/>
    </row>
    <row r="386">
      <c r="A386" s="67"/>
      <c r="B386" s="67"/>
      <c r="C386" s="68"/>
      <c r="D386" s="70"/>
      <c r="E386" s="68"/>
      <c r="F386" s="20"/>
      <c r="G386" s="43"/>
      <c r="H386" s="43"/>
      <c r="I386" s="43"/>
      <c r="J386" s="63"/>
      <c r="K386" s="43"/>
      <c r="L386" s="43"/>
      <c r="M386" s="43"/>
      <c r="N386" s="43"/>
      <c r="O386" s="43"/>
      <c r="P386" s="43"/>
      <c r="Q386" s="43"/>
      <c r="R386" s="43"/>
      <c r="S386" s="43"/>
      <c r="T386" s="43"/>
      <c r="U386" s="43"/>
      <c r="V386" s="43"/>
      <c r="W386" s="43"/>
      <c r="X386" s="43"/>
      <c r="Y386" s="43"/>
      <c r="Z386" s="43"/>
    </row>
    <row r="387">
      <c r="A387" s="67"/>
      <c r="B387" s="67"/>
      <c r="C387" s="68"/>
      <c r="D387" s="70"/>
      <c r="E387" s="68"/>
      <c r="F387" s="20"/>
      <c r="G387" s="43"/>
      <c r="H387" s="43"/>
      <c r="I387" s="43"/>
      <c r="J387" s="63"/>
      <c r="K387" s="43"/>
      <c r="L387" s="43"/>
      <c r="M387" s="43"/>
      <c r="N387" s="43"/>
      <c r="O387" s="43"/>
      <c r="P387" s="43"/>
      <c r="Q387" s="43"/>
      <c r="R387" s="43"/>
      <c r="S387" s="43"/>
      <c r="T387" s="43"/>
      <c r="U387" s="43"/>
      <c r="V387" s="43"/>
      <c r="W387" s="43"/>
      <c r="X387" s="43"/>
      <c r="Y387" s="43"/>
      <c r="Z387" s="43"/>
    </row>
    <row r="388">
      <c r="A388" s="67"/>
      <c r="B388" s="67"/>
      <c r="C388" s="68"/>
      <c r="D388" s="70"/>
      <c r="E388" s="68"/>
      <c r="F388" s="20"/>
      <c r="G388" s="43"/>
      <c r="H388" s="43"/>
      <c r="I388" s="43"/>
      <c r="J388" s="63"/>
      <c r="K388" s="43"/>
      <c r="L388" s="43"/>
      <c r="M388" s="43"/>
      <c r="N388" s="43"/>
      <c r="O388" s="43"/>
      <c r="P388" s="43"/>
      <c r="Q388" s="43"/>
      <c r="R388" s="43"/>
      <c r="S388" s="43"/>
      <c r="T388" s="43"/>
      <c r="U388" s="43"/>
      <c r="V388" s="43"/>
      <c r="W388" s="43"/>
      <c r="X388" s="43"/>
      <c r="Y388" s="43"/>
      <c r="Z388" s="43"/>
    </row>
    <row r="389">
      <c r="A389" s="67"/>
      <c r="B389" s="67"/>
      <c r="C389" s="68"/>
      <c r="D389" s="70"/>
      <c r="E389" s="68"/>
      <c r="F389" s="20"/>
      <c r="G389" s="43"/>
      <c r="H389" s="43"/>
      <c r="I389" s="43"/>
      <c r="J389" s="63"/>
      <c r="K389" s="43"/>
      <c r="L389" s="43"/>
      <c r="M389" s="43"/>
      <c r="N389" s="43"/>
      <c r="O389" s="43"/>
      <c r="P389" s="43"/>
      <c r="Q389" s="43"/>
      <c r="R389" s="43"/>
      <c r="S389" s="43"/>
      <c r="T389" s="43"/>
      <c r="U389" s="43"/>
      <c r="V389" s="43"/>
      <c r="W389" s="43"/>
      <c r="X389" s="43"/>
      <c r="Y389" s="43"/>
      <c r="Z389" s="43"/>
    </row>
    <row r="390">
      <c r="A390" s="67"/>
      <c r="B390" s="67"/>
      <c r="C390" s="68"/>
      <c r="D390" s="70"/>
      <c r="E390" s="68"/>
      <c r="F390" s="20"/>
      <c r="G390" s="43"/>
      <c r="H390" s="43"/>
      <c r="I390" s="43"/>
      <c r="J390" s="63"/>
      <c r="K390" s="43"/>
      <c r="L390" s="43"/>
      <c r="M390" s="43"/>
      <c r="N390" s="43"/>
      <c r="O390" s="43"/>
      <c r="P390" s="43"/>
      <c r="Q390" s="43"/>
      <c r="R390" s="43"/>
      <c r="S390" s="43"/>
      <c r="T390" s="43"/>
      <c r="U390" s="43"/>
      <c r="V390" s="43"/>
      <c r="W390" s="43"/>
      <c r="X390" s="43"/>
      <c r="Y390" s="43"/>
      <c r="Z390" s="43"/>
    </row>
    <row r="391">
      <c r="A391" s="67"/>
      <c r="B391" s="67"/>
      <c r="C391" s="68"/>
      <c r="D391" s="70"/>
      <c r="E391" s="68"/>
      <c r="F391" s="20"/>
      <c r="G391" s="43"/>
      <c r="H391" s="43"/>
      <c r="I391" s="43"/>
      <c r="J391" s="63"/>
      <c r="K391" s="43"/>
      <c r="L391" s="43"/>
      <c r="M391" s="43"/>
      <c r="N391" s="43"/>
      <c r="O391" s="43"/>
      <c r="P391" s="43"/>
      <c r="Q391" s="43"/>
      <c r="R391" s="43"/>
      <c r="S391" s="43"/>
      <c r="T391" s="43"/>
      <c r="U391" s="43"/>
      <c r="V391" s="43"/>
      <c r="W391" s="43"/>
      <c r="X391" s="43"/>
      <c r="Y391" s="43"/>
      <c r="Z391" s="43"/>
    </row>
    <row r="392">
      <c r="A392" s="67"/>
      <c r="B392" s="67"/>
      <c r="C392" s="68"/>
      <c r="D392" s="70"/>
      <c r="E392" s="68"/>
      <c r="F392" s="20"/>
      <c r="G392" s="43"/>
      <c r="H392" s="43"/>
      <c r="I392" s="43"/>
      <c r="J392" s="63"/>
      <c r="K392" s="43"/>
      <c r="L392" s="43"/>
      <c r="M392" s="43"/>
      <c r="N392" s="43"/>
      <c r="O392" s="43"/>
      <c r="P392" s="43"/>
      <c r="Q392" s="43"/>
      <c r="R392" s="43"/>
      <c r="S392" s="43"/>
      <c r="T392" s="43"/>
      <c r="U392" s="43"/>
      <c r="V392" s="43"/>
      <c r="W392" s="43"/>
      <c r="X392" s="43"/>
      <c r="Y392" s="43"/>
      <c r="Z392" s="43"/>
    </row>
    <row r="393">
      <c r="A393" s="67"/>
      <c r="B393" s="67"/>
      <c r="C393" s="68"/>
      <c r="D393" s="70"/>
      <c r="E393" s="68"/>
      <c r="F393" s="20"/>
      <c r="G393" s="43"/>
      <c r="H393" s="43"/>
      <c r="I393" s="43"/>
      <c r="J393" s="63"/>
      <c r="K393" s="43"/>
      <c r="L393" s="43"/>
      <c r="M393" s="43"/>
      <c r="N393" s="43"/>
      <c r="O393" s="43"/>
      <c r="P393" s="43"/>
      <c r="Q393" s="43"/>
      <c r="R393" s="43"/>
      <c r="S393" s="43"/>
      <c r="T393" s="43"/>
      <c r="U393" s="43"/>
      <c r="V393" s="43"/>
      <c r="W393" s="43"/>
      <c r="X393" s="43"/>
      <c r="Y393" s="43"/>
      <c r="Z393" s="43"/>
    </row>
    <row r="394">
      <c r="A394" s="67"/>
      <c r="B394" s="67"/>
      <c r="C394" s="68"/>
      <c r="D394" s="70"/>
      <c r="E394" s="68"/>
      <c r="F394" s="20"/>
      <c r="G394" s="43"/>
      <c r="H394" s="43"/>
      <c r="I394" s="43"/>
      <c r="J394" s="63"/>
      <c r="K394" s="43"/>
      <c r="L394" s="43"/>
      <c r="M394" s="43"/>
      <c r="N394" s="43"/>
      <c r="O394" s="43"/>
      <c r="P394" s="43"/>
      <c r="Q394" s="43"/>
      <c r="R394" s="43"/>
      <c r="S394" s="43"/>
      <c r="T394" s="43"/>
      <c r="U394" s="43"/>
      <c r="V394" s="43"/>
      <c r="W394" s="43"/>
      <c r="X394" s="43"/>
      <c r="Y394" s="43"/>
      <c r="Z394" s="43"/>
    </row>
    <row r="395">
      <c r="A395" s="67"/>
      <c r="B395" s="67"/>
      <c r="C395" s="68"/>
      <c r="D395" s="70"/>
      <c r="E395" s="68"/>
      <c r="F395" s="20"/>
      <c r="G395" s="43"/>
      <c r="H395" s="43"/>
      <c r="I395" s="43"/>
      <c r="J395" s="63"/>
      <c r="K395" s="43"/>
      <c r="L395" s="43"/>
      <c r="M395" s="43"/>
      <c r="N395" s="43"/>
      <c r="O395" s="43"/>
      <c r="P395" s="43"/>
      <c r="Q395" s="43"/>
      <c r="R395" s="43"/>
      <c r="S395" s="43"/>
      <c r="T395" s="43"/>
      <c r="U395" s="43"/>
      <c r="V395" s="43"/>
      <c r="W395" s="43"/>
      <c r="X395" s="43"/>
      <c r="Y395" s="43"/>
      <c r="Z395" s="43"/>
    </row>
    <row r="396">
      <c r="A396" s="67"/>
      <c r="B396" s="67"/>
      <c r="C396" s="68"/>
      <c r="D396" s="70"/>
      <c r="E396" s="68"/>
      <c r="F396" s="20"/>
      <c r="G396" s="43"/>
      <c r="H396" s="43"/>
      <c r="I396" s="43"/>
      <c r="J396" s="63"/>
      <c r="K396" s="43"/>
      <c r="L396" s="43"/>
      <c r="M396" s="43"/>
      <c r="N396" s="43"/>
      <c r="O396" s="43"/>
      <c r="P396" s="43"/>
      <c r="Q396" s="43"/>
      <c r="R396" s="43"/>
      <c r="S396" s="43"/>
      <c r="T396" s="43"/>
      <c r="U396" s="43"/>
      <c r="V396" s="43"/>
      <c r="W396" s="43"/>
      <c r="X396" s="43"/>
      <c r="Y396" s="43"/>
      <c r="Z396" s="43"/>
    </row>
    <row r="397">
      <c r="A397" s="67"/>
      <c r="B397" s="67"/>
      <c r="C397" s="68"/>
      <c r="D397" s="70"/>
      <c r="E397" s="68"/>
      <c r="F397" s="20"/>
      <c r="G397" s="43"/>
      <c r="H397" s="43"/>
      <c r="I397" s="43"/>
      <c r="J397" s="63"/>
      <c r="K397" s="43"/>
      <c r="L397" s="43"/>
      <c r="M397" s="43"/>
      <c r="N397" s="43"/>
      <c r="O397" s="43"/>
      <c r="P397" s="43"/>
      <c r="Q397" s="43"/>
      <c r="R397" s="43"/>
      <c r="S397" s="43"/>
      <c r="T397" s="43"/>
      <c r="U397" s="43"/>
      <c r="V397" s="43"/>
      <c r="W397" s="43"/>
      <c r="X397" s="43"/>
      <c r="Y397" s="43"/>
      <c r="Z397" s="43"/>
    </row>
    <row r="398">
      <c r="A398" s="67"/>
      <c r="B398" s="67"/>
      <c r="C398" s="68"/>
      <c r="D398" s="70"/>
      <c r="E398" s="68"/>
      <c r="F398" s="20"/>
      <c r="G398" s="43"/>
      <c r="H398" s="43"/>
      <c r="I398" s="43"/>
      <c r="J398" s="63"/>
      <c r="K398" s="43"/>
      <c r="L398" s="43"/>
      <c r="M398" s="43"/>
      <c r="N398" s="43"/>
      <c r="O398" s="43"/>
      <c r="P398" s="43"/>
      <c r="Q398" s="43"/>
      <c r="R398" s="43"/>
      <c r="S398" s="43"/>
      <c r="T398" s="43"/>
      <c r="U398" s="43"/>
      <c r="V398" s="43"/>
      <c r="W398" s="43"/>
      <c r="X398" s="43"/>
      <c r="Y398" s="43"/>
      <c r="Z398" s="43"/>
    </row>
    <row r="399">
      <c r="A399" s="67"/>
      <c r="B399" s="67"/>
      <c r="C399" s="68"/>
      <c r="D399" s="70"/>
      <c r="E399" s="68"/>
      <c r="F399" s="20"/>
      <c r="G399" s="43"/>
      <c r="H399" s="43"/>
      <c r="I399" s="43"/>
      <c r="J399" s="63"/>
      <c r="K399" s="43"/>
      <c r="L399" s="43"/>
      <c r="M399" s="43"/>
      <c r="N399" s="43"/>
      <c r="O399" s="43"/>
      <c r="P399" s="43"/>
      <c r="Q399" s="43"/>
      <c r="R399" s="43"/>
      <c r="S399" s="43"/>
      <c r="T399" s="43"/>
      <c r="U399" s="43"/>
      <c r="V399" s="43"/>
      <c r="W399" s="43"/>
      <c r="X399" s="43"/>
      <c r="Y399" s="43"/>
      <c r="Z399" s="43"/>
    </row>
    <row r="400">
      <c r="A400" s="67"/>
      <c r="B400" s="67"/>
      <c r="C400" s="68"/>
      <c r="D400" s="70"/>
      <c r="E400" s="68"/>
      <c r="F400" s="20"/>
      <c r="G400" s="43"/>
      <c r="H400" s="43"/>
      <c r="I400" s="43"/>
      <c r="J400" s="63"/>
      <c r="K400" s="43"/>
      <c r="L400" s="43"/>
      <c r="M400" s="43"/>
      <c r="N400" s="43"/>
      <c r="O400" s="43"/>
      <c r="P400" s="43"/>
      <c r="Q400" s="43"/>
      <c r="R400" s="43"/>
      <c r="S400" s="43"/>
      <c r="T400" s="43"/>
      <c r="U400" s="43"/>
      <c r="V400" s="43"/>
      <c r="W400" s="43"/>
      <c r="X400" s="43"/>
      <c r="Y400" s="43"/>
      <c r="Z400" s="43"/>
    </row>
    <row r="401">
      <c r="A401" s="67"/>
      <c r="B401" s="67"/>
      <c r="C401" s="68"/>
      <c r="D401" s="70"/>
      <c r="E401" s="68"/>
      <c r="F401" s="20"/>
      <c r="G401" s="43"/>
      <c r="H401" s="43"/>
      <c r="I401" s="43"/>
      <c r="J401" s="63"/>
      <c r="K401" s="43"/>
      <c r="L401" s="43"/>
      <c r="M401" s="43"/>
      <c r="N401" s="43"/>
      <c r="O401" s="43"/>
      <c r="P401" s="43"/>
      <c r="Q401" s="43"/>
      <c r="R401" s="43"/>
      <c r="S401" s="43"/>
      <c r="T401" s="43"/>
      <c r="U401" s="43"/>
      <c r="V401" s="43"/>
      <c r="W401" s="43"/>
      <c r="X401" s="43"/>
      <c r="Y401" s="43"/>
      <c r="Z401" s="43"/>
    </row>
    <row r="402">
      <c r="A402" s="67"/>
      <c r="B402" s="67"/>
      <c r="C402" s="68"/>
      <c r="D402" s="70"/>
      <c r="E402" s="68"/>
      <c r="F402" s="20"/>
      <c r="G402" s="43"/>
      <c r="H402" s="43"/>
      <c r="I402" s="43"/>
      <c r="J402" s="63"/>
      <c r="K402" s="43"/>
      <c r="L402" s="43"/>
      <c r="M402" s="43"/>
      <c r="N402" s="43"/>
      <c r="O402" s="43"/>
      <c r="P402" s="43"/>
      <c r="Q402" s="43"/>
      <c r="R402" s="43"/>
      <c r="S402" s="43"/>
      <c r="T402" s="43"/>
      <c r="U402" s="43"/>
      <c r="V402" s="43"/>
      <c r="W402" s="43"/>
      <c r="X402" s="43"/>
      <c r="Y402" s="43"/>
      <c r="Z402" s="43"/>
    </row>
    <row r="403">
      <c r="A403" s="67"/>
      <c r="B403" s="67"/>
      <c r="C403" s="68"/>
      <c r="D403" s="70"/>
      <c r="E403" s="68"/>
      <c r="F403" s="20"/>
      <c r="G403" s="43"/>
      <c r="H403" s="43"/>
      <c r="I403" s="43"/>
      <c r="J403" s="63"/>
      <c r="K403" s="43"/>
      <c r="L403" s="43"/>
      <c r="M403" s="43"/>
      <c r="N403" s="43"/>
      <c r="O403" s="43"/>
      <c r="P403" s="43"/>
      <c r="Q403" s="43"/>
      <c r="R403" s="43"/>
      <c r="S403" s="43"/>
      <c r="T403" s="43"/>
      <c r="U403" s="43"/>
      <c r="V403" s="43"/>
      <c r="W403" s="43"/>
      <c r="X403" s="43"/>
      <c r="Y403" s="43"/>
      <c r="Z403" s="43"/>
    </row>
    <row r="404">
      <c r="A404" s="67"/>
      <c r="B404" s="67"/>
      <c r="C404" s="68"/>
      <c r="D404" s="70"/>
      <c r="E404" s="68"/>
      <c r="F404" s="20"/>
      <c r="G404" s="43"/>
      <c r="H404" s="43"/>
      <c r="I404" s="43"/>
      <c r="J404" s="63"/>
      <c r="K404" s="43"/>
      <c r="L404" s="43"/>
      <c r="M404" s="43"/>
      <c r="N404" s="43"/>
      <c r="O404" s="43"/>
      <c r="P404" s="43"/>
      <c r="Q404" s="43"/>
      <c r="R404" s="43"/>
      <c r="S404" s="43"/>
      <c r="T404" s="43"/>
      <c r="U404" s="43"/>
      <c r="V404" s="43"/>
      <c r="W404" s="43"/>
      <c r="X404" s="43"/>
      <c r="Y404" s="43"/>
      <c r="Z404" s="43"/>
    </row>
    <row r="405">
      <c r="A405" s="67"/>
      <c r="B405" s="67"/>
      <c r="C405" s="68"/>
      <c r="D405" s="70"/>
      <c r="E405" s="68"/>
      <c r="F405" s="20"/>
      <c r="G405" s="43"/>
      <c r="H405" s="43"/>
      <c r="I405" s="43"/>
      <c r="J405" s="63"/>
      <c r="K405" s="43"/>
      <c r="L405" s="43"/>
      <c r="M405" s="43"/>
      <c r="N405" s="43"/>
      <c r="O405" s="43"/>
      <c r="P405" s="43"/>
      <c r="Q405" s="43"/>
      <c r="R405" s="43"/>
      <c r="S405" s="43"/>
      <c r="T405" s="43"/>
      <c r="U405" s="43"/>
      <c r="V405" s="43"/>
      <c r="W405" s="43"/>
      <c r="X405" s="43"/>
      <c r="Y405" s="43"/>
      <c r="Z405" s="43"/>
    </row>
    <row r="406">
      <c r="A406" s="67"/>
      <c r="B406" s="67"/>
      <c r="C406" s="68"/>
      <c r="D406" s="70"/>
      <c r="E406" s="68"/>
      <c r="F406" s="20"/>
      <c r="G406" s="43"/>
      <c r="H406" s="43"/>
      <c r="I406" s="43"/>
      <c r="J406" s="63"/>
      <c r="K406" s="43"/>
      <c r="L406" s="43"/>
      <c r="M406" s="43"/>
      <c r="N406" s="43"/>
      <c r="O406" s="43"/>
      <c r="P406" s="43"/>
      <c r="Q406" s="43"/>
      <c r="R406" s="43"/>
      <c r="S406" s="43"/>
      <c r="T406" s="43"/>
      <c r="U406" s="43"/>
      <c r="V406" s="43"/>
      <c r="W406" s="43"/>
      <c r="X406" s="43"/>
      <c r="Y406" s="43"/>
      <c r="Z406" s="43"/>
    </row>
    <row r="407">
      <c r="A407" s="67"/>
      <c r="B407" s="67"/>
      <c r="C407" s="68"/>
      <c r="D407" s="70"/>
      <c r="E407" s="68"/>
      <c r="F407" s="20"/>
      <c r="G407" s="43"/>
      <c r="H407" s="43"/>
      <c r="I407" s="43"/>
      <c r="J407" s="63"/>
      <c r="K407" s="43"/>
      <c r="L407" s="43"/>
      <c r="M407" s="43"/>
      <c r="N407" s="43"/>
      <c r="O407" s="43"/>
      <c r="P407" s="43"/>
      <c r="Q407" s="43"/>
      <c r="R407" s="43"/>
      <c r="S407" s="43"/>
      <c r="T407" s="43"/>
      <c r="U407" s="43"/>
      <c r="V407" s="43"/>
      <c r="W407" s="43"/>
      <c r="X407" s="43"/>
      <c r="Y407" s="43"/>
      <c r="Z407" s="43"/>
    </row>
    <row r="408">
      <c r="A408" s="67"/>
      <c r="B408" s="67"/>
      <c r="C408" s="68"/>
      <c r="D408" s="70"/>
      <c r="E408" s="68"/>
      <c r="F408" s="20"/>
      <c r="G408" s="43"/>
      <c r="H408" s="43"/>
      <c r="I408" s="43"/>
      <c r="J408" s="63"/>
      <c r="K408" s="43"/>
      <c r="L408" s="43"/>
      <c r="M408" s="43"/>
      <c r="N408" s="43"/>
      <c r="O408" s="43"/>
      <c r="P408" s="43"/>
      <c r="Q408" s="43"/>
      <c r="R408" s="43"/>
      <c r="S408" s="43"/>
      <c r="T408" s="43"/>
      <c r="U408" s="43"/>
      <c r="V408" s="43"/>
      <c r="W408" s="43"/>
      <c r="X408" s="43"/>
      <c r="Y408" s="43"/>
      <c r="Z408" s="43"/>
    </row>
    <row r="409">
      <c r="A409" s="67"/>
      <c r="B409" s="67"/>
      <c r="C409" s="68"/>
      <c r="D409" s="70"/>
      <c r="E409" s="68"/>
      <c r="F409" s="20"/>
      <c r="G409" s="43"/>
      <c r="H409" s="43"/>
      <c r="I409" s="43"/>
      <c r="J409" s="63"/>
      <c r="K409" s="43"/>
      <c r="L409" s="43"/>
      <c r="M409" s="43"/>
      <c r="N409" s="43"/>
      <c r="O409" s="43"/>
      <c r="P409" s="43"/>
      <c r="Q409" s="43"/>
      <c r="R409" s="43"/>
      <c r="S409" s="43"/>
      <c r="T409" s="43"/>
      <c r="U409" s="43"/>
      <c r="V409" s="43"/>
      <c r="W409" s="43"/>
      <c r="X409" s="43"/>
      <c r="Y409" s="43"/>
      <c r="Z409" s="43"/>
    </row>
    <row r="410">
      <c r="A410" s="67"/>
      <c r="B410" s="67"/>
      <c r="C410" s="68"/>
      <c r="D410" s="70"/>
      <c r="E410" s="68"/>
      <c r="F410" s="20"/>
      <c r="G410" s="43"/>
      <c r="H410" s="43"/>
      <c r="I410" s="43"/>
      <c r="J410" s="63"/>
      <c r="K410" s="43"/>
      <c r="L410" s="43"/>
      <c r="M410" s="43"/>
      <c r="N410" s="43"/>
      <c r="O410" s="43"/>
      <c r="P410" s="43"/>
      <c r="Q410" s="43"/>
      <c r="R410" s="43"/>
      <c r="S410" s="43"/>
      <c r="T410" s="43"/>
      <c r="U410" s="43"/>
      <c r="V410" s="43"/>
      <c r="W410" s="43"/>
      <c r="X410" s="43"/>
      <c r="Y410" s="43"/>
      <c r="Z410" s="43"/>
    </row>
    <row r="411">
      <c r="A411" s="67"/>
      <c r="B411" s="67"/>
      <c r="C411" s="68"/>
      <c r="D411" s="70"/>
      <c r="E411" s="68"/>
      <c r="F411" s="20"/>
      <c r="G411" s="43"/>
      <c r="H411" s="43"/>
      <c r="I411" s="43"/>
      <c r="J411" s="63"/>
      <c r="K411" s="43"/>
      <c r="L411" s="43"/>
      <c r="M411" s="43"/>
      <c r="N411" s="43"/>
      <c r="O411" s="43"/>
      <c r="P411" s="43"/>
      <c r="Q411" s="43"/>
      <c r="R411" s="43"/>
      <c r="S411" s="43"/>
      <c r="T411" s="43"/>
      <c r="U411" s="43"/>
      <c r="V411" s="43"/>
      <c r="W411" s="43"/>
      <c r="X411" s="43"/>
      <c r="Y411" s="43"/>
      <c r="Z411" s="43"/>
    </row>
    <row r="412">
      <c r="A412" s="67"/>
      <c r="B412" s="67"/>
      <c r="C412" s="68"/>
      <c r="D412" s="70"/>
      <c r="E412" s="68"/>
      <c r="F412" s="20"/>
      <c r="G412" s="43"/>
      <c r="H412" s="43"/>
      <c r="I412" s="43"/>
      <c r="J412" s="63"/>
      <c r="K412" s="43"/>
      <c r="L412" s="43"/>
      <c r="M412" s="43"/>
      <c r="N412" s="43"/>
      <c r="O412" s="43"/>
      <c r="P412" s="43"/>
      <c r="Q412" s="43"/>
      <c r="R412" s="43"/>
      <c r="S412" s="43"/>
      <c r="T412" s="43"/>
      <c r="U412" s="43"/>
      <c r="V412" s="43"/>
      <c r="W412" s="43"/>
      <c r="X412" s="43"/>
      <c r="Y412" s="43"/>
      <c r="Z412" s="43"/>
    </row>
    <row r="413">
      <c r="A413" s="67"/>
      <c r="B413" s="67"/>
      <c r="C413" s="68"/>
      <c r="D413" s="70"/>
      <c r="E413" s="68"/>
      <c r="F413" s="20"/>
      <c r="G413" s="43"/>
      <c r="H413" s="43"/>
      <c r="I413" s="43"/>
      <c r="J413" s="63"/>
      <c r="K413" s="43"/>
      <c r="L413" s="43"/>
      <c r="M413" s="43"/>
      <c r="N413" s="43"/>
      <c r="O413" s="43"/>
      <c r="P413" s="43"/>
      <c r="Q413" s="43"/>
      <c r="R413" s="43"/>
      <c r="S413" s="43"/>
      <c r="T413" s="43"/>
      <c r="U413" s="43"/>
      <c r="V413" s="43"/>
      <c r="W413" s="43"/>
      <c r="X413" s="43"/>
      <c r="Y413" s="43"/>
      <c r="Z413" s="43"/>
    </row>
    <row r="414">
      <c r="A414" s="67"/>
      <c r="B414" s="67"/>
      <c r="C414" s="68"/>
      <c r="D414" s="70"/>
      <c r="E414" s="68"/>
      <c r="F414" s="20"/>
      <c r="G414" s="43"/>
      <c r="H414" s="43"/>
      <c r="I414" s="43"/>
      <c r="J414" s="63"/>
      <c r="K414" s="43"/>
      <c r="L414" s="43"/>
      <c r="M414" s="43"/>
      <c r="N414" s="43"/>
      <c r="O414" s="43"/>
      <c r="P414" s="43"/>
      <c r="Q414" s="43"/>
      <c r="R414" s="43"/>
      <c r="S414" s="43"/>
      <c r="T414" s="43"/>
      <c r="U414" s="43"/>
      <c r="V414" s="43"/>
      <c r="W414" s="43"/>
      <c r="X414" s="43"/>
      <c r="Y414" s="43"/>
      <c r="Z414" s="43"/>
    </row>
    <row r="415">
      <c r="A415" s="67"/>
      <c r="B415" s="67"/>
      <c r="C415" s="68"/>
      <c r="D415" s="70"/>
      <c r="E415" s="68"/>
      <c r="F415" s="20"/>
      <c r="G415" s="43"/>
      <c r="H415" s="43"/>
      <c r="I415" s="43"/>
      <c r="J415" s="63"/>
      <c r="K415" s="43"/>
      <c r="L415" s="43"/>
      <c r="M415" s="43"/>
      <c r="N415" s="43"/>
      <c r="O415" s="43"/>
      <c r="P415" s="43"/>
      <c r="Q415" s="43"/>
      <c r="R415" s="43"/>
      <c r="S415" s="43"/>
      <c r="T415" s="43"/>
      <c r="U415" s="43"/>
      <c r="V415" s="43"/>
      <c r="W415" s="43"/>
      <c r="X415" s="43"/>
      <c r="Y415" s="43"/>
      <c r="Z415" s="43"/>
    </row>
    <row r="416">
      <c r="A416" s="67"/>
      <c r="B416" s="67"/>
      <c r="C416" s="68"/>
      <c r="D416" s="70"/>
      <c r="E416" s="68"/>
      <c r="F416" s="20"/>
      <c r="G416" s="43"/>
      <c r="H416" s="43"/>
      <c r="I416" s="43"/>
      <c r="J416" s="63"/>
      <c r="K416" s="43"/>
      <c r="L416" s="43"/>
      <c r="M416" s="43"/>
      <c r="N416" s="43"/>
      <c r="O416" s="43"/>
      <c r="P416" s="43"/>
      <c r="Q416" s="43"/>
      <c r="R416" s="43"/>
      <c r="S416" s="43"/>
      <c r="T416" s="43"/>
      <c r="U416" s="43"/>
      <c r="V416" s="43"/>
      <c r="W416" s="43"/>
      <c r="X416" s="43"/>
      <c r="Y416" s="43"/>
      <c r="Z416" s="43"/>
    </row>
    <row r="417">
      <c r="A417" s="67"/>
      <c r="B417" s="67"/>
      <c r="C417" s="68"/>
      <c r="D417" s="70"/>
      <c r="E417" s="68"/>
      <c r="F417" s="20"/>
      <c r="G417" s="43"/>
      <c r="H417" s="43"/>
      <c r="I417" s="43"/>
      <c r="J417" s="63"/>
      <c r="K417" s="43"/>
      <c r="L417" s="43"/>
      <c r="M417" s="43"/>
      <c r="N417" s="43"/>
      <c r="O417" s="43"/>
      <c r="P417" s="43"/>
      <c r="Q417" s="43"/>
      <c r="R417" s="43"/>
      <c r="S417" s="43"/>
      <c r="T417" s="43"/>
      <c r="U417" s="43"/>
      <c r="V417" s="43"/>
      <c r="W417" s="43"/>
      <c r="X417" s="43"/>
      <c r="Y417" s="43"/>
      <c r="Z417" s="43"/>
    </row>
    <row r="418">
      <c r="A418" s="67"/>
      <c r="B418" s="67"/>
      <c r="C418" s="68"/>
      <c r="D418" s="70"/>
      <c r="E418" s="68"/>
      <c r="F418" s="20"/>
      <c r="G418" s="43"/>
      <c r="H418" s="43"/>
      <c r="I418" s="43"/>
      <c r="J418" s="63"/>
      <c r="K418" s="43"/>
      <c r="L418" s="43"/>
      <c r="M418" s="43"/>
      <c r="N418" s="43"/>
      <c r="O418" s="43"/>
      <c r="P418" s="43"/>
      <c r="Q418" s="43"/>
      <c r="R418" s="43"/>
      <c r="S418" s="43"/>
      <c r="T418" s="43"/>
      <c r="U418" s="43"/>
      <c r="V418" s="43"/>
      <c r="W418" s="43"/>
      <c r="X418" s="43"/>
      <c r="Y418" s="43"/>
      <c r="Z418" s="43"/>
    </row>
    <row r="419">
      <c r="A419" s="67"/>
      <c r="B419" s="67"/>
      <c r="C419" s="68"/>
      <c r="D419" s="70"/>
      <c r="E419" s="68"/>
      <c r="F419" s="20"/>
      <c r="G419" s="43"/>
      <c r="H419" s="43"/>
      <c r="I419" s="43"/>
      <c r="J419" s="63"/>
      <c r="K419" s="43"/>
      <c r="L419" s="43"/>
      <c r="M419" s="43"/>
      <c r="N419" s="43"/>
      <c r="O419" s="43"/>
      <c r="P419" s="43"/>
      <c r="Q419" s="43"/>
      <c r="R419" s="43"/>
      <c r="S419" s="43"/>
      <c r="T419" s="43"/>
      <c r="U419" s="43"/>
      <c r="V419" s="43"/>
      <c r="W419" s="43"/>
      <c r="X419" s="43"/>
      <c r="Y419" s="43"/>
      <c r="Z419" s="43"/>
    </row>
    <row r="420">
      <c r="A420" s="67"/>
      <c r="B420" s="67"/>
      <c r="C420" s="68"/>
      <c r="D420" s="70"/>
      <c r="E420" s="68"/>
      <c r="F420" s="20"/>
      <c r="G420" s="43"/>
      <c r="H420" s="43"/>
      <c r="I420" s="43"/>
      <c r="J420" s="63"/>
      <c r="K420" s="43"/>
      <c r="L420" s="43"/>
      <c r="M420" s="43"/>
      <c r="N420" s="43"/>
      <c r="O420" s="43"/>
      <c r="P420" s="43"/>
      <c r="Q420" s="43"/>
      <c r="R420" s="43"/>
      <c r="S420" s="43"/>
      <c r="T420" s="43"/>
      <c r="U420" s="43"/>
      <c r="V420" s="43"/>
      <c r="W420" s="43"/>
      <c r="X420" s="43"/>
      <c r="Y420" s="43"/>
      <c r="Z420" s="43"/>
    </row>
    <row r="421">
      <c r="A421" s="67"/>
      <c r="B421" s="67"/>
      <c r="C421" s="68"/>
      <c r="D421" s="70"/>
      <c r="E421" s="68"/>
      <c r="F421" s="20"/>
      <c r="G421" s="43"/>
      <c r="H421" s="43"/>
      <c r="I421" s="43"/>
      <c r="J421" s="63"/>
      <c r="K421" s="43"/>
      <c r="L421" s="43"/>
      <c r="M421" s="43"/>
      <c r="N421" s="43"/>
      <c r="O421" s="43"/>
      <c r="P421" s="43"/>
      <c r="Q421" s="43"/>
      <c r="R421" s="43"/>
      <c r="S421" s="43"/>
      <c r="T421" s="43"/>
      <c r="U421" s="43"/>
      <c r="V421" s="43"/>
      <c r="W421" s="43"/>
      <c r="X421" s="43"/>
      <c r="Y421" s="43"/>
      <c r="Z421" s="43"/>
    </row>
    <row r="422">
      <c r="A422" s="67"/>
      <c r="B422" s="67"/>
      <c r="C422" s="68"/>
      <c r="D422" s="70"/>
      <c r="E422" s="68"/>
      <c r="F422" s="20"/>
      <c r="G422" s="43"/>
      <c r="H422" s="43"/>
      <c r="I422" s="43"/>
      <c r="J422" s="63"/>
      <c r="K422" s="43"/>
      <c r="L422" s="43"/>
      <c r="M422" s="43"/>
      <c r="N422" s="43"/>
      <c r="O422" s="43"/>
      <c r="P422" s="43"/>
      <c r="Q422" s="43"/>
      <c r="R422" s="43"/>
      <c r="S422" s="43"/>
      <c r="T422" s="43"/>
      <c r="U422" s="43"/>
      <c r="V422" s="43"/>
      <c r="W422" s="43"/>
      <c r="X422" s="43"/>
      <c r="Y422" s="43"/>
      <c r="Z422" s="43"/>
    </row>
    <row r="423">
      <c r="A423" s="67"/>
      <c r="B423" s="67"/>
      <c r="C423" s="68"/>
      <c r="D423" s="70"/>
      <c r="E423" s="68"/>
      <c r="F423" s="20"/>
      <c r="G423" s="43"/>
      <c r="H423" s="43"/>
      <c r="I423" s="43"/>
      <c r="J423" s="63"/>
      <c r="K423" s="43"/>
      <c r="L423" s="43"/>
      <c r="M423" s="43"/>
      <c r="N423" s="43"/>
      <c r="O423" s="43"/>
      <c r="P423" s="43"/>
      <c r="Q423" s="43"/>
      <c r="R423" s="43"/>
      <c r="S423" s="43"/>
      <c r="T423" s="43"/>
      <c r="U423" s="43"/>
      <c r="V423" s="43"/>
      <c r="W423" s="43"/>
      <c r="X423" s="43"/>
      <c r="Y423" s="43"/>
      <c r="Z423" s="43"/>
    </row>
    <row r="424">
      <c r="A424" s="67"/>
      <c r="B424" s="67"/>
      <c r="C424" s="68"/>
      <c r="D424" s="70"/>
      <c r="E424" s="68"/>
      <c r="F424" s="20"/>
      <c r="G424" s="43"/>
      <c r="H424" s="43"/>
      <c r="I424" s="43"/>
      <c r="J424" s="63"/>
      <c r="K424" s="43"/>
      <c r="L424" s="43"/>
      <c r="M424" s="43"/>
      <c r="N424" s="43"/>
      <c r="O424" s="43"/>
      <c r="P424" s="43"/>
      <c r="Q424" s="43"/>
      <c r="R424" s="43"/>
      <c r="S424" s="43"/>
      <c r="T424" s="43"/>
      <c r="U424" s="43"/>
      <c r="V424" s="43"/>
      <c r="W424" s="43"/>
      <c r="X424" s="43"/>
      <c r="Y424" s="43"/>
      <c r="Z424" s="43"/>
    </row>
    <row r="425">
      <c r="A425" s="67"/>
      <c r="B425" s="67"/>
      <c r="C425" s="68"/>
      <c r="D425" s="70"/>
      <c r="E425" s="68"/>
      <c r="F425" s="20"/>
      <c r="G425" s="43"/>
      <c r="H425" s="43"/>
      <c r="I425" s="43"/>
      <c r="J425" s="63"/>
      <c r="K425" s="43"/>
      <c r="L425" s="43"/>
      <c r="M425" s="43"/>
      <c r="N425" s="43"/>
      <c r="O425" s="43"/>
      <c r="P425" s="43"/>
      <c r="Q425" s="43"/>
      <c r="R425" s="43"/>
      <c r="S425" s="43"/>
      <c r="T425" s="43"/>
      <c r="U425" s="43"/>
      <c r="V425" s="43"/>
      <c r="W425" s="43"/>
      <c r="X425" s="43"/>
      <c r="Y425" s="43"/>
      <c r="Z425" s="43"/>
    </row>
    <row r="426">
      <c r="A426" s="67"/>
      <c r="B426" s="67"/>
      <c r="C426" s="68"/>
      <c r="D426" s="70"/>
      <c r="E426" s="68"/>
      <c r="F426" s="20"/>
      <c r="G426" s="43"/>
      <c r="H426" s="43"/>
      <c r="I426" s="43"/>
      <c r="J426" s="63"/>
      <c r="K426" s="43"/>
      <c r="L426" s="43"/>
      <c r="M426" s="43"/>
      <c r="N426" s="43"/>
      <c r="O426" s="43"/>
      <c r="P426" s="43"/>
      <c r="Q426" s="43"/>
      <c r="R426" s="43"/>
      <c r="S426" s="43"/>
      <c r="T426" s="43"/>
      <c r="U426" s="43"/>
      <c r="V426" s="43"/>
      <c r="W426" s="43"/>
      <c r="X426" s="43"/>
      <c r="Y426" s="43"/>
      <c r="Z426" s="43"/>
    </row>
    <row r="427">
      <c r="A427" s="67"/>
      <c r="B427" s="67"/>
      <c r="C427" s="68"/>
      <c r="D427" s="70"/>
      <c r="E427" s="68"/>
      <c r="F427" s="20"/>
      <c r="G427" s="43"/>
      <c r="H427" s="43"/>
      <c r="I427" s="43"/>
      <c r="J427" s="63"/>
      <c r="K427" s="43"/>
      <c r="L427" s="43"/>
      <c r="M427" s="43"/>
      <c r="N427" s="43"/>
      <c r="O427" s="43"/>
      <c r="P427" s="43"/>
      <c r="Q427" s="43"/>
      <c r="R427" s="43"/>
      <c r="S427" s="43"/>
      <c r="T427" s="43"/>
      <c r="U427" s="43"/>
      <c r="V427" s="43"/>
      <c r="W427" s="43"/>
      <c r="X427" s="43"/>
      <c r="Y427" s="43"/>
      <c r="Z427" s="43"/>
    </row>
    <row r="428">
      <c r="A428" s="67"/>
      <c r="B428" s="67"/>
      <c r="C428" s="68"/>
      <c r="D428" s="70"/>
      <c r="E428" s="68"/>
      <c r="F428" s="20"/>
      <c r="G428" s="43"/>
      <c r="H428" s="43"/>
      <c r="I428" s="43"/>
      <c r="J428" s="63"/>
      <c r="K428" s="43"/>
      <c r="L428" s="43"/>
      <c r="M428" s="43"/>
      <c r="N428" s="43"/>
      <c r="O428" s="43"/>
      <c r="P428" s="43"/>
      <c r="Q428" s="43"/>
      <c r="R428" s="43"/>
      <c r="S428" s="43"/>
      <c r="T428" s="43"/>
      <c r="U428" s="43"/>
      <c r="V428" s="43"/>
      <c r="W428" s="43"/>
      <c r="X428" s="43"/>
      <c r="Y428" s="43"/>
      <c r="Z428" s="43"/>
    </row>
    <row r="429">
      <c r="A429" s="67"/>
      <c r="B429" s="67"/>
      <c r="C429" s="68"/>
      <c r="D429" s="70"/>
      <c r="E429" s="68"/>
      <c r="F429" s="20"/>
      <c r="G429" s="43"/>
      <c r="H429" s="43"/>
      <c r="I429" s="43"/>
      <c r="J429" s="63"/>
      <c r="K429" s="43"/>
      <c r="L429" s="43"/>
      <c r="M429" s="43"/>
      <c r="N429" s="43"/>
      <c r="O429" s="43"/>
      <c r="P429" s="43"/>
      <c r="Q429" s="43"/>
      <c r="R429" s="43"/>
      <c r="S429" s="43"/>
      <c r="T429" s="43"/>
      <c r="U429" s="43"/>
      <c r="V429" s="43"/>
      <c r="W429" s="43"/>
      <c r="X429" s="43"/>
      <c r="Y429" s="43"/>
      <c r="Z429" s="43"/>
    </row>
    <row r="430">
      <c r="A430" s="67"/>
      <c r="B430" s="67"/>
      <c r="C430" s="68"/>
      <c r="D430" s="70"/>
      <c r="E430" s="68"/>
      <c r="F430" s="20"/>
      <c r="G430" s="43"/>
      <c r="H430" s="43"/>
      <c r="I430" s="43"/>
      <c r="J430" s="63"/>
      <c r="K430" s="43"/>
      <c r="L430" s="43"/>
      <c r="M430" s="43"/>
      <c r="N430" s="43"/>
      <c r="O430" s="43"/>
      <c r="P430" s="43"/>
      <c r="Q430" s="43"/>
      <c r="R430" s="43"/>
      <c r="S430" s="43"/>
      <c r="T430" s="43"/>
      <c r="U430" s="43"/>
      <c r="V430" s="43"/>
      <c r="W430" s="43"/>
      <c r="X430" s="43"/>
      <c r="Y430" s="43"/>
      <c r="Z430" s="43"/>
    </row>
    <row r="431">
      <c r="A431" s="67"/>
      <c r="B431" s="67"/>
      <c r="C431" s="68"/>
      <c r="D431" s="70"/>
      <c r="E431" s="68"/>
      <c r="F431" s="20"/>
      <c r="G431" s="43"/>
      <c r="H431" s="43"/>
      <c r="I431" s="43"/>
      <c r="J431" s="63"/>
      <c r="K431" s="43"/>
      <c r="L431" s="43"/>
      <c r="M431" s="43"/>
      <c r="N431" s="43"/>
      <c r="O431" s="43"/>
      <c r="P431" s="43"/>
      <c r="Q431" s="43"/>
      <c r="R431" s="43"/>
      <c r="S431" s="43"/>
      <c r="T431" s="43"/>
      <c r="U431" s="43"/>
      <c r="V431" s="43"/>
      <c r="W431" s="43"/>
      <c r="X431" s="43"/>
      <c r="Y431" s="43"/>
      <c r="Z431" s="43"/>
    </row>
    <row r="432">
      <c r="A432" s="67"/>
      <c r="B432" s="67"/>
      <c r="C432" s="68"/>
      <c r="D432" s="70"/>
      <c r="E432" s="68"/>
      <c r="F432" s="20"/>
      <c r="G432" s="43"/>
      <c r="H432" s="43"/>
      <c r="I432" s="43"/>
      <c r="J432" s="63"/>
      <c r="K432" s="43"/>
      <c r="L432" s="43"/>
      <c r="M432" s="43"/>
      <c r="N432" s="43"/>
      <c r="O432" s="43"/>
      <c r="P432" s="43"/>
      <c r="Q432" s="43"/>
      <c r="R432" s="43"/>
      <c r="S432" s="43"/>
      <c r="T432" s="43"/>
      <c r="U432" s="43"/>
      <c r="V432" s="43"/>
      <c r="W432" s="43"/>
      <c r="X432" s="43"/>
      <c r="Y432" s="43"/>
      <c r="Z432" s="43"/>
    </row>
    <row r="433">
      <c r="A433" s="67"/>
      <c r="B433" s="67"/>
      <c r="C433" s="68"/>
      <c r="D433" s="70"/>
      <c r="E433" s="68"/>
      <c r="F433" s="20"/>
      <c r="G433" s="43"/>
      <c r="H433" s="43"/>
      <c r="I433" s="43"/>
      <c r="J433" s="63"/>
      <c r="K433" s="43"/>
      <c r="L433" s="43"/>
      <c r="M433" s="43"/>
      <c r="N433" s="43"/>
      <c r="O433" s="43"/>
      <c r="P433" s="43"/>
      <c r="Q433" s="43"/>
      <c r="R433" s="43"/>
      <c r="S433" s="43"/>
      <c r="T433" s="43"/>
      <c r="U433" s="43"/>
      <c r="V433" s="43"/>
      <c r="W433" s="43"/>
      <c r="X433" s="43"/>
      <c r="Y433" s="43"/>
      <c r="Z433" s="43"/>
    </row>
    <row r="434">
      <c r="A434" s="67"/>
      <c r="B434" s="67"/>
      <c r="C434" s="68"/>
      <c r="D434" s="70"/>
      <c r="E434" s="68"/>
      <c r="F434" s="20"/>
      <c r="G434" s="43"/>
      <c r="H434" s="43"/>
      <c r="I434" s="43"/>
      <c r="J434" s="63"/>
      <c r="K434" s="43"/>
      <c r="L434" s="43"/>
      <c r="M434" s="43"/>
      <c r="N434" s="43"/>
      <c r="O434" s="43"/>
      <c r="P434" s="43"/>
      <c r="Q434" s="43"/>
      <c r="R434" s="43"/>
      <c r="S434" s="43"/>
      <c r="T434" s="43"/>
      <c r="U434" s="43"/>
      <c r="V434" s="43"/>
      <c r="W434" s="43"/>
      <c r="X434" s="43"/>
      <c r="Y434" s="43"/>
      <c r="Z434" s="43"/>
    </row>
    <row r="435">
      <c r="A435" s="67"/>
      <c r="B435" s="67"/>
      <c r="C435" s="68"/>
      <c r="D435" s="70"/>
      <c r="E435" s="68"/>
      <c r="F435" s="20"/>
      <c r="G435" s="43"/>
      <c r="H435" s="43"/>
      <c r="I435" s="43"/>
      <c r="J435" s="63"/>
      <c r="K435" s="43"/>
      <c r="L435" s="43"/>
      <c r="M435" s="43"/>
      <c r="N435" s="43"/>
      <c r="O435" s="43"/>
      <c r="P435" s="43"/>
      <c r="Q435" s="43"/>
      <c r="R435" s="43"/>
      <c r="S435" s="43"/>
      <c r="T435" s="43"/>
      <c r="U435" s="43"/>
      <c r="V435" s="43"/>
      <c r="W435" s="43"/>
      <c r="X435" s="43"/>
      <c r="Y435" s="43"/>
      <c r="Z435" s="43"/>
    </row>
    <row r="436">
      <c r="A436" s="67"/>
      <c r="B436" s="67"/>
      <c r="C436" s="68"/>
      <c r="D436" s="70"/>
      <c r="E436" s="68"/>
      <c r="F436" s="20"/>
      <c r="G436" s="43"/>
      <c r="H436" s="43"/>
      <c r="I436" s="43"/>
      <c r="J436" s="63"/>
      <c r="K436" s="43"/>
      <c r="L436" s="43"/>
      <c r="M436" s="43"/>
      <c r="N436" s="43"/>
      <c r="O436" s="43"/>
      <c r="P436" s="43"/>
      <c r="Q436" s="43"/>
      <c r="R436" s="43"/>
      <c r="S436" s="43"/>
      <c r="T436" s="43"/>
      <c r="U436" s="43"/>
      <c r="V436" s="43"/>
      <c r="W436" s="43"/>
      <c r="X436" s="43"/>
      <c r="Y436" s="43"/>
      <c r="Z436" s="43"/>
    </row>
    <row r="437">
      <c r="A437" s="67"/>
      <c r="B437" s="67"/>
      <c r="C437" s="68"/>
      <c r="D437" s="70"/>
      <c r="E437" s="68"/>
      <c r="F437" s="20"/>
      <c r="G437" s="43"/>
      <c r="H437" s="43"/>
      <c r="I437" s="43"/>
      <c r="J437" s="63"/>
      <c r="K437" s="43"/>
      <c r="L437" s="43"/>
      <c r="M437" s="43"/>
      <c r="N437" s="43"/>
      <c r="O437" s="43"/>
      <c r="P437" s="43"/>
      <c r="Q437" s="43"/>
      <c r="R437" s="43"/>
      <c r="S437" s="43"/>
      <c r="T437" s="43"/>
      <c r="U437" s="43"/>
      <c r="V437" s="43"/>
      <c r="W437" s="43"/>
      <c r="X437" s="43"/>
      <c r="Y437" s="43"/>
      <c r="Z437" s="43"/>
    </row>
    <row r="438">
      <c r="A438" s="67"/>
      <c r="B438" s="67"/>
      <c r="C438" s="68"/>
      <c r="D438" s="70"/>
      <c r="E438" s="68"/>
      <c r="F438" s="20"/>
      <c r="G438" s="43"/>
      <c r="H438" s="43"/>
      <c r="I438" s="43"/>
      <c r="J438" s="63"/>
      <c r="K438" s="43"/>
      <c r="L438" s="43"/>
      <c r="M438" s="43"/>
      <c r="N438" s="43"/>
      <c r="O438" s="43"/>
      <c r="P438" s="43"/>
      <c r="Q438" s="43"/>
      <c r="R438" s="43"/>
      <c r="S438" s="43"/>
      <c r="T438" s="43"/>
      <c r="U438" s="43"/>
      <c r="V438" s="43"/>
      <c r="W438" s="43"/>
      <c r="X438" s="43"/>
      <c r="Y438" s="43"/>
      <c r="Z438" s="43"/>
    </row>
    <row r="439">
      <c r="A439" s="67"/>
      <c r="B439" s="67"/>
      <c r="C439" s="68"/>
      <c r="D439" s="70"/>
      <c r="E439" s="68"/>
      <c r="F439" s="20"/>
      <c r="G439" s="43"/>
      <c r="H439" s="43"/>
      <c r="I439" s="43"/>
      <c r="J439" s="63"/>
      <c r="K439" s="43"/>
      <c r="L439" s="43"/>
      <c r="M439" s="43"/>
      <c r="N439" s="43"/>
      <c r="O439" s="43"/>
      <c r="P439" s="43"/>
      <c r="Q439" s="43"/>
      <c r="R439" s="43"/>
      <c r="S439" s="43"/>
      <c r="T439" s="43"/>
      <c r="U439" s="43"/>
      <c r="V439" s="43"/>
      <c r="W439" s="43"/>
      <c r="X439" s="43"/>
      <c r="Y439" s="43"/>
      <c r="Z439" s="43"/>
    </row>
    <row r="440">
      <c r="A440" s="67"/>
      <c r="B440" s="67"/>
      <c r="C440" s="68"/>
      <c r="D440" s="70"/>
      <c r="E440" s="68"/>
      <c r="F440" s="20"/>
      <c r="G440" s="43"/>
      <c r="H440" s="43"/>
      <c r="I440" s="43"/>
      <c r="J440" s="63"/>
      <c r="K440" s="43"/>
      <c r="L440" s="43"/>
      <c r="M440" s="43"/>
      <c r="N440" s="43"/>
      <c r="O440" s="43"/>
      <c r="P440" s="43"/>
      <c r="Q440" s="43"/>
      <c r="R440" s="43"/>
      <c r="S440" s="43"/>
      <c r="T440" s="43"/>
      <c r="U440" s="43"/>
      <c r="V440" s="43"/>
      <c r="W440" s="43"/>
      <c r="X440" s="43"/>
      <c r="Y440" s="43"/>
      <c r="Z440" s="43"/>
    </row>
    <row r="441">
      <c r="A441" s="67"/>
      <c r="B441" s="67"/>
      <c r="C441" s="68"/>
      <c r="D441" s="70"/>
      <c r="E441" s="68"/>
      <c r="F441" s="20"/>
      <c r="G441" s="43"/>
      <c r="H441" s="43"/>
      <c r="I441" s="43"/>
      <c r="J441" s="63"/>
      <c r="K441" s="43"/>
      <c r="L441" s="43"/>
      <c r="M441" s="43"/>
      <c r="N441" s="43"/>
      <c r="O441" s="43"/>
      <c r="P441" s="43"/>
      <c r="Q441" s="43"/>
      <c r="R441" s="43"/>
      <c r="S441" s="43"/>
      <c r="T441" s="43"/>
      <c r="U441" s="43"/>
      <c r="V441" s="43"/>
      <c r="W441" s="43"/>
      <c r="X441" s="43"/>
      <c r="Y441" s="43"/>
      <c r="Z441" s="43"/>
    </row>
    <row r="442">
      <c r="A442" s="67"/>
      <c r="B442" s="67"/>
      <c r="C442" s="68"/>
      <c r="D442" s="70"/>
      <c r="E442" s="68"/>
      <c r="F442" s="20"/>
      <c r="G442" s="43"/>
      <c r="H442" s="43"/>
      <c r="I442" s="43"/>
      <c r="J442" s="63"/>
      <c r="K442" s="43"/>
      <c r="L442" s="43"/>
      <c r="M442" s="43"/>
      <c r="N442" s="43"/>
      <c r="O442" s="43"/>
      <c r="P442" s="43"/>
      <c r="Q442" s="43"/>
      <c r="R442" s="43"/>
      <c r="S442" s="43"/>
      <c r="T442" s="43"/>
      <c r="U442" s="43"/>
      <c r="V442" s="43"/>
      <c r="W442" s="43"/>
      <c r="X442" s="43"/>
      <c r="Y442" s="43"/>
      <c r="Z442" s="43"/>
    </row>
    <row r="443">
      <c r="A443" s="67"/>
      <c r="B443" s="67"/>
      <c r="C443" s="68"/>
      <c r="D443" s="70"/>
      <c r="E443" s="68"/>
      <c r="F443" s="20"/>
      <c r="G443" s="43"/>
      <c r="H443" s="43"/>
      <c r="I443" s="43"/>
      <c r="J443" s="63"/>
      <c r="K443" s="43"/>
      <c r="L443" s="43"/>
      <c r="M443" s="43"/>
      <c r="N443" s="43"/>
      <c r="O443" s="43"/>
      <c r="P443" s="43"/>
      <c r="Q443" s="43"/>
      <c r="R443" s="43"/>
      <c r="S443" s="43"/>
      <c r="T443" s="43"/>
      <c r="U443" s="43"/>
      <c r="V443" s="43"/>
      <c r="W443" s="43"/>
      <c r="X443" s="43"/>
      <c r="Y443" s="43"/>
      <c r="Z443" s="43"/>
    </row>
    <row r="444">
      <c r="A444" s="67"/>
      <c r="B444" s="67"/>
      <c r="C444" s="68"/>
      <c r="D444" s="70"/>
      <c r="E444" s="68"/>
      <c r="F444" s="20"/>
      <c r="G444" s="43"/>
      <c r="H444" s="43"/>
      <c r="I444" s="43"/>
      <c r="J444" s="63"/>
      <c r="K444" s="43"/>
      <c r="L444" s="43"/>
      <c r="M444" s="43"/>
      <c r="N444" s="43"/>
      <c r="O444" s="43"/>
      <c r="P444" s="43"/>
      <c r="Q444" s="43"/>
      <c r="R444" s="43"/>
      <c r="S444" s="43"/>
      <c r="T444" s="43"/>
      <c r="U444" s="43"/>
      <c r="V444" s="43"/>
      <c r="W444" s="43"/>
      <c r="X444" s="43"/>
      <c r="Y444" s="43"/>
      <c r="Z444" s="43"/>
    </row>
    <row r="445">
      <c r="A445" s="67"/>
      <c r="B445" s="67"/>
      <c r="C445" s="68"/>
      <c r="D445" s="70"/>
      <c r="E445" s="68"/>
      <c r="F445" s="20"/>
      <c r="G445" s="43"/>
      <c r="H445" s="43"/>
      <c r="I445" s="43"/>
      <c r="J445" s="63"/>
      <c r="K445" s="43"/>
      <c r="L445" s="43"/>
      <c r="M445" s="43"/>
      <c r="N445" s="43"/>
      <c r="O445" s="43"/>
      <c r="P445" s="43"/>
      <c r="Q445" s="43"/>
      <c r="R445" s="43"/>
      <c r="S445" s="43"/>
      <c r="T445" s="43"/>
      <c r="U445" s="43"/>
      <c r="V445" s="43"/>
      <c r="W445" s="43"/>
      <c r="X445" s="43"/>
      <c r="Y445" s="43"/>
      <c r="Z445" s="43"/>
    </row>
    <row r="446">
      <c r="A446" s="67"/>
      <c r="B446" s="67"/>
      <c r="C446" s="68"/>
      <c r="D446" s="70"/>
      <c r="E446" s="68"/>
      <c r="F446" s="20"/>
      <c r="G446" s="43"/>
      <c r="H446" s="43"/>
      <c r="I446" s="43"/>
      <c r="J446" s="63"/>
      <c r="K446" s="43"/>
      <c r="L446" s="43"/>
      <c r="M446" s="43"/>
      <c r="N446" s="43"/>
      <c r="O446" s="43"/>
      <c r="P446" s="43"/>
      <c r="Q446" s="43"/>
      <c r="R446" s="43"/>
      <c r="S446" s="43"/>
      <c r="T446" s="43"/>
      <c r="U446" s="43"/>
      <c r="V446" s="43"/>
      <c r="W446" s="43"/>
      <c r="X446" s="43"/>
      <c r="Y446" s="43"/>
      <c r="Z446" s="43"/>
    </row>
    <row r="447">
      <c r="A447" s="67"/>
      <c r="B447" s="67"/>
      <c r="C447" s="68"/>
      <c r="D447" s="70"/>
      <c r="E447" s="68"/>
      <c r="F447" s="20"/>
      <c r="G447" s="43"/>
      <c r="H447" s="43"/>
      <c r="I447" s="43"/>
      <c r="J447" s="63"/>
      <c r="K447" s="43"/>
      <c r="L447" s="43"/>
      <c r="M447" s="43"/>
      <c r="N447" s="43"/>
      <c r="O447" s="43"/>
      <c r="P447" s="43"/>
      <c r="Q447" s="43"/>
      <c r="R447" s="43"/>
      <c r="S447" s="43"/>
      <c r="T447" s="43"/>
      <c r="U447" s="43"/>
      <c r="V447" s="43"/>
      <c r="W447" s="43"/>
      <c r="X447" s="43"/>
      <c r="Y447" s="43"/>
      <c r="Z447" s="43"/>
    </row>
    <row r="448">
      <c r="A448" s="67"/>
      <c r="B448" s="67"/>
      <c r="C448" s="68"/>
      <c r="D448" s="70"/>
      <c r="E448" s="68"/>
      <c r="F448" s="20"/>
      <c r="G448" s="43"/>
      <c r="H448" s="43"/>
      <c r="I448" s="43"/>
      <c r="J448" s="63"/>
      <c r="K448" s="43"/>
      <c r="L448" s="43"/>
      <c r="M448" s="43"/>
      <c r="N448" s="43"/>
      <c r="O448" s="43"/>
      <c r="P448" s="43"/>
      <c r="Q448" s="43"/>
      <c r="R448" s="43"/>
      <c r="S448" s="43"/>
      <c r="T448" s="43"/>
      <c r="U448" s="43"/>
      <c r="V448" s="43"/>
      <c r="W448" s="43"/>
      <c r="X448" s="43"/>
      <c r="Y448" s="43"/>
      <c r="Z448" s="43"/>
    </row>
    <row r="449">
      <c r="A449" s="67"/>
      <c r="B449" s="67"/>
      <c r="C449" s="68"/>
      <c r="D449" s="70"/>
      <c r="E449" s="68"/>
      <c r="F449" s="20"/>
      <c r="G449" s="43"/>
      <c r="H449" s="43"/>
      <c r="I449" s="43"/>
      <c r="J449" s="63"/>
      <c r="K449" s="43"/>
      <c r="L449" s="43"/>
      <c r="M449" s="43"/>
      <c r="N449" s="43"/>
      <c r="O449" s="43"/>
      <c r="P449" s="43"/>
      <c r="Q449" s="43"/>
      <c r="R449" s="43"/>
      <c r="S449" s="43"/>
      <c r="T449" s="43"/>
      <c r="U449" s="43"/>
      <c r="V449" s="43"/>
      <c r="W449" s="43"/>
      <c r="X449" s="43"/>
      <c r="Y449" s="43"/>
      <c r="Z449" s="43"/>
    </row>
    <row r="450">
      <c r="A450" s="67"/>
      <c r="B450" s="67"/>
      <c r="C450" s="68"/>
      <c r="D450" s="70"/>
      <c r="E450" s="68"/>
      <c r="F450" s="20"/>
      <c r="G450" s="43"/>
      <c r="H450" s="43"/>
      <c r="I450" s="43"/>
      <c r="J450" s="63"/>
      <c r="K450" s="43"/>
      <c r="L450" s="43"/>
      <c r="M450" s="43"/>
      <c r="N450" s="43"/>
      <c r="O450" s="43"/>
      <c r="P450" s="43"/>
      <c r="Q450" s="43"/>
      <c r="R450" s="43"/>
      <c r="S450" s="43"/>
      <c r="T450" s="43"/>
      <c r="U450" s="43"/>
      <c r="V450" s="43"/>
      <c r="W450" s="43"/>
      <c r="X450" s="43"/>
      <c r="Y450" s="43"/>
      <c r="Z450" s="43"/>
    </row>
    <row r="451">
      <c r="A451" s="67"/>
      <c r="B451" s="67"/>
      <c r="C451" s="68"/>
      <c r="D451" s="70"/>
      <c r="E451" s="68"/>
      <c r="F451" s="20"/>
      <c r="G451" s="43"/>
      <c r="H451" s="43"/>
      <c r="I451" s="43"/>
      <c r="J451" s="63"/>
      <c r="K451" s="43"/>
      <c r="L451" s="43"/>
      <c r="M451" s="43"/>
      <c r="N451" s="43"/>
      <c r="O451" s="43"/>
      <c r="P451" s="43"/>
      <c r="Q451" s="43"/>
      <c r="R451" s="43"/>
      <c r="S451" s="43"/>
      <c r="T451" s="43"/>
      <c r="U451" s="43"/>
      <c r="V451" s="43"/>
      <c r="W451" s="43"/>
      <c r="X451" s="43"/>
      <c r="Y451" s="43"/>
      <c r="Z451" s="43"/>
    </row>
    <row r="452">
      <c r="A452" s="67"/>
      <c r="B452" s="67"/>
      <c r="C452" s="68"/>
      <c r="D452" s="70"/>
      <c r="E452" s="68"/>
      <c r="F452" s="20"/>
      <c r="G452" s="43"/>
      <c r="H452" s="43"/>
      <c r="I452" s="43"/>
      <c r="J452" s="63"/>
      <c r="K452" s="43"/>
      <c r="L452" s="43"/>
      <c r="M452" s="43"/>
      <c r="N452" s="43"/>
      <c r="O452" s="43"/>
      <c r="P452" s="43"/>
      <c r="Q452" s="43"/>
      <c r="R452" s="43"/>
      <c r="S452" s="43"/>
      <c r="T452" s="43"/>
      <c r="U452" s="43"/>
      <c r="V452" s="43"/>
      <c r="W452" s="43"/>
      <c r="X452" s="43"/>
      <c r="Y452" s="43"/>
      <c r="Z452" s="43"/>
    </row>
    <row r="453">
      <c r="A453" s="67"/>
      <c r="B453" s="67"/>
      <c r="C453" s="68"/>
      <c r="D453" s="70"/>
      <c r="E453" s="68"/>
      <c r="F453" s="20"/>
      <c r="G453" s="43"/>
      <c r="H453" s="43"/>
      <c r="I453" s="43"/>
      <c r="J453" s="63"/>
      <c r="K453" s="43"/>
      <c r="L453" s="43"/>
      <c r="M453" s="43"/>
      <c r="N453" s="43"/>
      <c r="O453" s="43"/>
      <c r="P453" s="43"/>
      <c r="Q453" s="43"/>
      <c r="R453" s="43"/>
      <c r="S453" s="43"/>
      <c r="T453" s="43"/>
      <c r="U453" s="43"/>
      <c r="V453" s="43"/>
      <c r="W453" s="43"/>
      <c r="X453" s="43"/>
      <c r="Y453" s="43"/>
      <c r="Z453" s="43"/>
    </row>
    <row r="454">
      <c r="A454" s="67"/>
      <c r="B454" s="67"/>
      <c r="C454" s="68"/>
      <c r="D454" s="70"/>
      <c r="E454" s="68"/>
      <c r="F454" s="20"/>
      <c r="G454" s="43"/>
      <c r="H454" s="43"/>
      <c r="I454" s="43"/>
      <c r="J454" s="63"/>
      <c r="K454" s="43"/>
      <c r="L454" s="43"/>
      <c r="M454" s="43"/>
      <c r="N454" s="43"/>
      <c r="O454" s="43"/>
      <c r="P454" s="43"/>
      <c r="Q454" s="43"/>
      <c r="R454" s="43"/>
      <c r="S454" s="43"/>
      <c r="T454" s="43"/>
      <c r="U454" s="43"/>
      <c r="V454" s="43"/>
      <c r="W454" s="43"/>
      <c r="X454" s="43"/>
      <c r="Y454" s="43"/>
      <c r="Z454" s="43"/>
    </row>
    <row r="455">
      <c r="A455" s="67"/>
      <c r="B455" s="67"/>
      <c r="C455" s="68"/>
      <c r="D455" s="70"/>
      <c r="E455" s="68"/>
      <c r="F455" s="20"/>
      <c r="G455" s="43"/>
      <c r="H455" s="43"/>
      <c r="I455" s="43"/>
      <c r="J455" s="63"/>
      <c r="K455" s="43"/>
      <c r="L455" s="43"/>
      <c r="M455" s="43"/>
      <c r="N455" s="43"/>
      <c r="O455" s="43"/>
      <c r="P455" s="43"/>
      <c r="Q455" s="43"/>
      <c r="R455" s="43"/>
      <c r="S455" s="43"/>
      <c r="T455" s="43"/>
      <c r="U455" s="43"/>
      <c r="V455" s="43"/>
      <c r="W455" s="43"/>
      <c r="X455" s="43"/>
      <c r="Y455" s="43"/>
      <c r="Z455" s="43"/>
    </row>
    <row r="456">
      <c r="A456" s="67"/>
      <c r="B456" s="67"/>
      <c r="C456" s="68"/>
      <c r="D456" s="70"/>
      <c r="E456" s="68"/>
      <c r="F456" s="20"/>
      <c r="G456" s="43"/>
      <c r="H456" s="43"/>
      <c r="I456" s="43"/>
      <c r="J456" s="63"/>
      <c r="K456" s="43"/>
      <c r="L456" s="43"/>
      <c r="M456" s="43"/>
      <c r="N456" s="43"/>
      <c r="O456" s="43"/>
      <c r="P456" s="43"/>
      <c r="Q456" s="43"/>
      <c r="R456" s="43"/>
      <c r="S456" s="43"/>
      <c r="T456" s="43"/>
      <c r="U456" s="43"/>
      <c r="V456" s="43"/>
      <c r="W456" s="43"/>
      <c r="X456" s="43"/>
      <c r="Y456" s="43"/>
      <c r="Z456" s="43"/>
    </row>
    <row r="457">
      <c r="A457" s="67"/>
      <c r="B457" s="67"/>
      <c r="C457" s="68"/>
      <c r="D457" s="70"/>
      <c r="E457" s="68"/>
      <c r="F457" s="20"/>
      <c r="G457" s="43"/>
      <c r="H457" s="43"/>
      <c r="I457" s="43"/>
      <c r="J457" s="63"/>
      <c r="K457" s="43"/>
      <c r="L457" s="43"/>
      <c r="M457" s="43"/>
      <c r="N457" s="43"/>
      <c r="O457" s="43"/>
      <c r="P457" s="43"/>
      <c r="Q457" s="43"/>
      <c r="R457" s="43"/>
      <c r="S457" s="43"/>
      <c r="T457" s="43"/>
      <c r="U457" s="43"/>
      <c r="V457" s="43"/>
      <c r="W457" s="43"/>
      <c r="X457" s="43"/>
      <c r="Y457" s="43"/>
      <c r="Z457" s="43"/>
    </row>
    <row r="458">
      <c r="A458" s="67"/>
      <c r="B458" s="67"/>
      <c r="C458" s="68"/>
      <c r="D458" s="70"/>
      <c r="E458" s="68"/>
      <c r="F458" s="20"/>
      <c r="G458" s="43"/>
      <c r="H458" s="43"/>
      <c r="I458" s="43"/>
      <c r="J458" s="63"/>
      <c r="K458" s="43"/>
      <c r="L458" s="43"/>
      <c r="M458" s="43"/>
      <c r="N458" s="43"/>
      <c r="O458" s="43"/>
      <c r="P458" s="43"/>
      <c r="Q458" s="43"/>
      <c r="R458" s="43"/>
      <c r="S458" s="43"/>
      <c r="T458" s="43"/>
      <c r="U458" s="43"/>
      <c r="V458" s="43"/>
      <c r="W458" s="43"/>
      <c r="X458" s="43"/>
      <c r="Y458" s="43"/>
      <c r="Z458" s="43"/>
    </row>
    <row r="459">
      <c r="A459" s="67"/>
      <c r="B459" s="67"/>
      <c r="C459" s="68"/>
      <c r="D459" s="70"/>
      <c r="E459" s="68"/>
      <c r="F459" s="20"/>
      <c r="G459" s="43"/>
      <c r="H459" s="43"/>
      <c r="I459" s="43"/>
      <c r="J459" s="63"/>
      <c r="K459" s="43"/>
      <c r="L459" s="43"/>
      <c r="M459" s="43"/>
      <c r="N459" s="43"/>
      <c r="O459" s="43"/>
      <c r="P459" s="43"/>
      <c r="Q459" s="43"/>
      <c r="R459" s="43"/>
      <c r="S459" s="43"/>
      <c r="T459" s="43"/>
      <c r="U459" s="43"/>
      <c r="V459" s="43"/>
      <c r="W459" s="43"/>
      <c r="X459" s="43"/>
      <c r="Y459" s="43"/>
      <c r="Z459" s="43"/>
    </row>
    <row r="460">
      <c r="A460" s="67"/>
      <c r="B460" s="67"/>
      <c r="C460" s="68"/>
      <c r="D460" s="70"/>
      <c r="E460" s="68"/>
      <c r="F460" s="20"/>
      <c r="G460" s="43"/>
      <c r="H460" s="43"/>
      <c r="I460" s="43"/>
      <c r="J460" s="63"/>
      <c r="K460" s="43"/>
      <c r="L460" s="43"/>
      <c r="M460" s="43"/>
      <c r="N460" s="43"/>
      <c r="O460" s="43"/>
      <c r="P460" s="43"/>
      <c r="Q460" s="43"/>
      <c r="R460" s="43"/>
      <c r="S460" s="43"/>
      <c r="T460" s="43"/>
      <c r="U460" s="43"/>
      <c r="V460" s="43"/>
      <c r="W460" s="43"/>
      <c r="X460" s="43"/>
      <c r="Y460" s="43"/>
      <c r="Z460" s="43"/>
    </row>
    <row r="461">
      <c r="A461" s="67"/>
      <c r="B461" s="67"/>
      <c r="C461" s="68"/>
      <c r="D461" s="70"/>
      <c r="E461" s="68"/>
      <c r="F461" s="20"/>
      <c r="G461" s="43"/>
      <c r="H461" s="43"/>
      <c r="I461" s="43"/>
      <c r="J461" s="63"/>
      <c r="K461" s="43"/>
      <c r="L461" s="43"/>
      <c r="M461" s="43"/>
      <c r="N461" s="43"/>
      <c r="O461" s="43"/>
      <c r="P461" s="43"/>
      <c r="Q461" s="43"/>
      <c r="R461" s="43"/>
      <c r="S461" s="43"/>
      <c r="T461" s="43"/>
      <c r="U461" s="43"/>
      <c r="V461" s="43"/>
      <c r="W461" s="43"/>
      <c r="X461" s="43"/>
      <c r="Y461" s="43"/>
      <c r="Z461" s="43"/>
    </row>
    <row r="462">
      <c r="A462" s="67"/>
      <c r="B462" s="67"/>
      <c r="C462" s="68"/>
      <c r="D462" s="70"/>
      <c r="E462" s="68"/>
      <c r="F462" s="20"/>
      <c r="G462" s="43"/>
      <c r="H462" s="43"/>
      <c r="I462" s="43"/>
      <c r="J462" s="63"/>
      <c r="K462" s="43"/>
      <c r="L462" s="43"/>
      <c r="M462" s="43"/>
      <c r="N462" s="43"/>
      <c r="O462" s="43"/>
      <c r="P462" s="43"/>
      <c r="Q462" s="43"/>
      <c r="R462" s="43"/>
      <c r="S462" s="43"/>
      <c r="T462" s="43"/>
      <c r="U462" s="43"/>
      <c r="V462" s="43"/>
      <c r="W462" s="43"/>
      <c r="X462" s="43"/>
      <c r="Y462" s="43"/>
      <c r="Z462" s="43"/>
    </row>
    <row r="463">
      <c r="A463" s="67"/>
      <c r="B463" s="67"/>
      <c r="C463" s="68"/>
      <c r="D463" s="70"/>
      <c r="E463" s="68"/>
      <c r="F463" s="20"/>
      <c r="G463" s="43"/>
      <c r="H463" s="43"/>
      <c r="I463" s="43"/>
      <c r="J463" s="63"/>
      <c r="K463" s="43"/>
      <c r="L463" s="43"/>
      <c r="M463" s="43"/>
      <c r="N463" s="43"/>
      <c r="O463" s="43"/>
      <c r="P463" s="43"/>
      <c r="Q463" s="43"/>
      <c r="R463" s="43"/>
      <c r="S463" s="43"/>
      <c r="T463" s="43"/>
      <c r="U463" s="43"/>
      <c r="V463" s="43"/>
      <c r="W463" s="43"/>
      <c r="X463" s="43"/>
      <c r="Y463" s="43"/>
      <c r="Z463" s="43"/>
    </row>
    <row r="464">
      <c r="A464" s="67"/>
      <c r="B464" s="67"/>
      <c r="C464" s="68"/>
      <c r="D464" s="70"/>
      <c r="E464" s="68"/>
      <c r="F464" s="20"/>
      <c r="G464" s="43"/>
      <c r="H464" s="43"/>
      <c r="I464" s="43"/>
      <c r="J464" s="63"/>
      <c r="K464" s="43"/>
      <c r="L464" s="43"/>
      <c r="M464" s="43"/>
      <c r="N464" s="43"/>
      <c r="O464" s="43"/>
      <c r="P464" s="43"/>
      <c r="Q464" s="43"/>
      <c r="R464" s="43"/>
      <c r="S464" s="43"/>
      <c r="T464" s="43"/>
      <c r="U464" s="43"/>
      <c r="V464" s="43"/>
      <c r="W464" s="43"/>
      <c r="X464" s="43"/>
      <c r="Y464" s="43"/>
      <c r="Z464" s="43"/>
    </row>
    <row r="465">
      <c r="A465" s="67"/>
      <c r="B465" s="67"/>
      <c r="C465" s="68"/>
      <c r="D465" s="70"/>
      <c r="E465" s="68"/>
      <c r="F465" s="20"/>
      <c r="G465" s="43"/>
      <c r="H465" s="43"/>
      <c r="I465" s="43"/>
      <c r="J465" s="63"/>
      <c r="K465" s="43"/>
      <c r="L465" s="43"/>
      <c r="M465" s="43"/>
      <c r="N465" s="43"/>
      <c r="O465" s="43"/>
      <c r="P465" s="43"/>
      <c r="Q465" s="43"/>
      <c r="R465" s="43"/>
      <c r="S465" s="43"/>
      <c r="T465" s="43"/>
      <c r="U465" s="43"/>
      <c r="V465" s="43"/>
      <c r="W465" s="43"/>
      <c r="X465" s="43"/>
      <c r="Y465" s="43"/>
      <c r="Z465" s="43"/>
    </row>
    <row r="466">
      <c r="A466" s="67"/>
      <c r="B466" s="67"/>
      <c r="C466" s="68"/>
      <c r="D466" s="70"/>
      <c r="E466" s="68"/>
      <c r="F466" s="20"/>
      <c r="G466" s="43"/>
      <c r="H466" s="43"/>
      <c r="I466" s="43"/>
      <c r="J466" s="63"/>
      <c r="K466" s="43"/>
      <c r="L466" s="43"/>
      <c r="M466" s="43"/>
      <c r="N466" s="43"/>
      <c r="O466" s="43"/>
      <c r="P466" s="43"/>
      <c r="Q466" s="43"/>
      <c r="R466" s="43"/>
      <c r="S466" s="43"/>
      <c r="T466" s="43"/>
      <c r="U466" s="43"/>
      <c r="V466" s="43"/>
      <c r="W466" s="43"/>
      <c r="X466" s="43"/>
      <c r="Y466" s="43"/>
      <c r="Z466" s="43"/>
    </row>
    <row r="467">
      <c r="A467" s="67"/>
      <c r="B467" s="67"/>
      <c r="C467" s="68"/>
      <c r="D467" s="70"/>
      <c r="E467" s="68"/>
      <c r="F467" s="20"/>
      <c r="G467" s="43"/>
      <c r="H467" s="43"/>
      <c r="I467" s="43"/>
      <c r="J467" s="63"/>
      <c r="K467" s="43"/>
      <c r="L467" s="43"/>
      <c r="M467" s="43"/>
      <c r="N467" s="43"/>
      <c r="O467" s="43"/>
      <c r="P467" s="43"/>
      <c r="Q467" s="43"/>
      <c r="R467" s="43"/>
      <c r="S467" s="43"/>
      <c r="T467" s="43"/>
      <c r="U467" s="43"/>
      <c r="V467" s="43"/>
      <c r="W467" s="43"/>
      <c r="X467" s="43"/>
      <c r="Y467" s="43"/>
      <c r="Z467" s="43"/>
    </row>
    <row r="468">
      <c r="A468" s="67"/>
      <c r="B468" s="67"/>
      <c r="C468" s="68"/>
      <c r="D468" s="70"/>
      <c r="E468" s="68"/>
      <c r="F468" s="20"/>
      <c r="G468" s="43"/>
      <c r="H468" s="43"/>
      <c r="I468" s="43"/>
      <c r="J468" s="63"/>
      <c r="K468" s="43"/>
      <c r="L468" s="43"/>
      <c r="M468" s="43"/>
      <c r="N468" s="43"/>
      <c r="O468" s="43"/>
      <c r="P468" s="43"/>
      <c r="Q468" s="43"/>
      <c r="R468" s="43"/>
      <c r="S468" s="43"/>
      <c r="T468" s="43"/>
      <c r="U468" s="43"/>
      <c r="V468" s="43"/>
      <c r="W468" s="43"/>
      <c r="X468" s="43"/>
      <c r="Y468" s="43"/>
      <c r="Z468" s="43"/>
    </row>
    <row r="469">
      <c r="A469" s="67"/>
      <c r="B469" s="67"/>
      <c r="C469" s="68"/>
      <c r="D469" s="70"/>
      <c r="E469" s="68"/>
      <c r="F469" s="20"/>
      <c r="G469" s="43"/>
      <c r="H469" s="43"/>
      <c r="I469" s="43"/>
      <c r="J469" s="63"/>
      <c r="K469" s="43"/>
      <c r="L469" s="43"/>
      <c r="M469" s="43"/>
      <c r="N469" s="43"/>
      <c r="O469" s="43"/>
      <c r="P469" s="43"/>
      <c r="Q469" s="43"/>
      <c r="R469" s="43"/>
      <c r="S469" s="43"/>
      <c r="T469" s="43"/>
      <c r="U469" s="43"/>
      <c r="V469" s="43"/>
      <c r="W469" s="43"/>
      <c r="X469" s="43"/>
      <c r="Y469" s="43"/>
      <c r="Z469" s="43"/>
    </row>
    <row r="470">
      <c r="A470" s="67"/>
      <c r="B470" s="67"/>
      <c r="C470" s="68"/>
      <c r="D470" s="70"/>
      <c r="E470" s="68"/>
      <c r="F470" s="20"/>
      <c r="G470" s="43"/>
      <c r="H470" s="43"/>
      <c r="I470" s="43"/>
      <c r="J470" s="63"/>
      <c r="K470" s="43"/>
      <c r="L470" s="43"/>
      <c r="M470" s="43"/>
      <c r="N470" s="43"/>
      <c r="O470" s="43"/>
      <c r="P470" s="43"/>
      <c r="Q470" s="43"/>
      <c r="R470" s="43"/>
      <c r="S470" s="43"/>
      <c r="T470" s="43"/>
      <c r="U470" s="43"/>
      <c r="V470" s="43"/>
      <c r="W470" s="43"/>
      <c r="X470" s="43"/>
      <c r="Y470" s="43"/>
      <c r="Z470" s="43"/>
    </row>
    <row r="471">
      <c r="A471" s="67"/>
      <c r="B471" s="67"/>
      <c r="C471" s="68"/>
      <c r="D471" s="70"/>
      <c r="E471" s="68"/>
      <c r="F471" s="20"/>
      <c r="G471" s="43"/>
      <c r="H471" s="43"/>
      <c r="I471" s="43"/>
      <c r="J471" s="63"/>
      <c r="K471" s="43"/>
      <c r="L471" s="43"/>
      <c r="M471" s="43"/>
      <c r="N471" s="43"/>
      <c r="O471" s="43"/>
      <c r="P471" s="43"/>
      <c r="Q471" s="43"/>
      <c r="R471" s="43"/>
      <c r="S471" s="43"/>
      <c r="T471" s="43"/>
      <c r="U471" s="43"/>
      <c r="V471" s="43"/>
      <c r="W471" s="43"/>
      <c r="X471" s="43"/>
      <c r="Y471" s="43"/>
      <c r="Z471" s="43"/>
    </row>
    <row r="472">
      <c r="A472" s="67"/>
      <c r="B472" s="67"/>
      <c r="C472" s="68"/>
      <c r="D472" s="70"/>
      <c r="E472" s="68"/>
      <c r="F472" s="20"/>
      <c r="G472" s="43"/>
      <c r="H472" s="43"/>
      <c r="I472" s="43"/>
      <c r="J472" s="63"/>
      <c r="K472" s="43"/>
      <c r="L472" s="43"/>
      <c r="M472" s="43"/>
      <c r="N472" s="43"/>
      <c r="O472" s="43"/>
      <c r="P472" s="43"/>
      <c r="Q472" s="43"/>
      <c r="R472" s="43"/>
      <c r="S472" s="43"/>
      <c r="T472" s="43"/>
      <c r="U472" s="43"/>
      <c r="V472" s="43"/>
      <c r="W472" s="43"/>
      <c r="X472" s="43"/>
      <c r="Y472" s="43"/>
      <c r="Z472" s="43"/>
    </row>
    <row r="473">
      <c r="A473" s="67"/>
      <c r="B473" s="67"/>
      <c r="C473" s="68"/>
      <c r="D473" s="70"/>
      <c r="E473" s="68"/>
      <c r="F473" s="20"/>
      <c r="G473" s="43"/>
      <c r="H473" s="43"/>
      <c r="I473" s="43"/>
      <c r="J473" s="63"/>
      <c r="K473" s="43"/>
      <c r="L473" s="43"/>
      <c r="M473" s="43"/>
      <c r="N473" s="43"/>
      <c r="O473" s="43"/>
      <c r="P473" s="43"/>
      <c r="Q473" s="43"/>
      <c r="R473" s="43"/>
      <c r="S473" s="43"/>
      <c r="T473" s="43"/>
      <c r="U473" s="43"/>
      <c r="V473" s="43"/>
      <c r="W473" s="43"/>
      <c r="X473" s="43"/>
      <c r="Y473" s="43"/>
      <c r="Z473" s="43"/>
    </row>
    <row r="474">
      <c r="A474" s="67"/>
      <c r="B474" s="67"/>
      <c r="C474" s="68"/>
      <c r="D474" s="70"/>
      <c r="E474" s="68"/>
      <c r="F474" s="20"/>
      <c r="G474" s="43"/>
      <c r="H474" s="43"/>
      <c r="I474" s="43"/>
      <c r="J474" s="63"/>
      <c r="K474" s="43"/>
      <c r="L474" s="43"/>
      <c r="M474" s="43"/>
      <c r="N474" s="43"/>
      <c r="O474" s="43"/>
      <c r="P474" s="43"/>
      <c r="Q474" s="43"/>
      <c r="R474" s="43"/>
      <c r="S474" s="43"/>
      <c r="T474" s="43"/>
      <c r="U474" s="43"/>
      <c r="V474" s="43"/>
      <c r="W474" s="43"/>
      <c r="X474" s="43"/>
      <c r="Y474" s="43"/>
      <c r="Z474" s="43"/>
    </row>
    <row r="475">
      <c r="A475" s="67"/>
      <c r="B475" s="67"/>
      <c r="C475" s="68"/>
      <c r="D475" s="70"/>
      <c r="E475" s="68"/>
      <c r="F475" s="20"/>
      <c r="G475" s="43"/>
      <c r="H475" s="43"/>
      <c r="I475" s="43"/>
      <c r="J475" s="63"/>
      <c r="K475" s="43"/>
      <c r="L475" s="43"/>
      <c r="M475" s="43"/>
      <c r="N475" s="43"/>
      <c r="O475" s="43"/>
      <c r="P475" s="43"/>
      <c r="Q475" s="43"/>
      <c r="R475" s="43"/>
      <c r="S475" s="43"/>
      <c r="T475" s="43"/>
      <c r="U475" s="43"/>
      <c r="V475" s="43"/>
      <c r="W475" s="43"/>
      <c r="X475" s="43"/>
      <c r="Y475" s="43"/>
      <c r="Z475" s="43"/>
    </row>
    <row r="476">
      <c r="A476" s="67"/>
      <c r="B476" s="67"/>
      <c r="C476" s="68"/>
      <c r="D476" s="70"/>
      <c r="E476" s="68"/>
      <c r="F476" s="20"/>
      <c r="G476" s="43"/>
      <c r="H476" s="43"/>
      <c r="I476" s="43"/>
      <c r="J476" s="63"/>
      <c r="K476" s="43"/>
      <c r="L476" s="43"/>
      <c r="M476" s="43"/>
      <c r="N476" s="43"/>
      <c r="O476" s="43"/>
      <c r="P476" s="43"/>
      <c r="Q476" s="43"/>
      <c r="R476" s="43"/>
      <c r="S476" s="43"/>
      <c r="T476" s="43"/>
      <c r="U476" s="43"/>
      <c r="V476" s="43"/>
      <c r="W476" s="43"/>
      <c r="X476" s="43"/>
      <c r="Y476" s="43"/>
      <c r="Z476" s="43"/>
    </row>
    <row r="477">
      <c r="A477" s="67"/>
      <c r="B477" s="67"/>
      <c r="C477" s="68"/>
      <c r="D477" s="70"/>
      <c r="E477" s="68"/>
      <c r="F477" s="20"/>
      <c r="G477" s="43"/>
      <c r="H477" s="43"/>
      <c r="I477" s="43"/>
      <c r="J477" s="63"/>
      <c r="K477" s="43"/>
      <c r="L477" s="43"/>
      <c r="M477" s="43"/>
      <c r="N477" s="43"/>
      <c r="O477" s="43"/>
      <c r="P477" s="43"/>
      <c r="Q477" s="43"/>
      <c r="R477" s="43"/>
      <c r="S477" s="43"/>
      <c r="T477" s="43"/>
      <c r="U477" s="43"/>
      <c r="V477" s="43"/>
      <c r="W477" s="43"/>
      <c r="X477" s="43"/>
      <c r="Y477" s="43"/>
      <c r="Z477" s="43"/>
    </row>
    <row r="478">
      <c r="A478" s="67"/>
      <c r="B478" s="67"/>
      <c r="C478" s="68"/>
      <c r="D478" s="70"/>
      <c r="E478" s="68"/>
      <c r="F478" s="20"/>
      <c r="G478" s="43"/>
      <c r="H478" s="43"/>
      <c r="I478" s="43"/>
      <c r="J478" s="63"/>
      <c r="K478" s="43"/>
      <c r="L478" s="43"/>
      <c r="M478" s="43"/>
      <c r="N478" s="43"/>
      <c r="O478" s="43"/>
      <c r="P478" s="43"/>
      <c r="Q478" s="43"/>
      <c r="R478" s="43"/>
      <c r="S478" s="43"/>
      <c r="T478" s="43"/>
      <c r="U478" s="43"/>
      <c r="V478" s="43"/>
      <c r="W478" s="43"/>
      <c r="X478" s="43"/>
      <c r="Y478" s="43"/>
      <c r="Z478" s="43"/>
    </row>
    <row r="479">
      <c r="A479" s="67"/>
      <c r="B479" s="67"/>
      <c r="C479" s="68"/>
      <c r="D479" s="70"/>
      <c r="E479" s="68"/>
      <c r="F479" s="20"/>
      <c r="G479" s="43"/>
      <c r="H479" s="43"/>
      <c r="I479" s="43"/>
      <c r="J479" s="63"/>
      <c r="K479" s="43"/>
      <c r="L479" s="43"/>
      <c r="M479" s="43"/>
      <c r="N479" s="43"/>
      <c r="O479" s="43"/>
      <c r="P479" s="43"/>
      <c r="Q479" s="43"/>
      <c r="R479" s="43"/>
      <c r="S479" s="43"/>
      <c r="T479" s="43"/>
      <c r="U479" s="43"/>
      <c r="V479" s="43"/>
      <c r="W479" s="43"/>
      <c r="X479" s="43"/>
      <c r="Y479" s="43"/>
      <c r="Z479" s="43"/>
    </row>
    <row r="480">
      <c r="A480" s="67"/>
      <c r="B480" s="67"/>
      <c r="C480" s="68"/>
      <c r="D480" s="70"/>
      <c r="E480" s="68"/>
      <c r="F480" s="20"/>
      <c r="G480" s="43"/>
      <c r="H480" s="43"/>
      <c r="I480" s="43"/>
      <c r="J480" s="63"/>
      <c r="K480" s="43"/>
      <c r="L480" s="43"/>
      <c r="M480" s="43"/>
      <c r="N480" s="43"/>
      <c r="O480" s="43"/>
      <c r="P480" s="43"/>
      <c r="Q480" s="43"/>
      <c r="R480" s="43"/>
      <c r="S480" s="43"/>
      <c r="T480" s="43"/>
      <c r="U480" s="43"/>
      <c r="V480" s="43"/>
      <c r="W480" s="43"/>
      <c r="X480" s="43"/>
      <c r="Y480" s="43"/>
      <c r="Z480" s="43"/>
    </row>
    <row r="481">
      <c r="A481" s="67"/>
      <c r="B481" s="67"/>
      <c r="C481" s="68"/>
      <c r="D481" s="70"/>
      <c r="E481" s="68"/>
      <c r="F481" s="20"/>
      <c r="G481" s="43"/>
      <c r="H481" s="43"/>
      <c r="I481" s="43"/>
      <c r="J481" s="63"/>
      <c r="K481" s="43"/>
      <c r="L481" s="43"/>
      <c r="M481" s="43"/>
      <c r="N481" s="43"/>
      <c r="O481" s="43"/>
      <c r="P481" s="43"/>
      <c r="Q481" s="43"/>
      <c r="R481" s="43"/>
      <c r="S481" s="43"/>
      <c r="T481" s="43"/>
      <c r="U481" s="43"/>
      <c r="V481" s="43"/>
      <c r="W481" s="43"/>
      <c r="X481" s="43"/>
      <c r="Y481" s="43"/>
      <c r="Z481" s="43"/>
    </row>
    <row r="482">
      <c r="A482" s="67"/>
      <c r="B482" s="67"/>
      <c r="C482" s="68"/>
      <c r="D482" s="70"/>
      <c r="E482" s="68"/>
      <c r="F482" s="20"/>
      <c r="G482" s="43"/>
      <c r="H482" s="43"/>
      <c r="I482" s="43"/>
      <c r="J482" s="63"/>
      <c r="K482" s="43"/>
      <c r="L482" s="43"/>
      <c r="M482" s="43"/>
      <c r="N482" s="43"/>
      <c r="O482" s="43"/>
      <c r="P482" s="43"/>
      <c r="Q482" s="43"/>
      <c r="R482" s="43"/>
      <c r="S482" s="43"/>
      <c r="T482" s="43"/>
      <c r="U482" s="43"/>
      <c r="V482" s="43"/>
      <c r="W482" s="43"/>
      <c r="X482" s="43"/>
      <c r="Y482" s="43"/>
      <c r="Z482" s="43"/>
    </row>
    <row r="483">
      <c r="A483" s="67"/>
      <c r="B483" s="67"/>
      <c r="C483" s="68"/>
      <c r="D483" s="70"/>
      <c r="E483" s="68"/>
      <c r="F483" s="20"/>
      <c r="G483" s="43"/>
      <c r="H483" s="43"/>
      <c r="I483" s="43"/>
      <c r="J483" s="63"/>
      <c r="K483" s="43"/>
      <c r="L483" s="43"/>
      <c r="M483" s="43"/>
      <c r="N483" s="43"/>
      <c r="O483" s="43"/>
      <c r="P483" s="43"/>
      <c r="Q483" s="43"/>
      <c r="R483" s="43"/>
      <c r="S483" s="43"/>
      <c r="T483" s="43"/>
      <c r="U483" s="43"/>
      <c r="V483" s="43"/>
      <c r="W483" s="43"/>
      <c r="X483" s="43"/>
      <c r="Y483" s="43"/>
      <c r="Z483" s="43"/>
    </row>
    <row r="484">
      <c r="A484" s="67"/>
      <c r="B484" s="67"/>
      <c r="C484" s="68"/>
      <c r="D484" s="70"/>
      <c r="E484" s="68"/>
      <c r="F484" s="20"/>
      <c r="G484" s="43"/>
      <c r="H484" s="43"/>
      <c r="I484" s="43"/>
      <c r="J484" s="63"/>
      <c r="K484" s="43"/>
      <c r="L484" s="43"/>
      <c r="M484" s="43"/>
      <c r="N484" s="43"/>
      <c r="O484" s="43"/>
      <c r="P484" s="43"/>
      <c r="Q484" s="43"/>
      <c r="R484" s="43"/>
      <c r="S484" s="43"/>
      <c r="T484" s="43"/>
      <c r="U484" s="43"/>
      <c r="V484" s="43"/>
      <c r="W484" s="43"/>
      <c r="X484" s="43"/>
      <c r="Y484" s="43"/>
      <c r="Z484" s="43"/>
    </row>
    <row r="485">
      <c r="A485" s="67"/>
      <c r="B485" s="67"/>
      <c r="C485" s="68"/>
      <c r="D485" s="70"/>
      <c r="E485" s="68"/>
      <c r="F485" s="20"/>
      <c r="G485" s="43"/>
      <c r="H485" s="43"/>
      <c r="I485" s="43"/>
      <c r="J485" s="63"/>
      <c r="K485" s="43"/>
      <c r="L485" s="43"/>
      <c r="M485" s="43"/>
      <c r="N485" s="43"/>
      <c r="O485" s="43"/>
      <c r="P485" s="43"/>
      <c r="Q485" s="43"/>
      <c r="R485" s="43"/>
      <c r="S485" s="43"/>
      <c r="T485" s="43"/>
      <c r="U485" s="43"/>
      <c r="V485" s="43"/>
      <c r="W485" s="43"/>
      <c r="X485" s="43"/>
      <c r="Y485" s="43"/>
      <c r="Z485" s="43"/>
    </row>
    <row r="486">
      <c r="A486" s="67"/>
      <c r="B486" s="67"/>
      <c r="C486" s="68"/>
      <c r="D486" s="70"/>
      <c r="E486" s="68"/>
      <c r="F486" s="20"/>
      <c r="G486" s="43"/>
      <c r="H486" s="43"/>
      <c r="I486" s="43"/>
      <c r="J486" s="63"/>
      <c r="K486" s="43"/>
      <c r="L486" s="43"/>
      <c r="M486" s="43"/>
      <c r="N486" s="43"/>
      <c r="O486" s="43"/>
      <c r="P486" s="43"/>
      <c r="Q486" s="43"/>
      <c r="R486" s="43"/>
      <c r="S486" s="43"/>
      <c r="T486" s="43"/>
      <c r="U486" s="43"/>
      <c r="V486" s="43"/>
      <c r="W486" s="43"/>
      <c r="X486" s="43"/>
      <c r="Y486" s="43"/>
      <c r="Z486" s="43"/>
    </row>
    <row r="487">
      <c r="A487" s="67"/>
      <c r="B487" s="67"/>
      <c r="C487" s="68"/>
      <c r="D487" s="70"/>
      <c r="E487" s="68"/>
      <c r="F487" s="20"/>
      <c r="G487" s="43"/>
      <c r="H487" s="43"/>
      <c r="I487" s="43"/>
      <c r="J487" s="63"/>
      <c r="K487" s="43"/>
      <c r="L487" s="43"/>
      <c r="M487" s="43"/>
      <c r="N487" s="43"/>
      <c r="O487" s="43"/>
      <c r="P487" s="43"/>
      <c r="Q487" s="43"/>
      <c r="R487" s="43"/>
      <c r="S487" s="43"/>
      <c r="T487" s="43"/>
      <c r="U487" s="43"/>
      <c r="V487" s="43"/>
      <c r="W487" s="43"/>
      <c r="X487" s="43"/>
      <c r="Y487" s="43"/>
      <c r="Z487" s="43"/>
    </row>
    <row r="488">
      <c r="A488" s="67"/>
      <c r="B488" s="67"/>
      <c r="C488" s="68"/>
      <c r="D488" s="70"/>
      <c r="E488" s="68"/>
      <c r="F488" s="20"/>
      <c r="G488" s="43"/>
      <c r="H488" s="43"/>
      <c r="I488" s="43"/>
      <c r="J488" s="63"/>
      <c r="K488" s="43"/>
      <c r="L488" s="43"/>
      <c r="M488" s="43"/>
      <c r="N488" s="43"/>
      <c r="O488" s="43"/>
      <c r="P488" s="43"/>
      <c r="Q488" s="43"/>
      <c r="R488" s="43"/>
      <c r="S488" s="43"/>
      <c r="T488" s="43"/>
      <c r="U488" s="43"/>
      <c r="V488" s="43"/>
      <c r="W488" s="43"/>
      <c r="X488" s="43"/>
      <c r="Y488" s="43"/>
      <c r="Z488" s="43"/>
    </row>
    <row r="489">
      <c r="A489" s="67"/>
      <c r="B489" s="67"/>
      <c r="C489" s="68"/>
      <c r="D489" s="70"/>
      <c r="E489" s="68"/>
      <c r="F489" s="20"/>
      <c r="G489" s="43"/>
      <c r="H489" s="43"/>
      <c r="I489" s="43"/>
      <c r="J489" s="63"/>
      <c r="K489" s="43"/>
      <c r="L489" s="43"/>
      <c r="M489" s="43"/>
      <c r="N489" s="43"/>
      <c r="O489" s="43"/>
      <c r="P489" s="43"/>
      <c r="Q489" s="43"/>
      <c r="R489" s="43"/>
      <c r="S489" s="43"/>
      <c r="T489" s="43"/>
      <c r="U489" s="43"/>
      <c r="V489" s="43"/>
      <c r="W489" s="43"/>
      <c r="X489" s="43"/>
      <c r="Y489" s="43"/>
      <c r="Z489" s="43"/>
    </row>
    <row r="490">
      <c r="A490" s="67"/>
      <c r="B490" s="67"/>
      <c r="C490" s="68"/>
      <c r="D490" s="70"/>
      <c r="E490" s="68"/>
      <c r="F490" s="20"/>
      <c r="G490" s="43"/>
      <c r="H490" s="43"/>
      <c r="I490" s="43"/>
      <c r="J490" s="63"/>
      <c r="K490" s="43"/>
      <c r="L490" s="43"/>
      <c r="M490" s="43"/>
      <c r="N490" s="43"/>
      <c r="O490" s="43"/>
      <c r="P490" s="43"/>
      <c r="Q490" s="43"/>
      <c r="R490" s="43"/>
      <c r="S490" s="43"/>
      <c r="T490" s="43"/>
      <c r="U490" s="43"/>
      <c r="V490" s="43"/>
      <c r="W490" s="43"/>
      <c r="X490" s="43"/>
      <c r="Y490" s="43"/>
      <c r="Z490" s="43"/>
    </row>
    <row r="491">
      <c r="A491" s="67"/>
      <c r="B491" s="67"/>
      <c r="C491" s="68"/>
      <c r="D491" s="70"/>
      <c r="E491" s="68"/>
      <c r="F491" s="20"/>
      <c r="G491" s="43"/>
      <c r="H491" s="43"/>
      <c r="I491" s="43"/>
      <c r="J491" s="63"/>
      <c r="K491" s="43"/>
      <c r="L491" s="43"/>
      <c r="M491" s="43"/>
      <c r="N491" s="43"/>
      <c r="O491" s="43"/>
      <c r="P491" s="43"/>
      <c r="Q491" s="43"/>
      <c r="R491" s="43"/>
      <c r="S491" s="43"/>
      <c r="T491" s="43"/>
      <c r="U491" s="43"/>
      <c r="V491" s="43"/>
      <c r="W491" s="43"/>
      <c r="X491" s="43"/>
      <c r="Y491" s="43"/>
      <c r="Z491" s="43"/>
    </row>
    <row r="492">
      <c r="A492" s="67"/>
      <c r="B492" s="67"/>
      <c r="C492" s="68"/>
      <c r="D492" s="70"/>
      <c r="E492" s="68"/>
      <c r="F492" s="20"/>
      <c r="G492" s="43"/>
      <c r="H492" s="43"/>
      <c r="I492" s="43"/>
      <c r="J492" s="63"/>
      <c r="K492" s="43"/>
      <c r="L492" s="43"/>
      <c r="M492" s="43"/>
      <c r="N492" s="43"/>
      <c r="O492" s="43"/>
      <c r="P492" s="43"/>
      <c r="Q492" s="43"/>
      <c r="R492" s="43"/>
      <c r="S492" s="43"/>
      <c r="T492" s="43"/>
      <c r="U492" s="43"/>
      <c r="V492" s="43"/>
      <c r="W492" s="43"/>
      <c r="X492" s="43"/>
      <c r="Y492" s="43"/>
      <c r="Z492" s="43"/>
    </row>
    <row r="493">
      <c r="A493" s="67"/>
      <c r="B493" s="67"/>
      <c r="C493" s="68"/>
      <c r="D493" s="70"/>
      <c r="E493" s="68"/>
      <c r="F493" s="20"/>
      <c r="G493" s="43"/>
      <c r="H493" s="43"/>
      <c r="I493" s="43"/>
      <c r="J493" s="63"/>
      <c r="K493" s="43"/>
      <c r="L493" s="43"/>
      <c r="M493" s="43"/>
      <c r="N493" s="43"/>
      <c r="O493" s="43"/>
      <c r="P493" s="43"/>
      <c r="Q493" s="43"/>
      <c r="R493" s="43"/>
      <c r="S493" s="43"/>
      <c r="T493" s="43"/>
      <c r="U493" s="43"/>
      <c r="V493" s="43"/>
      <c r="W493" s="43"/>
      <c r="X493" s="43"/>
      <c r="Y493" s="43"/>
      <c r="Z493" s="43"/>
    </row>
    <row r="494">
      <c r="A494" s="67"/>
      <c r="B494" s="67"/>
      <c r="C494" s="68"/>
      <c r="D494" s="70"/>
      <c r="E494" s="68"/>
      <c r="F494" s="20"/>
      <c r="G494" s="43"/>
      <c r="H494" s="43"/>
      <c r="I494" s="43"/>
      <c r="J494" s="63"/>
      <c r="K494" s="43"/>
      <c r="L494" s="43"/>
      <c r="M494" s="43"/>
      <c r="N494" s="43"/>
      <c r="O494" s="43"/>
      <c r="P494" s="43"/>
      <c r="Q494" s="43"/>
      <c r="R494" s="43"/>
      <c r="S494" s="43"/>
      <c r="T494" s="43"/>
      <c r="U494" s="43"/>
      <c r="V494" s="43"/>
      <c r="W494" s="43"/>
      <c r="X494" s="43"/>
      <c r="Y494" s="43"/>
      <c r="Z494" s="43"/>
    </row>
    <row r="495">
      <c r="A495" s="67"/>
      <c r="B495" s="67"/>
      <c r="C495" s="68"/>
      <c r="D495" s="70"/>
      <c r="E495" s="68"/>
      <c r="F495" s="20"/>
      <c r="G495" s="43"/>
      <c r="H495" s="43"/>
      <c r="I495" s="43"/>
      <c r="J495" s="63"/>
      <c r="K495" s="43"/>
      <c r="L495" s="43"/>
      <c r="M495" s="43"/>
      <c r="N495" s="43"/>
      <c r="O495" s="43"/>
      <c r="P495" s="43"/>
      <c r="Q495" s="43"/>
      <c r="R495" s="43"/>
      <c r="S495" s="43"/>
      <c r="T495" s="43"/>
      <c r="U495" s="43"/>
      <c r="V495" s="43"/>
      <c r="W495" s="43"/>
      <c r="X495" s="43"/>
      <c r="Y495" s="43"/>
      <c r="Z495" s="43"/>
    </row>
    <row r="496">
      <c r="A496" s="67"/>
      <c r="B496" s="67"/>
      <c r="C496" s="68"/>
      <c r="D496" s="70"/>
      <c r="E496" s="68"/>
      <c r="F496" s="20"/>
      <c r="G496" s="43"/>
      <c r="H496" s="43"/>
      <c r="I496" s="43"/>
      <c r="J496" s="63"/>
      <c r="K496" s="43"/>
      <c r="L496" s="43"/>
      <c r="M496" s="43"/>
      <c r="N496" s="43"/>
      <c r="O496" s="43"/>
      <c r="P496" s="43"/>
      <c r="Q496" s="43"/>
      <c r="R496" s="43"/>
      <c r="S496" s="43"/>
      <c r="T496" s="43"/>
      <c r="U496" s="43"/>
      <c r="V496" s="43"/>
      <c r="W496" s="43"/>
      <c r="X496" s="43"/>
      <c r="Y496" s="43"/>
      <c r="Z496" s="43"/>
    </row>
    <row r="497">
      <c r="A497" s="67"/>
      <c r="B497" s="67"/>
      <c r="C497" s="68"/>
      <c r="D497" s="70"/>
      <c r="E497" s="68"/>
      <c r="F497" s="20"/>
      <c r="G497" s="43"/>
      <c r="H497" s="43"/>
      <c r="I497" s="43"/>
      <c r="J497" s="63"/>
      <c r="K497" s="43"/>
      <c r="L497" s="43"/>
      <c r="M497" s="43"/>
      <c r="N497" s="43"/>
      <c r="O497" s="43"/>
      <c r="P497" s="43"/>
      <c r="Q497" s="43"/>
      <c r="R497" s="43"/>
      <c r="S497" s="43"/>
      <c r="T497" s="43"/>
      <c r="U497" s="43"/>
      <c r="V497" s="43"/>
      <c r="W497" s="43"/>
      <c r="X497" s="43"/>
      <c r="Y497" s="43"/>
      <c r="Z497" s="43"/>
    </row>
    <row r="498">
      <c r="A498" s="67"/>
      <c r="B498" s="67"/>
      <c r="C498" s="68"/>
      <c r="D498" s="70"/>
      <c r="E498" s="68"/>
      <c r="F498" s="20"/>
      <c r="G498" s="43"/>
      <c r="H498" s="43"/>
      <c r="I498" s="43"/>
      <c r="J498" s="63"/>
      <c r="K498" s="43"/>
      <c r="L498" s="43"/>
      <c r="M498" s="43"/>
      <c r="N498" s="43"/>
      <c r="O498" s="43"/>
      <c r="P498" s="43"/>
      <c r="Q498" s="43"/>
      <c r="R498" s="43"/>
      <c r="S498" s="43"/>
      <c r="T498" s="43"/>
      <c r="U498" s="43"/>
      <c r="V498" s="43"/>
      <c r="W498" s="43"/>
      <c r="X498" s="43"/>
      <c r="Y498" s="43"/>
      <c r="Z498" s="43"/>
    </row>
    <row r="499">
      <c r="A499" s="67"/>
      <c r="B499" s="67"/>
      <c r="C499" s="68"/>
      <c r="D499" s="70"/>
      <c r="E499" s="68"/>
      <c r="F499" s="20"/>
      <c r="G499" s="43"/>
      <c r="H499" s="43"/>
      <c r="I499" s="43"/>
      <c r="J499" s="63"/>
      <c r="K499" s="43"/>
      <c r="L499" s="43"/>
      <c r="M499" s="43"/>
      <c r="N499" s="43"/>
      <c r="O499" s="43"/>
      <c r="P499" s="43"/>
      <c r="Q499" s="43"/>
      <c r="R499" s="43"/>
      <c r="S499" s="43"/>
      <c r="T499" s="43"/>
      <c r="U499" s="43"/>
      <c r="V499" s="43"/>
      <c r="W499" s="43"/>
      <c r="X499" s="43"/>
      <c r="Y499" s="43"/>
      <c r="Z499" s="43"/>
    </row>
    <row r="500">
      <c r="A500" s="67"/>
      <c r="B500" s="67"/>
      <c r="C500" s="68"/>
      <c r="D500" s="70"/>
      <c r="E500" s="68"/>
      <c r="F500" s="20"/>
      <c r="G500" s="43"/>
      <c r="H500" s="43"/>
      <c r="I500" s="43"/>
      <c r="J500" s="63"/>
      <c r="K500" s="43"/>
      <c r="L500" s="43"/>
      <c r="M500" s="43"/>
      <c r="N500" s="43"/>
      <c r="O500" s="43"/>
      <c r="P500" s="43"/>
      <c r="Q500" s="43"/>
      <c r="R500" s="43"/>
      <c r="S500" s="43"/>
      <c r="T500" s="43"/>
      <c r="U500" s="43"/>
      <c r="V500" s="43"/>
      <c r="W500" s="43"/>
      <c r="X500" s="43"/>
      <c r="Y500" s="43"/>
      <c r="Z500" s="43"/>
    </row>
    <row r="501">
      <c r="A501" s="67"/>
      <c r="B501" s="67"/>
      <c r="C501" s="68"/>
      <c r="D501" s="70"/>
      <c r="E501" s="68"/>
      <c r="F501" s="20"/>
      <c r="G501" s="43"/>
      <c r="H501" s="43"/>
      <c r="I501" s="43"/>
      <c r="J501" s="63"/>
      <c r="K501" s="43"/>
      <c r="L501" s="43"/>
      <c r="M501" s="43"/>
      <c r="N501" s="43"/>
      <c r="O501" s="43"/>
      <c r="P501" s="43"/>
      <c r="Q501" s="43"/>
      <c r="R501" s="43"/>
      <c r="S501" s="43"/>
      <c r="T501" s="43"/>
      <c r="U501" s="43"/>
      <c r="V501" s="43"/>
      <c r="W501" s="43"/>
      <c r="X501" s="43"/>
      <c r="Y501" s="43"/>
      <c r="Z501" s="43"/>
    </row>
    <row r="502">
      <c r="A502" s="67"/>
      <c r="B502" s="67"/>
      <c r="C502" s="68"/>
      <c r="D502" s="70"/>
      <c r="E502" s="68"/>
      <c r="F502" s="20"/>
      <c r="G502" s="43"/>
      <c r="H502" s="43"/>
      <c r="I502" s="43"/>
      <c r="J502" s="63"/>
      <c r="K502" s="43"/>
      <c r="L502" s="43"/>
      <c r="M502" s="43"/>
      <c r="N502" s="43"/>
      <c r="O502" s="43"/>
      <c r="P502" s="43"/>
      <c r="Q502" s="43"/>
      <c r="R502" s="43"/>
      <c r="S502" s="43"/>
      <c r="T502" s="43"/>
      <c r="U502" s="43"/>
      <c r="V502" s="43"/>
      <c r="W502" s="43"/>
      <c r="X502" s="43"/>
      <c r="Y502" s="43"/>
      <c r="Z502" s="43"/>
    </row>
    <row r="503">
      <c r="A503" s="67"/>
      <c r="B503" s="67"/>
      <c r="C503" s="68"/>
      <c r="D503" s="70"/>
      <c r="E503" s="68"/>
      <c r="F503" s="20"/>
      <c r="G503" s="43"/>
      <c r="H503" s="43"/>
      <c r="I503" s="43"/>
      <c r="J503" s="63"/>
      <c r="K503" s="43"/>
      <c r="L503" s="43"/>
      <c r="M503" s="43"/>
      <c r="N503" s="43"/>
      <c r="O503" s="43"/>
      <c r="P503" s="43"/>
      <c r="Q503" s="43"/>
      <c r="R503" s="43"/>
      <c r="S503" s="43"/>
      <c r="T503" s="43"/>
      <c r="U503" s="43"/>
      <c r="V503" s="43"/>
      <c r="W503" s="43"/>
      <c r="X503" s="43"/>
      <c r="Y503" s="43"/>
      <c r="Z503" s="43"/>
    </row>
    <row r="504">
      <c r="A504" s="67"/>
      <c r="B504" s="67"/>
      <c r="C504" s="68"/>
      <c r="D504" s="70"/>
      <c r="E504" s="68"/>
      <c r="F504" s="20"/>
      <c r="G504" s="43"/>
      <c r="H504" s="43"/>
      <c r="I504" s="43"/>
      <c r="J504" s="63"/>
      <c r="K504" s="43"/>
      <c r="L504" s="43"/>
      <c r="M504" s="43"/>
      <c r="N504" s="43"/>
      <c r="O504" s="43"/>
      <c r="P504" s="43"/>
      <c r="Q504" s="43"/>
      <c r="R504" s="43"/>
      <c r="S504" s="43"/>
      <c r="T504" s="43"/>
      <c r="U504" s="43"/>
      <c r="V504" s="43"/>
      <c r="W504" s="43"/>
      <c r="X504" s="43"/>
      <c r="Y504" s="43"/>
      <c r="Z504" s="43"/>
    </row>
    <row r="505">
      <c r="A505" s="67"/>
      <c r="B505" s="67"/>
      <c r="C505" s="68"/>
      <c r="D505" s="70"/>
      <c r="E505" s="68"/>
      <c r="F505" s="20"/>
      <c r="G505" s="43"/>
      <c r="H505" s="43"/>
      <c r="I505" s="43"/>
      <c r="J505" s="63"/>
      <c r="K505" s="43"/>
      <c r="L505" s="43"/>
      <c r="M505" s="43"/>
      <c r="N505" s="43"/>
      <c r="O505" s="43"/>
      <c r="P505" s="43"/>
      <c r="Q505" s="43"/>
      <c r="R505" s="43"/>
      <c r="S505" s="43"/>
      <c r="T505" s="43"/>
      <c r="U505" s="43"/>
      <c r="V505" s="43"/>
      <c r="W505" s="43"/>
      <c r="X505" s="43"/>
      <c r="Y505" s="43"/>
      <c r="Z505" s="43"/>
    </row>
    <row r="506">
      <c r="A506" s="67"/>
      <c r="B506" s="67"/>
      <c r="C506" s="68"/>
      <c r="D506" s="70"/>
      <c r="E506" s="68"/>
      <c r="F506" s="20"/>
      <c r="G506" s="43"/>
      <c r="H506" s="43"/>
      <c r="I506" s="43"/>
      <c r="J506" s="63"/>
      <c r="K506" s="43"/>
      <c r="L506" s="43"/>
      <c r="M506" s="43"/>
      <c r="N506" s="43"/>
      <c r="O506" s="43"/>
      <c r="P506" s="43"/>
      <c r="Q506" s="43"/>
      <c r="R506" s="43"/>
      <c r="S506" s="43"/>
      <c r="T506" s="43"/>
      <c r="U506" s="43"/>
      <c r="V506" s="43"/>
      <c r="W506" s="43"/>
      <c r="X506" s="43"/>
      <c r="Y506" s="43"/>
      <c r="Z506" s="43"/>
    </row>
    <row r="507">
      <c r="A507" s="67"/>
      <c r="B507" s="67"/>
      <c r="C507" s="68"/>
      <c r="D507" s="70"/>
      <c r="E507" s="68"/>
      <c r="F507" s="20"/>
      <c r="G507" s="43"/>
      <c r="H507" s="43"/>
      <c r="I507" s="43"/>
      <c r="J507" s="63"/>
      <c r="K507" s="43"/>
      <c r="L507" s="43"/>
      <c r="M507" s="43"/>
      <c r="N507" s="43"/>
      <c r="O507" s="43"/>
      <c r="P507" s="43"/>
      <c r="Q507" s="43"/>
      <c r="R507" s="43"/>
      <c r="S507" s="43"/>
      <c r="T507" s="43"/>
      <c r="U507" s="43"/>
      <c r="V507" s="43"/>
      <c r="W507" s="43"/>
      <c r="X507" s="43"/>
      <c r="Y507" s="43"/>
      <c r="Z507" s="43"/>
    </row>
    <row r="508">
      <c r="A508" s="67"/>
      <c r="B508" s="67"/>
      <c r="C508" s="68"/>
      <c r="D508" s="70"/>
      <c r="E508" s="68"/>
      <c r="F508" s="20"/>
      <c r="G508" s="43"/>
      <c r="H508" s="43"/>
      <c r="I508" s="43"/>
      <c r="J508" s="63"/>
      <c r="K508" s="43"/>
      <c r="L508" s="43"/>
      <c r="M508" s="43"/>
      <c r="N508" s="43"/>
      <c r="O508" s="43"/>
      <c r="P508" s="43"/>
      <c r="Q508" s="43"/>
      <c r="R508" s="43"/>
      <c r="S508" s="43"/>
      <c r="T508" s="43"/>
      <c r="U508" s="43"/>
      <c r="V508" s="43"/>
      <c r="W508" s="43"/>
      <c r="X508" s="43"/>
      <c r="Y508" s="43"/>
      <c r="Z508" s="43"/>
    </row>
    <row r="509">
      <c r="A509" s="67"/>
      <c r="B509" s="67"/>
      <c r="C509" s="68"/>
      <c r="D509" s="70"/>
      <c r="E509" s="68"/>
      <c r="F509" s="20"/>
      <c r="G509" s="43"/>
      <c r="H509" s="43"/>
      <c r="I509" s="43"/>
      <c r="J509" s="63"/>
      <c r="K509" s="43"/>
      <c r="L509" s="43"/>
      <c r="M509" s="43"/>
      <c r="N509" s="43"/>
      <c r="O509" s="43"/>
      <c r="P509" s="43"/>
      <c r="Q509" s="43"/>
      <c r="R509" s="43"/>
      <c r="S509" s="43"/>
      <c r="T509" s="43"/>
      <c r="U509" s="43"/>
      <c r="V509" s="43"/>
      <c r="W509" s="43"/>
      <c r="X509" s="43"/>
      <c r="Y509" s="43"/>
      <c r="Z509" s="43"/>
    </row>
    <row r="510">
      <c r="A510" s="67"/>
      <c r="B510" s="67"/>
      <c r="C510" s="68"/>
      <c r="D510" s="70"/>
      <c r="E510" s="68"/>
      <c r="F510" s="20"/>
      <c r="G510" s="43"/>
      <c r="H510" s="43"/>
      <c r="I510" s="43"/>
      <c r="J510" s="63"/>
      <c r="K510" s="43"/>
      <c r="L510" s="43"/>
      <c r="M510" s="43"/>
      <c r="N510" s="43"/>
      <c r="O510" s="43"/>
      <c r="P510" s="43"/>
      <c r="Q510" s="43"/>
      <c r="R510" s="43"/>
      <c r="S510" s="43"/>
      <c r="T510" s="43"/>
      <c r="U510" s="43"/>
      <c r="V510" s="43"/>
      <c r="W510" s="43"/>
      <c r="X510" s="43"/>
      <c r="Y510" s="43"/>
      <c r="Z510" s="43"/>
    </row>
    <row r="511">
      <c r="A511" s="67"/>
      <c r="B511" s="67"/>
      <c r="C511" s="68"/>
      <c r="D511" s="70"/>
      <c r="E511" s="68"/>
      <c r="F511" s="20"/>
      <c r="G511" s="43"/>
      <c r="H511" s="43"/>
      <c r="I511" s="43"/>
      <c r="J511" s="63"/>
      <c r="K511" s="43"/>
      <c r="L511" s="43"/>
      <c r="M511" s="43"/>
      <c r="N511" s="43"/>
      <c r="O511" s="43"/>
      <c r="P511" s="43"/>
      <c r="Q511" s="43"/>
      <c r="R511" s="43"/>
      <c r="S511" s="43"/>
      <c r="T511" s="43"/>
      <c r="U511" s="43"/>
      <c r="V511" s="43"/>
      <c r="W511" s="43"/>
      <c r="X511" s="43"/>
      <c r="Y511" s="43"/>
      <c r="Z511" s="43"/>
    </row>
    <row r="512">
      <c r="A512" s="67"/>
      <c r="B512" s="67"/>
      <c r="C512" s="68"/>
      <c r="D512" s="70"/>
      <c r="E512" s="68"/>
      <c r="F512" s="20"/>
      <c r="G512" s="43"/>
      <c r="H512" s="43"/>
      <c r="I512" s="43"/>
      <c r="J512" s="63"/>
      <c r="K512" s="43"/>
      <c r="L512" s="43"/>
      <c r="M512" s="43"/>
      <c r="N512" s="43"/>
      <c r="O512" s="43"/>
      <c r="P512" s="43"/>
      <c r="Q512" s="43"/>
      <c r="R512" s="43"/>
      <c r="S512" s="43"/>
      <c r="T512" s="43"/>
      <c r="U512" s="43"/>
      <c r="V512" s="43"/>
      <c r="W512" s="43"/>
      <c r="X512" s="43"/>
      <c r="Y512" s="43"/>
      <c r="Z512" s="43"/>
    </row>
    <row r="513">
      <c r="A513" s="67"/>
      <c r="B513" s="67"/>
      <c r="C513" s="68"/>
      <c r="D513" s="70"/>
      <c r="E513" s="68"/>
      <c r="F513" s="20"/>
      <c r="G513" s="43"/>
      <c r="H513" s="43"/>
      <c r="I513" s="43"/>
      <c r="J513" s="63"/>
      <c r="K513" s="43"/>
      <c r="L513" s="43"/>
      <c r="M513" s="43"/>
      <c r="N513" s="43"/>
      <c r="O513" s="43"/>
      <c r="P513" s="43"/>
      <c r="Q513" s="43"/>
      <c r="R513" s="43"/>
      <c r="S513" s="43"/>
      <c r="T513" s="43"/>
      <c r="U513" s="43"/>
      <c r="V513" s="43"/>
      <c r="W513" s="43"/>
      <c r="X513" s="43"/>
      <c r="Y513" s="43"/>
      <c r="Z513" s="43"/>
    </row>
    <row r="514">
      <c r="A514" s="67"/>
      <c r="B514" s="67"/>
      <c r="C514" s="68"/>
      <c r="D514" s="70"/>
      <c r="E514" s="68"/>
      <c r="F514" s="20"/>
      <c r="G514" s="43"/>
      <c r="H514" s="43"/>
      <c r="I514" s="43"/>
      <c r="J514" s="63"/>
      <c r="K514" s="43"/>
      <c r="L514" s="43"/>
      <c r="M514" s="43"/>
      <c r="N514" s="43"/>
      <c r="O514" s="43"/>
      <c r="P514" s="43"/>
      <c r="Q514" s="43"/>
      <c r="R514" s="43"/>
      <c r="S514" s="43"/>
      <c r="T514" s="43"/>
      <c r="U514" s="43"/>
      <c r="V514" s="43"/>
      <c r="W514" s="43"/>
      <c r="X514" s="43"/>
      <c r="Y514" s="43"/>
      <c r="Z514" s="43"/>
    </row>
    <row r="515">
      <c r="A515" s="67"/>
      <c r="B515" s="67"/>
      <c r="C515" s="68"/>
      <c r="D515" s="70"/>
      <c r="E515" s="68"/>
      <c r="F515" s="20"/>
      <c r="G515" s="43"/>
      <c r="H515" s="43"/>
      <c r="I515" s="43"/>
      <c r="J515" s="63"/>
      <c r="K515" s="43"/>
      <c r="L515" s="43"/>
      <c r="M515" s="43"/>
      <c r="N515" s="43"/>
      <c r="O515" s="43"/>
      <c r="P515" s="43"/>
      <c r="Q515" s="43"/>
      <c r="R515" s="43"/>
      <c r="S515" s="43"/>
      <c r="T515" s="43"/>
      <c r="U515" s="43"/>
      <c r="V515" s="43"/>
      <c r="W515" s="43"/>
      <c r="X515" s="43"/>
      <c r="Y515" s="43"/>
      <c r="Z515" s="43"/>
    </row>
    <row r="516">
      <c r="A516" s="67"/>
      <c r="B516" s="67"/>
      <c r="C516" s="68"/>
      <c r="D516" s="70"/>
      <c r="E516" s="68"/>
      <c r="F516" s="20"/>
      <c r="G516" s="43"/>
      <c r="H516" s="43"/>
      <c r="I516" s="43"/>
      <c r="J516" s="63"/>
      <c r="K516" s="43"/>
      <c r="L516" s="43"/>
      <c r="M516" s="43"/>
      <c r="N516" s="43"/>
      <c r="O516" s="43"/>
      <c r="P516" s="43"/>
      <c r="Q516" s="43"/>
      <c r="R516" s="43"/>
      <c r="S516" s="43"/>
      <c r="T516" s="43"/>
      <c r="U516" s="43"/>
      <c r="V516" s="43"/>
      <c r="W516" s="43"/>
      <c r="X516" s="43"/>
      <c r="Y516" s="43"/>
      <c r="Z516" s="43"/>
    </row>
    <row r="517">
      <c r="A517" s="67"/>
      <c r="B517" s="67"/>
      <c r="C517" s="68"/>
      <c r="D517" s="70"/>
      <c r="E517" s="68"/>
      <c r="F517" s="20"/>
      <c r="G517" s="43"/>
      <c r="H517" s="43"/>
      <c r="I517" s="43"/>
      <c r="J517" s="63"/>
      <c r="K517" s="43"/>
      <c r="L517" s="43"/>
      <c r="M517" s="43"/>
      <c r="N517" s="43"/>
      <c r="O517" s="43"/>
      <c r="P517" s="43"/>
      <c r="Q517" s="43"/>
      <c r="R517" s="43"/>
      <c r="S517" s="43"/>
      <c r="T517" s="43"/>
      <c r="U517" s="43"/>
      <c r="V517" s="43"/>
      <c r="W517" s="43"/>
      <c r="X517" s="43"/>
      <c r="Y517" s="43"/>
      <c r="Z517" s="43"/>
    </row>
    <row r="518">
      <c r="A518" s="67"/>
      <c r="B518" s="67"/>
      <c r="C518" s="68"/>
      <c r="D518" s="70"/>
      <c r="E518" s="68"/>
      <c r="F518" s="20"/>
      <c r="G518" s="43"/>
      <c r="H518" s="43"/>
      <c r="I518" s="43"/>
      <c r="J518" s="63"/>
      <c r="K518" s="43"/>
      <c r="L518" s="43"/>
      <c r="M518" s="43"/>
      <c r="N518" s="43"/>
      <c r="O518" s="43"/>
      <c r="P518" s="43"/>
      <c r="Q518" s="43"/>
      <c r="R518" s="43"/>
      <c r="S518" s="43"/>
      <c r="T518" s="43"/>
      <c r="U518" s="43"/>
      <c r="V518" s="43"/>
      <c r="W518" s="43"/>
      <c r="X518" s="43"/>
      <c r="Y518" s="43"/>
      <c r="Z518" s="43"/>
    </row>
    <row r="519">
      <c r="A519" s="67"/>
      <c r="B519" s="67"/>
      <c r="C519" s="68"/>
      <c r="D519" s="70"/>
      <c r="E519" s="68"/>
      <c r="F519" s="20"/>
      <c r="G519" s="43"/>
      <c r="H519" s="43"/>
      <c r="I519" s="43"/>
      <c r="J519" s="63"/>
      <c r="K519" s="43"/>
      <c r="L519" s="43"/>
      <c r="M519" s="43"/>
      <c r="N519" s="43"/>
      <c r="O519" s="43"/>
      <c r="P519" s="43"/>
      <c r="Q519" s="43"/>
      <c r="R519" s="43"/>
      <c r="S519" s="43"/>
      <c r="T519" s="43"/>
      <c r="U519" s="43"/>
      <c r="V519" s="43"/>
      <c r="W519" s="43"/>
      <c r="X519" s="43"/>
      <c r="Y519" s="43"/>
      <c r="Z519" s="43"/>
    </row>
    <row r="520">
      <c r="A520" s="67"/>
      <c r="B520" s="67"/>
      <c r="C520" s="68"/>
      <c r="D520" s="70"/>
      <c r="E520" s="68"/>
      <c r="F520" s="20"/>
      <c r="G520" s="43"/>
      <c r="H520" s="43"/>
      <c r="I520" s="43"/>
      <c r="J520" s="63"/>
      <c r="K520" s="43"/>
      <c r="L520" s="43"/>
      <c r="M520" s="43"/>
      <c r="N520" s="43"/>
      <c r="O520" s="43"/>
      <c r="P520" s="43"/>
      <c r="Q520" s="43"/>
      <c r="R520" s="43"/>
      <c r="S520" s="43"/>
      <c r="T520" s="43"/>
      <c r="U520" s="43"/>
      <c r="V520" s="43"/>
      <c r="W520" s="43"/>
      <c r="X520" s="43"/>
      <c r="Y520" s="43"/>
      <c r="Z520" s="43"/>
    </row>
    <row r="521">
      <c r="A521" s="67"/>
      <c r="B521" s="67"/>
      <c r="C521" s="68"/>
      <c r="D521" s="70"/>
      <c r="E521" s="68"/>
      <c r="F521" s="20"/>
      <c r="G521" s="43"/>
      <c r="H521" s="43"/>
      <c r="I521" s="43"/>
      <c r="J521" s="63"/>
      <c r="K521" s="43"/>
      <c r="L521" s="43"/>
      <c r="M521" s="43"/>
      <c r="N521" s="43"/>
      <c r="O521" s="43"/>
      <c r="P521" s="43"/>
      <c r="Q521" s="43"/>
      <c r="R521" s="43"/>
      <c r="S521" s="43"/>
      <c r="T521" s="43"/>
      <c r="U521" s="43"/>
      <c r="V521" s="43"/>
      <c r="W521" s="43"/>
      <c r="X521" s="43"/>
      <c r="Y521" s="43"/>
      <c r="Z521" s="43"/>
    </row>
    <row r="522">
      <c r="A522" s="67"/>
      <c r="B522" s="67"/>
      <c r="C522" s="68"/>
      <c r="D522" s="70"/>
      <c r="E522" s="68"/>
      <c r="F522" s="20"/>
      <c r="G522" s="43"/>
      <c r="H522" s="43"/>
      <c r="I522" s="43"/>
      <c r="J522" s="63"/>
      <c r="K522" s="43"/>
      <c r="L522" s="43"/>
      <c r="M522" s="43"/>
      <c r="N522" s="43"/>
      <c r="O522" s="43"/>
      <c r="P522" s="43"/>
      <c r="Q522" s="43"/>
      <c r="R522" s="43"/>
      <c r="S522" s="43"/>
      <c r="T522" s="43"/>
      <c r="U522" s="43"/>
      <c r="V522" s="43"/>
      <c r="W522" s="43"/>
      <c r="X522" s="43"/>
      <c r="Y522" s="43"/>
      <c r="Z522" s="43"/>
    </row>
    <row r="523">
      <c r="A523" s="67"/>
      <c r="B523" s="67"/>
      <c r="C523" s="68"/>
      <c r="D523" s="70"/>
      <c r="E523" s="68"/>
      <c r="F523" s="20"/>
      <c r="G523" s="43"/>
      <c r="H523" s="43"/>
      <c r="I523" s="43"/>
      <c r="J523" s="63"/>
      <c r="K523" s="43"/>
      <c r="L523" s="43"/>
      <c r="M523" s="43"/>
      <c r="N523" s="43"/>
      <c r="O523" s="43"/>
      <c r="P523" s="43"/>
      <c r="Q523" s="43"/>
      <c r="R523" s="43"/>
      <c r="S523" s="43"/>
      <c r="T523" s="43"/>
      <c r="U523" s="43"/>
      <c r="V523" s="43"/>
      <c r="W523" s="43"/>
      <c r="X523" s="43"/>
      <c r="Y523" s="43"/>
      <c r="Z523" s="43"/>
    </row>
    <row r="524">
      <c r="A524" s="67"/>
      <c r="B524" s="67"/>
      <c r="C524" s="68"/>
      <c r="D524" s="70"/>
      <c r="E524" s="68"/>
      <c r="F524" s="20"/>
      <c r="G524" s="43"/>
      <c r="H524" s="43"/>
      <c r="I524" s="43"/>
      <c r="J524" s="63"/>
      <c r="K524" s="43"/>
      <c r="L524" s="43"/>
      <c r="M524" s="43"/>
      <c r="N524" s="43"/>
      <c r="O524" s="43"/>
      <c r="P524" s="43"/>
      <c r="Q524" s="43"/>
      <c r="R524" s="43"/>
      <c r="S524" s="43"/>
      <c r="T524" s="43"/>
      <c r="U524" s="43"/>
      <c r="V524" s="43"/>
      <c r="W524" s="43"/>
      <c r="X524" s="43"/>
      <c r="Y524" s="43"/>
      <c r="Z524" s="43"/>
    </row>
    <row r="525">
      <c r="A525" s="67"/>
      <c r="B525" s="67"/>
      <c r="C525" s="68"/>
      <c r="D525" s="70"/>
      <c r="E525" s="68"/>
      <c r="F525" s="20"/>
      <c r="G525" s="43"/>
      <c r="H525" s="43"/>
      <c r="I525" s="43"/>
      <c r="J525" s="63"/>
      <c r="K525" s="43"/>
      <c r="L525" s="43"/>
      <c r="M525" s="43"/>
      <c r="N525" s="43"/>
      <c r="O525" s="43"/>
      <c r="P525" s="43"/>
      <c r="Q525" s="43"/>
      <c r="R525" s="43"/>
      <c r="S525" s="43"/>
      <c r="T525" s="43"/>
      <c r="U525" s="43"/>
      <c r="V525" s="43"/>
      <c r="W525" s="43"/>
      <c r="X525" s="43"/>
      <c r="Y525" s="43"/>
      <c r="Z525" s="43"/>
    </row>
    <row r="526">
      <c r="A526" s="67"/>
      <c r="B526" s="67"/>
      <c r="C526" s="68"/>
      <c r="D526" s="70"/>
      <c r="E526" s="68"/>
      <c r="F526" s="20"/>
      <c r="G526" s="43"/>
      <c r="H526" s="43"/>
      <c r="I526" s="43"/>
      <c r="J526" s="63"/>
      <c r="K526" s="43"/>
      <c r="L526" s="43"/>
      <c r="M526" s="43"/>
      <c r="N526" s="43"/>
      <c r="O526" s="43"/>
      <c r="P526" s="43"/>
      <c r="Q526" s="43"/>
      <c r="R526" s="43"/>
      <c r="S526" s="43"/>
      <c r="T526" s="43"/>
      <c r="U526" s="43"/>
      <c r="V526" s="43"/>
      <c r="W526" s="43"/>
      <c r="X526" s="43"/>
      <c r="Y526" s="43"/>
      <c r="Z526" s="43"/>
    </row>
    <row r="527">
      <c r="A527" s="67"/>
      <c r="B527" s="67"/>
      <c r="C527" s="68"/>
      <c r="D527" s="70"/>
      <c r="E527" s="68"/>
      <c r="F527" s="20"/>
      <c r="G527" s="43"/>
      <c r="H527" s="43"/>
      <c r="I527" s="43"/>
      <c r="J527" s="63"/>
      <c r="K527" s="43"/>
      <c r="L527" s="43"/>
      <c r="M527" s="43"/>
      <c r="N527" s="43"/>
      <c r="O527" s="43"/>
      <c r="P527" s="43"/>
      <c r="Q527" s="43"/>
      <c r="R527" s="43"/>
      <c r="S527" s="43"/>
      <c r="T527" s="43"/>
      <c r="U527" s="43"/>
      <c r="V527" s="43"/>
      <c r="W527" s="43"/>
      <c r="X527" s="43"/>
      <c r="Y527" s="43"/>
      <c r="Z527" s="43"/>
    </row>
    <row r="528">
      <c r="A528" s="67"/>
      <c r="B528" s="67"/>
      <c r="C528" s="68"/>
      <c r="D528" s="70"/>
      <c r="E528" s="68"/>
      <c r="F528" s="20"/>
      <c r="G528" s="43"/>
      <c r="H528" s="43"/>
      <c r="I528" s="43"/>
      <c r="J528" s="63"/>
      <c r="K528" s="43"/>
      <c r="L528" s="43"/>
      <c r="M528" s="43"/>
      <c r="N528" s="43"/>
      <c r="O528" s="43"/>
      <c r="P528" s="43"/>
      <c r="Q528" s="43"/>
      <c r="R528" s="43"/>
      <c r="S528" s="43"/>
      <c r="T528" s="43"/>
      <c r="U528" s="43"/>
      <c r="V528" s="43"/>
      <c r="W528" s="43"/>
      <c r="X528" s="43"/>
      <c r="Y528" s="43"/>
      <c r="Z528" s="43"/>
    </row>
    <row r="529">
      <c r="A529" s="67"/>
      <c r="B529" s="67"/>
      <c r="C529" s="68"/>
      <c r="D529" s="70"/>
      <c r="E529" s="68"/>
      <c r="F529" s="20"/>
      <c r="G529" s="43"/>
      <c r="H529" s="43"/>
      <c r="I529" s="43"/>
      <c r="J529" s="63"/>
      <c r="K529" s="43"/>
      <c r="L529" s="43"/>
      <c r="M529" s="43"/>
      <c r="N529" s="43"/>
      <c r="O529" s="43"/>
      <c r="P529" s="43"/>
      <c r="Q529" s="43"/>
      <c r="R529" s="43"/>
      <c r="S529" s="43"/>
      <c r="T529" s="43"/>
      <c r="U529" s="43"/>
      <c r="V529" s="43"/>
      <c r="W529" s="43"/>
      <c r="X529" s="43"/>
      <c r="Y529" s="43"/>
      <c r="Z529" s="43"/>
    </row>
    <row r="530">
      <c r="A530" s="67"/>
      <c r="B530" s="67"/>
      <c r="C530" s="68"/>
      <c r="D530" s="70"/>
      <c r="E530" s="68"/>
      <c r="F530" s="20"/>
      <c r="G530" s="43"/>
      <c r="H530" s="43"/>
      <c r="I530" s="43"/>
      <c r="J530" s="63"/>
      <c r="K530" s="43"/>
      <c r="L530" s="43"/>
      <c r="M530" s="43"/>
      <c r="N530" s="43"/>
      <c r="O530" s="43"/>
      <c r="P530" s="43"/>
      <c r="Q530" s="43"/>
      <c r="R530" s="43"/>
      <c r="S530" s="43"/>
      <c r="T530" s="43"/>
      <c r="U530" s="43"/>
      <c r="V530" s="43"/>
      <c r="W530" s="43"/>
      <c r="X530" s="43"/>
      <c r="Y530" s="43"/>
      <c r="Z530" s="43"/>
    </row>
    <row r="531">
      <c r="A531" s="67"/>
      <c r="B531" s="67"/>
      <c r="C531" s="68"/>
      <c r="D531" s="70"/>
      <c r="E531" s="68"/>
      <c r="F531" s="20"/>
      <c r="G531" s="43"/>
      <c r="H531" s="43"/>
      <c r="I531" s="43"/>
      <c r="J531" s="63"/>
      <c r="K531" s="43"/>
      <c r="L531" s="43"/>
      <c r="M531" s="43"/>
      <c r="N531" s="43"/>
      <c r="O531" s="43"/>
      <c r="P531" s="43"/>
      <c r="Q531" s="43"/>
      <c r="R531" s="43"/>
      <c r="S531" s="43"/>
      <c r="T531" s="43"/>
      <c r="U531" s="43"/>
      <c r="V531" s="43"/>
      <c r="W531" s="43"/>
      <c r="X531" s="43"/>
      <c r="Y531" s="43"/>
      <c r="Z531" s="43"/>
    </row>
    <row r="532">
      <c r="A532" s="67"/>
      <c r="B532" s="67"/>
      <c r="C532" s="68"/>
      <c r="D532" s="70"/>
      <c r="E532" s="68"/>
      <c r="F532" s="20"/>
      <c r="G532" s="43"/>
      <c r="H532" s="43"/>
      <c r="I532" s="43"/>
      <c r="J532" s="63"/>
      <c r="K532" s="43"/>
      <c r="L532" s="43"/>
      <c r="M532" s="43"/>
      <c r="N532" s="43"/>
      <c r="O532" s="43"/>
      <c r="P532" s="43"/>
      <c r="Q532" s="43"/>
      <c r="R532" s="43"/>
      <c r="S532" s="43"/>
      <c r="T532" s="43"/>
      <c r="U532" s="43"/>
      <c r="V532" s="43"/>
      <c r="W532" s="43"/>
      <c r="X532" s="43"/>
      <c r="Y532" s="43"/>
      <c r="Z532" s="43"/>
    </row>
    <row r="533">
      <c r="A533" s="67"/>
      <c r="B533" s="67"/>
      <c r="C533" s="68"/>
      <c r="D533" s="70"/>
      <c r="E533" s="68"/>
      <c r="F533" s="20"/>
      <c r="G533" s="43"/>
      <c r="H533" s="43"/>
      <c r="I533" s="43"/>
      <c r="J533" s="63"/>
      <c r="K533" s="43"/>
      <c r="L533" s="43"/>
      <c r="M533" s="43"/>
      <c r="N533" s="43"/>
      <c r="O533" s="43"/>
      <c r="P533" s="43"/>
      <c r="Q533" s="43"/>
      <c r="R533" s="43"/>
      <c r="S533" s="43"/>
      <c r="T533" s="43"/>
      <c r="U533" s="43"/>
      <c r="V533" s="43"/>
      <c r="W533" s="43"/>
      <c r="X533" s="43"/>
      <c r="Y533" s="43"/>
      <c r="Z533" s="43"/>
    </row>
    <row r="534">
      <c r="A534" s="67"/>
      <c r="B534" s="67"/>
      <c r="C534" s="68"/>
      <c r="D534" s="70"/>
      <c r="E534" s="68"/>
      <c r="F534" s="20"/>
      <c r="G534" s="43"/>
      <c r="H534" s="43"/>
      <c r="I534" s="43"/>
      <c r="J534" s="63"/>
      <c r="K534" s="43"/>
      <c r="L534" s="43"/>
      <c r="M534" s="43"/>
      <c r="N534" s="43"/>
      <c r="O534" s="43"/>
      <c r="P534" s="43"/>
      <c r="Q534" s="43"/>
      <c r="R534" s="43"/>
      <c r="S534" s="43"/>
      <c r="T534" s="43"/>
      <c r="U534" s="43"/>
      <c r="V534" s="43"/>
      <c r="W534" s="43"/>
      <c r="X534" s="43"/>
      <c r="Y534" s="43"/>
      <c r="Z534" s="43"/>
    </row>
    <row r="535">
      <c r="A535" s="67"/>
      <c r="B535" s="67"/>
      <c r="C535" s="68"/>
      <c r="D535" s="70"/>
      <c r="E535" s="68"/>
      <c r="F535" s="20"/>
      <c r="G535" s="43"/>
      <c r="H535" s="43"/>
      <c r="I535" s="43"/>
      <c r="J535" s="63"/>
      <c r="K535" s="43"/>
      <c r="L535" s="43"/>
      <c r="M535" s="43"/>
      <c r="N535" s="43"/>
      <c r="O535" s="43"/>
      <c r="P535" s="43"/>
      <c r="Q535" s="43"/>
      <c r="R535" s="43"/>
      <c r="S535" s="43"/>
      <c r="T535" s="43"/>
      <c r="U535" s="43"/>
      <c r="V535" s="43"/>
      <c r="W535" s="43"/>
      <c r="X535" s="43"/>
      <c r="Y535" s="43"/>
      <c r="Z535" s="43"/>
    </row>
    <row r="536">
      <c r="A536" s="67"/>
      <c r="B536" s="67"/>
      <c r="C536" s="68"/>
      <c r="D536" s="70"/>
      <c r="E536" s="68"/>
      <c r="F536" s="20"/>
      <c r="G536" s="43"/>
      <c r="H536" s="43"/>
      <c r="I536" s="43"/>
      <c r="J536" s="63"/>
      <c r="K536" s="43"/>
      <c r="L536" s="43"/>
      <c r="M536" s="43"/>
      <c r="N536" s="43"/>
      <c r="O536" s="43"/>
      <c r="P536" s="43"/>
      <c r="Q536" s="43"/>
      <c r="R536" s="43"/>
      <c r="S536" s="43"/>
      <c r="T536" s="43"/>
      <c r="U536" s="43"/>
      <c r="V536" s="43"/>
      <c r="W536" s="43"/>
      <c r="X536" s="43"/>
      <c r="Y536" s="43"/>
      <c r="Z536" s="43"/>
    </row>
    <row r="537">
      <c r="A537" s="67"/>
      <c r="B537" s="67"/>
      <c r="C537" s="68"/>
      <c r="D537" s="70"/>
      <c r="E537" s="68"/>
      <c r="F537" s="20"/>
      <c r="G537" s="43"/>
      <c r="H537" s="43"/>
      <c r="I537" s="43"/>
      <c r="J537" s="63"/>
      <c r="K537" s="43"/>
      <c r="L537" s="43"/>
      <c r="M537" s="43"/>
      <c r="N537" s="43"/>
      <c r="O537" s="43"/>
      <c r="P537" s="43"/>
      <c r="Q537" s="43"/>
      <c r="R537" s="43"/>
      <c r="S537" s="43"/>
      <c r="T537" s="43"/>
      <c r="U537" s="43"/>
      <c r="V537" s="43"/>
      <c r="W537" s="43"/>
      <c r="X537" s="43"/>
      <c r="Y537" s="43"/>
      <c r="Z537" s="43"/>
    </row>
    <row r="538">
      <c r="A538" s="67"/>
      <c r="B538" s="67"/>
      <c r="C538" s="68"/>
      <c r="D538" s="70"/>
      <c r="E538" s="68"/>
      <c r="F538" s="20"/>
      <c r="G538" s="43"/>
      <c r="H538" s="43"/>
      <c r="I538" s="43"/>
      <c r="J538" s="63"/>
      <c r="K538" s="43"/>
      <c r="L538" s="43"/>
      <c r="M538" s="43"/>
      <c r="N538" s="43"/>
      <c r="O538" s="43"/>
      <c r="P538" s="43"/>
      <c r="Q538" s="43"/>
      <c r="R538" s="43"/>
      <c r="S538" s="43"/>
      <c r="T538" s="43"/>
      <c r="U538" s="43"/>
      <c r="V538" s="43"/>
      <c r="W538" s="43"/>
      <c r="X538" s="43"/>
      <c r="Y538" s="43"/>
      <c r="Z538" s="43"/>
    </row>
    <row r="539">
      <c r="A539" s="67"/>
      <c r="B539" s="67"/>
      <c r="C539" s="68"/>
      <c r="D539" s="70"/>
      <c r="E539" s="68"/>
      <c r="F539" s="20"/>
      <c r="G539" s="43"/>
      <c r="H539" s="43"/>
      <c r="I539" s="43"/>
      <c r="J539" s="63"/>
      <c r="K539" s="43"/>
      <c r="L539" s="43"/>
      <c r="M539" s="43"/>
      <c r="N539" s="43"/>
      <c r="O539" s="43"/>
      <c r="P539" s="43"/>
      <c r="Q539" s="43"/>
      <c r="R539" s="43"/>
      <c r="S539" s="43"/>
      <c r="T539" s="43"/>
      <c r="U539" s="43"/>
      <c r="V539" s="43"/>
      <c r="W539" s="43"/>
      <c r="X539" s="43"/>
      <c r="Y539" s="43"/>
      <c r="Z539" s="43"/>
    </row>
    <row r="540">
      <c r="A540" s="67"/>
      <c r="B540" s="67"/>
      <c r="C540" s="68"/>
      <c r="D540" s="70"/>
      <c r="E540" s="68"/>
      <c r="F540" s="20"/>
      <c r="G540" s="43"/>
      <c r="H540" s="43"/>
      <c r="I540" s="43"/>
      <c r="J540" s="63"/>
      <c r="K540" s="43"/>
      <c r="L540" s="43"/>
      <c r="M540" s="43"/>
      <c r="N540" s="43"/>
      <c r="O540" s="43"/>
      <c r="P540" s="43"/>
      <c r="Q540" s="43"/>
      <c r="R540" s="43"/>
      <c r="S540" s="43"/>
      <c r="T540" s="43"/>
      <c r="U540" s="43"/>
      <c r="V540" s="43"/>
      <c r="W540" s="43"/>
      <c r="X540" s="43"/>
      <c r="Y540" s="43"/>
      <c r="Z540" s="43"/>
    </row>
    <row r="541">
      <c r="A541" s="67"/>
      <c r="B541" s="67"/>
      <c r="C541" s="68"/>
      <c r="D541" s="70"/>
      <c r="E541" s="68"/>
      <c r="F541" s="20"/>
      <c r="G541" s="43"/>
      <c r="H541" s="43"/>
      <c r="I541" s="43"/>
      <c r="J541" s="63"/>
      <c r="K541" s="43"/>
      <c r="L541" s="43"/>
      <c r="M541" s="43"/>
      <c r="N541" s="43"/>
      <c r="O541" s="43"/>
      <c r="P541" s="43"/>
      <c r="Q541" s="43"/>
      <c r="R541" s="43"/>
      <c r="S541" s="43"/>
      <c r="T541" s="43"/>
      <c r="U541" s="43"/>
      <c r="V541" s="43"/>
      <c r="W541" s="43"/>
      <c r="X541" s="43"/>
      <c r="Y541" s="43"/>
      <c r="Z541" s="43"/>
    </row>
    <row r="542">
      <c r="A542" s="67"/>
      <c r="B542" s="67"/>
      <c r="C542" s="68"/>
      <c r="D542" s="70"/>
      <c r="E542" s="68"/>
      <c r="F542" s="20"/>
      <c r="G542" s="43"/>
      <c r="H542" s="43"/>
      <c r="I542" s="43"/>
      <c r="J542" s="63"/>
      <c r="K542" s="43"/>
      <c r="L542" s="43"/>
      <c r="M542" s="43"/>
      <c r="N542" s="43"/>
      <c r="O542" s="43"/>
      <c r="P542" s="43"/>
      <c r="Q542" s="43"/>
      <c r="R542" s="43"/>
      <c r="S542" s="43"/>
      <c r="T542" s="43"/>
      <c r="U542" s="43"/>
      <c r="V542" s="43"/>
      <c r="W542" s="43"/>
      <c r="X542" s="43"/>
      <c r="Y542" s="43"/>
      <c r="Z542" s="43"/>
    </row>
    <row r="543">
      <c r="A543" s="67"/>
      <c r="B543" s="67"/>
      <c r="C543" s="68"/>
      <c r="D543" s="70"/>
      <c r="E543" s="68"/>
      <c r="F543" s="20"/>
      <c r="G543" s="43"/>
      <c r="H543" s="43"/>
      <c r="I543" s="43"/>
      <c r="J543" s="63"/>
      <c r="K543" s="43"/>
      <c r="L543" s="43"/>
      <c r="M543" s="43"/>
      <c r="N543" s="43"/>
      <c r="O543" s="43"/>
      <c r="P543" s="43"/>
      <c r="Q543" s="43"/>
      <c r="R543" s="43"/>
      <c r="S543" s="43"/>
      <c r="T543" s="43"/>
      <c r="U543" s="43"/>
      <c r="V543" s="43"/>
      <c r="W543" s="43"/>
      <c r="X543" s="43"/>
      <c r="Y543" s="43"/>
      <c r="Z543" s="43"/>
    </row>
    <row r="544">
      <c r="A544" s="67"/>
      <c r="B544" s="67"/>
      <c r="C544" s="68"/>
      <c r="D544" s="70"/>
      <c r="E544" s="68"/>
      <c r="F544" s="20"/>
      <c r="G544" s="43"/>
      <c r="H544" s="43"/>
      <c r="I544" s="43"/>
      <c r="J544" s="63"/>
      <c r="K544" s="43"/>
      <c r="L544" s="43"/>
      <c r="M544" s="43"/>
      <c r="N544" s="43"/>
      <c r="O544" s="43"/>
      <c r="P544" s="43"/>
      <c r="Q544" s="43"/>
      <c r="R544" s="43"/>
      <c r="S544" s="43"/>
      <c r="T544" s="43"/>
      <c r="U544" s="43"/>
      <c r="V544" s="43"/>
      <c r="W544" s="43"/>
      <c r="X544" s="43"/>
      <c r="Y544" s="43"/>
      <c r="Z544" s="43"/>
    </row>
    <row r="545">
      <c r="A545" s="67"/>
      <c r="B545" s="67"/>
      <c r="C545" s="68"/>
      <c r="D545" s="70"/>
      <c r="E545" s="68"/>
      <c r="F545" s="20"/>
      <c r="G545" s="43"/>
      <c r="H545" s="43"/>
      <c r="I545" s="43"/>
      <c r="J545" s="63"/>
      <c r="K545" s="43"/>
      <c r="L545" s="43"/>
      <c r="M545" s="43"/>
      <c r="N545" s="43"/>
      <c r="O545" s="43"/>
      <c r="P545" s="43"/>
      <c r="Q545" s="43"/>
      <c r="R545" s="43"/>
      <c r="S545" s="43"/>
      <c r="T545" s="43"/>
      <c r="U545" s="43"/>
      <c r="V545" s="43"/>
      <c r="W545" s="43"/>
      <c r="X545" s="43"/>
      <c r="Y545" s="43"/>
      <c r="Z545" s="43"/>
    </row>
    <row r="546">
      <c r="A546" s="67"/>
      <c r="B546" s="67"/>
      <c r="C546" s="68"/>
      <c r="D546" s="70"/>
      <c r="E546" s="68"/>
      <c r="F546" s="20"/>
      <c r="G546" s="43"/>
      <c r="H546" s="43"/>
      <c r="I546" s="43"/>
      <c r="J546" s="63"/>
      <c r="K546" s="43"/>
      <c r="L546" s="43"/>
      <c r="M546" s="43"/>
      <c r="N546" s="43"/>
      <c r="O546" s="43"/>
      <c r="P546" s="43"/>
      <c r="Q546" s="43"/>
      <c r="R546" s="43"/>
      <c r="S546" s="43"/>
      <c r="T546" s="43"/>
      <c r="U546" s="43"/>
      <c r="V546" s="43"/>
      <c r="W546" s="43"/>
      <c r="X546" s="43"/>
      <c r="Y546" s="43"/>
      <c r="Z546" s="43"/>
    </row>
    <row r="547">
      <c r="A547" s="67"/>
      <c r="B547" s="67"/>
      <c r="C547" s="68"/>
      <c r="D547" s="70"/>
      <c r="E547" s="68"/>
      <c r="F547" s="20"/>
      <c r="G547" s="43"/>
      <c r="H547" s="43"/>
      <c r="I547" s="43"/>
      <c r="J547" s="63"/>
      <c r="K547" s="43"/>
      <c r="L547" s="43"/>
      <c r="M547" s="43"/>
      <c r="N547" s="43"/>
      <c r="O547" s="43"/>
      <c r="P547" s="43"/>
      <c r="Q547" s="43"/>
      <c r="R547" s="43"/>
      <c r="S547" s="43"/>
      <c r="T547" s="43"/>
      <c r="U547" s="43"/>
      <c r="V547" s="43"/>
      <c r="W547" s="43"/>
      <c r="X547" s="43"/>
      <c r="Y547" s="43"/>
      <c r="Z547" s="43"/>
    </row>
    <row r="548">
      <c r="A548" s="67"/>
      <c r="B548" s="67"/>
      <c r="C548" s="68"/>
      <c r="D548" s="70"/>
      <c r="E548" s="68"/>
      <c r="F548" s="20"/>
      <c r="G548" s="43"/>
      <c r="H548" s="43"/>
      <c r="I548" s="43"/>
      <c r="J548" s="63"/>
      <c r="K548" s="43"/>
      <c r="L548" s="43"/>
      <c r="M548" s="43"/>
      <c r="N548" s="43"/>
      <c r="O548" s="43"/>
      <c r="P548" s="43"/>
      <c r="Q548" s="43"/>
      <c r="R548" s="43"/>
      <c r="S548" s="43"/>
      <c r="T548" s="43"/>
      <c r="U548" s="43"/>
      <c r="V548" s="43"/>
      <c r="W548" s="43"/>
      <c r="X548" s="43"/>
      <c r="Y548" s="43"/>
      <c r="Z548" s="43"/>
    </row>
    <row r="549">
      <c r="A549" s="67"/>
      <c r="B549" s="67"/>
      <c r="C549" s="68"/>
      <c r="D549" s="70"/>
      <c r="E549" s="68"/>
      <c r="F549" s="20"/>
      <c r="G549" s="43"/>
      <c r="H549" s="43"/>
      <c r="I549" s="43"/>
      <c r="J549" s="63"/>
      <c r="K549" s="43"/>
      <c r="L549" s="43"/>
      <c r="M549" s="43"/>
      <c r="N549" s="43"/>
      <c r="O549" s="43"/>
      <c r="P549" s="43"/>
      <c r="Q549" s="43"/>
      <c r="R549" s="43"/>
      <c r="S549" s="43"/>
      <c r="T549" s="43"/>
      <c r="U549" s="43"/>
      <c r="V549" s="43"/>
      <c r="W549" s="43"/>
      <c r="X549" s="43"/>
      <c r="Y549" s="43"/>
      <c r="Z549" s="43"/>
    </row>
    <row r="550">
      <c r="A550" s="67"/>
      <c r="B550" s="67"/>
      <c r="C550" s="68"/>
      <c r="D550" s="70"/>
      <c r="E550" s="68"/>
      <c r="F550" s="20"/>
      <c r="G550" s="43"/>
      <c r="H550" s="43"/>
      <c r="I550" s="43"/>
      <c r="J550" s="63"/>
      <c r="K550" s="43"/>
      <c r="L550" s="43"/>
      <c r="M550" s="43"/>
      <c r="N550" s="43"/>
      <c r="O550" s="43"/>
      <c r="P550" s="43"/>
      <c r="Q550" s="43"/>
      <c r="R550" s="43"/>
      <c r="S550" s="43"/>
      <c r="T550" s="43"/>
      <c r="U550" s="43"/>
      <c r="V550" s="43"/>
      <c r="W550" s="43"/>
      <c r="X550" s="43"/>
      <c r="Y550" s="43"/>
      <c r="Z550" s="43"/>
    </row>
    <row r="551">
      <c r="A551" s="67"/>
      <c r="B551" s="67"/>
      <c r="C551" s="68"/>
      <c r="D551" s="70"/>
      <c r="E551" s="68"/>
      <c r="F551" s="20"/>
      <c r="G551" s="43"/>
      <c r="H551" s="43"/>
      <c r="I551" s="43"/>
      <c r="J551" s="63"/>
      <c r="K551" s="43"/>
      <c r="L551" s="43"/>
      <c r="M551" s="43"/>
      <c r="N551" s="43"/>
      <c r="O551" s="43"/>
      <c r="P551" s="43"/>
      <c r="Q551" s="43"/>
      <c r="R551" s="43"/>
      <c r="S551" s="43"/>
      <c r="T551" s="43"/>
      <c r="U551" s="43"/>
      <c r="V551" s="43"/>
      <c r="W551" s="43"/>
      <c r="X551" s="43"/>
      <c r="Y551" s="43"/>
      <c r="Z551" s="43"/>
    </row>
    <row r="552">
      <c r="A552" s="67"/>
      <c r="B552" s="67"/>
      <c r="C552" s="68"/>
      <c r="D552" s="70"/>
      <c r="E552" s="68"/>
      <c r="F552" s="20"/>
      <c r="G552" s="43"/>
      <c r="H552" s="43"/>
      <c r="I552" s="43"/>
      <c r="J552" s="63"/>
      <c r="K552" s="43"/>
      <c r="L552" s="43"/>
      <c r="M552" s="43"/>
      <c r="N552" s="43"/>
      <c r="O552" s="43"/>
      <c r="P552" s="43"/>
      <c r="Q552" s="43"/>
      <c r="R552" s="43"/>
      <c r="S552" s="43"/>
      <c r="T552" s="43"/>
      <c r="U552" s="43"/>
      <c r="V552" s="43"/>
      <c r="W552" s="43"/>
      <c r="X552" s="43"/>
      <c r="Y552" s="43"/>
      <c r="Z552" s="43"/>
    </row>
    <row r="553">
      <c r="A553" s="67"/>
      <c r="B553" s="67"/>
      <c r="C553" s="68"/>
      <c r="D553" s="70"/>
      <c r="E553" s="68"/>
      <c r="F553" s="20"/>
      <c r="G553" s="43"/>
      <c r="H553" s="43"/>
      <c r="I553" s="43"/>
      <c r="J553" s="63"/>
      <c r="K553" s="43"/>
      <c r="L553" s="43"/>
      <c r="M553" s="43"/>
      <c r="N553" s="43"/>
      <c r="O553" s="43"/>
      <c r="P553" s="43"/>
      <c r="Q553" s="43"/>
      <c r="R553" s="43"/>
      <c r="S553" s="43"/>
      <c r="T553" s="43"/>
      <c r="U553" s="43"/>
      <c r="V553" s="43"/>
      <c r="W553" s="43"/>
      <c r="X553" s="43"/>
      <c r="Y553" s="43"/>
      <c r="Z553" s="43"/>
    </row>
    <row r="554">
      <c r="A554" s="67"/>
      <c r="B554" s="67"/>
      <c r="C554" s="68"/>
      <c r="D554" s="70"/>
      <c r="E554" s="68"/>
      <c r="F554" s="20"/>
      <c r="G554" s="43"/>
      <c r="H554" s="43"/>
      <c r="I554" s="43"/>
      <c r="J554" s="63"/>
      <c r="K554" s="43"/>
      <c r="L554" s="43"/>
      <c r="M554" s="43"/>
      <c r="N554" s="43"/>
      <c r="O554" s="43"/>
      <c r="P554" s="43"/>
      <c r="Q554" s="43"/>
      <c r="R554" s="43"/>
      <c r="S554" s="43"/>
      <c r="T554" s="43"/>
      <c r="U554" s="43"/>
      <c r="V554" s="43"/>
      <c r="W554" s="43"/>
      <c r="X554" s="43"/>
      <c r="Y554" s="43"/>
      <c r="Z554" s="43"/>
    </row>
    <row r="555">
      <c r="A555" s="67"/>
      <c r="B555" s="67"/>
      <c r="C555" s="68"/>
      <c r="D555" s="70"/>
      <c r="E555" s="68"/>
      <c r="F555" s="20"/>
      <c r="G555" s="43"/>
      <c r="H555" s="43"/>
      <c r="I555" s="43"/>
      <c r="J555" s="63"/>
      <c r="K555" s="43"/>
      <c r="L555" s="43"/>
      <c r="M555" s="43"/>
      <c r="N555" s="43"/>
      <c r="O555" s="43"/>
      <c r="P555" s="43"/>
      <c r="Q555" s="43"/>
      <c r="R555" s="43"/>
      <c r="S555" s="43"/>
      <c r="T555" s="43"/>
      <c r="U555" s="43"/>
      <c r="V555" s="43"/>
      <c r="W555" s="43"/>
      <c r="X555" s="43"/>
      <c r="Y555" s="43"/>
      <c r="Z555" s="43"/>
    </row>
    <row r="556">
      <c r="A556" s="67"/>
      <c r="B556" s="67"/>
      <c r="C556" s="68"/>
      <c r="D556" s="70"/>
      <c r="E556" s="68"/>
      <c r="F556" s="20"/>
      <c r="G556" s="43"/>
      <c r="H556" s="43"/>
      <c r="I556" s="43"/>
      <c r="J556" s="63"/>
      <c r="K556" s="43"/>
      <c r="L556" s="43"/>
      <c r="M556" s="43"/>
      <c r="N556" s="43"/>
      <c r="O556" s="43"/>
      <c r="P556" s="43"/>
      <c r="Q556" s="43"/>
      <c r="R556" s="43"/>
      <c r="S556" s="43"/>
      <c r="T556" s="43"/>
      <c r="U556" s="43"/>
      <c r="V556" s="43"/>
      <c r="W556" s="43"/>
      <c r="X556" s="43"/>
      <c r="Y556" s="43"/>
      <c r="Z556" s="43"/>
    </row>
    <row r="557">
      <c r="A557" s="67"/>
      <c r="B557" s="67"/>
      <c r="C557" s="68"/>
      <c r="D557" s="70"/>
      <c r="E557" s="68"/>
      <c r="F557" s="20"/>
      <c r="G557" s="43"/>
      <c r="H557" s="43"/>
      <c r="I557" s="43"/>
      <c r="J557" s="63"/>
      <c r="K557" s="43"/>
      <c r="L557" s="43"/>
      <c r="M557" s="43"/>
      <c r="N557" s="43"/>
      <c r="O557" s="43"/>
      <c r="P557" s="43"/>
      <c r="Q557" s="43"/>
      <c r="R557" s="43"/>
      <c r="S557" s="43"/>
      <c r="T557" s="43"/>
      <c r="U557" s="43"/>
      <c r="V557" s="43"/>
      <c r="W557" s="43"/>
      <c r="X557" s="43"/>
      <c r="Y557" s="43"/>
      <c r="Z557" s="43"/>
    </row>
    <row r="558">
      <c r="A558" s="67"/>
      <c r="B558" s="67"/>
      <c r="C558" s="68"/>
      <c r="D558" s="70"/>
      <c r="E558" s="68"/>
      <c r="F558" s="20"/>
      <c r="G558" s="43"/>
      <c r="H558" s="43"/>
      <c r="I558" s="43"/>
      <c r="J558" s="63"/>
      <c r="K558" s="43"/>
      <c r="L558" s="43"/>
      <c r="M558" s="43"/>
      <c r="N558" s="43"/>
      <c r="O558" s="43"/>
      <c r="P558" s="43"/>
      <c r="Q558" s="43"/>
      <c r="R558" s="43"/>
      <c r="S558" s="43"/>
      <c r="T558" s="43"/>
      <c r="U558" s="43"/>
      <c r="V558" s="43"/>
      <c r="W558" s="43"/>
      <c r="X558" s="43"/>
      <c r="Y558" s="43"/>
      <c r="Z558" s="43"/>
    </row>
    <row r="559">
      <c r="A559" s="67"/>
      <c r="B559" s="67"/>
      <c r="C559" s="68"/>
      <c r="D559" s="70"/>
      <c r="E559" s="68"/>
      <c r="F559" s="20"/>
      <c r="G559" s="43"/>
      <c r="H559" s="43"/>
      <c r="I559" s="43"/>
      <c r="J559" s="63"/>
      <c r="K559" s="43"/>
      <c r="L559" s="43"/>
      <c r="M559" s="43"/>
      <c r="N559" s="43"/>
      <c r="O559" s="43"/>
      <c r="P559" s="43"/>
      <c r="Q559" s="43"/>
      <c r="R559" s="43"/>
      <c r="S559" s="43"/>
      <c r="T559" s="43"/>
      <c r="U559" s="43"/>
      <c r="V559" s="43"/>
      <c r="W559" s="43"/>
      <c r="X559" s="43"/>
      <c r="Y559" s="43"/>
      <c r="Z559" s="43"/>
    </row>
    <row r="560">
      <c r="A560" s="67"/>
      <c r="B560" s="67"/>
      <c r="C560" s="68"/>
      <c r="D560" s="70"/>
      <c r="E560" s="68"/>
      <c r="F560" s="20"/>
      <c r="G560" s="43"/>
      <c r="H560" s="43"/>
      <c r="I560" s="43"/>
      <c r="J560" s="63"/>
      <c r="K560" s="43"/>
      <c r="L560" s="43"/>
      <c r="M560" s="43"/>
      <c r="N560" s="43"/>
      <c r="O560" s="43"/>
      <c r="P560" s="43"/>
      <c r="Q560" s="43"/>
      <c r="R560" s="43"/>
      <c r="S560" s="43"/>
      <c r="T560" s="43"/>
      <c r="U560" s="43"/>
      <c r="V560" s="43"/>
      <c r="W560" s="43"/>
      <c r="X560" s="43"/>
      <c r="Y560" s="43"/>
      <c r="Z560" s="43"/>
    </row>
    <row r="561">
      <c r="A561" s="67"/>
      <c r="B561" s="67"/>
      <c r="C561" s="68"/>
      <c r="D561" s="70"/>
      <c r="E561" s="68"/>
      <c r="F561" s="20"/>
      <c r="G561" s="43"/>
      <c r="H561" s="43"/>
      <c r="I561" s="43"/>
      <c r="J561" s="63"/>
      <c r="K561" s="43"/>
      <c r="L561" s="43"/>
      <c r="M561" s="43"/>
      <c r="N561" s="43"/>
      <c r="O561" s="43"/>
      <c r="P561" s="43"/>
      <c r="Q561" s="43"/>
      <c r="R561" s="43"/>
      <c r="S561" s="43"/>
      <c r="T561" s="43"/>
      <c r="U561" s="43"/>
      <c r="V561" s="43"/>
      <c r="W561" s="43"/>
      <c r="X561" s="43"/>
      <c r="Y561" s="43"/>
      <c r="Z561" s="43"/>
    </row>
    <row r="562">
      <c r="A562" s="67"/>
      <c r="B562" s="67"/>
      <c r="C562" s="68"/>
      <c r="D562" s="70"/>
      <c r="E562" s="68"/>
      <c r="F562" s="20"/>
      <c r="G562" s="43"/>
      <c r="H562" s="43"/>
      <c r="I562" s="43"/>
      <c r="J562" s="63"/>
      <c r="K562" s="43"/>
      <c r="L562" s="43"/>
      <c r="M562" s="43"/>
      <c r="N562" s="43"/>
      <c r="O562" s="43"/>
      <c r="P562" s="43"/>
      <c r="Q562" s="43"/>
      <c r="R562" s="43"/>
      <c r="S562" s="43"/>
      <c r="T562" s="43"/>
      <c r="U562" s="43"/>
      <c r="V562" s="43"/>
      <c r="W562" s="43"/>
      <c r="X562" s="43"/>
      <c r="Y562" s="43"/>
      <c r="Z562" s="43"/>
    </row>
    <row r="563">
      <c r="A563" s="67"/>
      <c r="B563" s="67"/>
      <c r="C563" s="68"/>
      <c r="D563" s="70"/>
      <c r="E563" s="68"/>
      <c r="F563" s="20"/>
      <c r="G563" s="43"/>
      <c r="H563" s="43"/>
      <c r="I563" s="43"/>
      <c r="J563" s="63"/>
      <c r="K563" s="43"/>
      <c r="L563" s="43"/>
      <c r="M563" s="43"/>
      <c r="N563" s="43"/>
      <c r="O563" s="43"/>
      <c r="P563" s="43"/>
      <c r="Q563" s="43"/>
      <c r="R563" s="43"/>
      <c r="S563" s="43"/>
      <c r="T563" s="43"/>
      <c r="U563" s="43"/>
      <c r="V563" s="43"/>
      <c r="W563" s="43"/>
      <c r="X563" s="43"/>
      <c r="Y563" s="43"/>
      <c r="Z563" s="43"/>
    </row>
    <row r="564">
      <c r="A564" s="67"/>
      <c r="B564" s="67"/>
      <c r="C564" s="68"/>
      <c r="D564" s="70"/>
      <c r="E564" s="68"/>
      <c r="F564" s="20"/>
      <c r="G564" s="43"/>
      <c r="H564" s="43"/>
      <c r="I564" s="43"/>
      <c r="J564" s="63"/>
      <c r="K564" s="43"/>
      <c r="L564" s="43"/>
      <c r="M564" s="43"/>
      <c r="N564" s="43"/>
      <c r="O564" s="43"/>
      <c r="P564" s="43"/>
      <c r="Q564" s="43"/>
      <c r="R564" s="43"/>
      <c r="S564" s="43"/>
      <c r="T564" s="43"/>
      <c r="U564" s="43"/>
      <c r="V564" s="43"/>
      <c r="W564" s="43"/>
      <c r="X564" s="43"/>
      <c r="Y564" s="43"/>
      <c r="Z564" s="43"/>
    </row>
    <row r="565">
      <c r="A565" s="67"/>
      <c r="B565" s="67"/>
      <c r="C565" s="68"/>
      <c r="D565" s="70"/>
      <c r="E565" s="68"/>
      <c r="F565" s="20"/>
      <c r="G565" s="43"/>
      <c r="H565" s="43"/>
      <c r="I565" s="43"/>
      <c r="J565" s="63"/>
      <c r="K565" s="43"/>
      <c r="L565" s="43"/>
      <c r="M565" s="43"/>
      <c r="N565" s="43"/>
      <c r="O565" s="43"/>
      <c r="P565" s="43"/>
      <c r="Q565" s="43"/>
      <c r="R565" s="43"/>
      <c r="S565" s="43"/>
      <c r="T565" s="43"/>
      <c r="U565" s="43"/>
      <c r="V565" s="43"/>
      <c r="W565" s="43"/>
      <c r="X565" s="43"/>
      <c r="Y565" s="43"/>
      <c r="Z565" s="43"/>
    </row>
    <row r="566">
      <c r="A566" s="67"/>
      <c r="B566" s="67"/>
      <c r="C566" s="68"/>
      <c r="D566" s="70"/>
      <c r="E566" s="68"/>
      <c r="F566" s="20"/>
      <c r="G566" s="43"/>
      <c r="H566" s="43"/>
      <c r="I566" s="43"/>
      <c r="J566" s="63"/>
      <c r="K566" s="43"/>
      <c r="L566" s="43"/>
      <c r="M566" s="43"/>
      <c r="N566" s="43"/>
      <c r="O566" s="43"/>
      <c r="P566" s="43"/>
      <c r="Q566" s="43"/>
      <c r="R566" s="43"/>
      <c r="S566" s="43"/>
      <c r="T566" s="43"/>
      <c r="U566" s="43"/>
      <c r="V566" s="43"/>
      <c r="W566" s="43"/>
      <c r="X566" s="43"/>
      <c r="Y566" s="43"/>
      <c r="Z566" s="43"/>
    </row>
    <row r="567">
      <c r="A567" s="67"/>
      <c r="B567" s="67"/>
      <c r="C567" s="68"/>
      <c r="D567" s="70"/>
      <c r="E567" s="68"/>
      <c r="F567" s="20"/>
      <c r="G567" s="43"/>
      <c r="H567" s="43"/>
      <c r="I567" s="43"/>
      <c r="J567" s="63"/>
      <c r="K567" s="43"/>
      <c r="L567" s="43"/>
      <c r="M567" s="43"/>
      <c r="N567" s="43"/>
      <c r="O567" s="43"/>
      <c r="P567" s="43"/>
      <c r="Q567" s="43"/>
      <c r="R567" s="43"/>
      <c r="S567" s="43"/>
      <c r="T567" s="43"/>
      <c r="U567" s="43"/>
      <c r="V567" s="43"/>
      <c r="W567" s="43"/>
      <c r="X567" s="43"/>
      <c r="Y567" s="43"/>
      <c r="Z567" s="43"/>
    </row>
    <row r="568">
      <c r="A568" s="67"/>
      <c r="B568" s="67"/>
      <c r="C568" s="68"/>
      <c r="D568" s="70"/>
      <c r="E568" s="68"/>
      <c r="F568" s="20"/>
      <c r="G568" s="43"/>
      <c r="H568" s="43"/>
      <c r="I568" s="43"/>
      <c r="J568" s="63"/>
      <c r="K568" s="43"/>
      <c r="L568" s="43"/>
      <c r="M568" s="43"/>
      <c r="N568" s="43"/>
      <c r="O568" s="43"/>
      <c r="P568" s="43"/>
      <c r="Q568" s="43"/>
      <c r="R568" s="43"/>
      <c r="S568" s="43"/>
      <c r="T568" s="43"/>
      <c r="U568" s="43"/>
      <c r="V568" s="43"/>
      <c r="W568" s="43"/>
      <c r="X568" s="43"/>
      <c r="Y568" s="43"/>
      <c r="Z568" s="43"/>
    </row>
    <row r="569">
      <c r="A569" s="67"/>
      <c r="B569" s="67"/>
      <c r="C569" s="68"/>
      <c r="D569" s="70"/>
      <c r="E569" s="68"/>
      <c r="F569" s="20"/>
      <c r="G569" s="43"/>
      <c r="H569" s="43"/>
      <c r="I569" s="43"/>
      <c r="J569" s="63"/>
      <c r="K569" s="43"/>
      <c r="L569" s="43"/>
      <c r="M569" s="43"/>
      <c r="N569" s="43"/>
      <c r="O569" s="43"/>
      <c r="P569" s="43"/>
      <c r="Q569" s="43"/>
      <c r="R569" s="43"/>
      <c r="S569" s="43"/>
      <c r="T569" s="43"/>
      <c r="U569" s="43"/>
      <c r="V569" s="43"/>
      <c r="W569" s="43"/>
      <c r="X569" s="43"/>
      <c r="Y569" s="43"/>
      <c r="Z569" s="43"/>
    </row>
    <row r="570">
      <c r="A570" s="67"/>
      <c r="B570" s="67"/>
      <c r="C570" s="68"/>
      <c r="D570" s="70"/>
      <c r="E570" s="68"/>
      <c r="F570" s="20"/>
      <c r="G570" s="43"/>
      <c r="H570" s="43"/>
      <c r="I570" s="43"/>
      <c r="J570" s="63"/>
      <c r="K570" s="43"/>
      <c r="L570" s="43"/>
      <c r="M570" s="43"/>
      <c r="N570" s="43"/>
      <c r="O570" s="43"/>
      <c r="P570" s="43"/>
      <c r="Q570" s="43"/>
      <c r="R570" s="43"/>
      <c r="S570" s="43"/>
      <c r="T570" s="43"/>
      <c r="U570" s="43"/>
      <c r="V570" s="43"/>
      <c r="W570" s="43"/>
      <c r="X570" s="43"/>
      <c r="Y570" s="43"/>
      <c r="Z570" s="43"/>
    </row>
    <row r="571">
      <c r="A571" s="67"/>
      <c r="B571" s="67"/>
      <c r="C571" s="68"/>
      <c r="D571" s="70"/>
      <c r="E571" s="68"/>
      <c r="F571" s="20"/>
      <c r="G571" s="43"/>
      <c r="H571" s="43"/>
      <c r="I571" s="43"/>
      <c r="J571" s="63"/>
      <c r="K571" s="43"/>
      <c r="L571" s="43"/>
      <c r="M571" s="43"/>
      <c r="N571" s="43"/>
      <c r="O571" s="43"/>
      <c r="P571" s="43"/>
      <c r="Q571" s="43"/>
      <c r="R571" s="43"/>
      <c r="S571" s="43"/>
      <c r="T571" s="43"/>
      <c r="U571" s="43"/>
      <c r="V571" s="43"/>
      <c r="W571" s="43"/>
      <c r="X571" s="43"/>
      <c r="Y571" s="43"/>
      <c r="Z571" s="43"/>
    </row>
    <row r="572">
      <c r="A572" s="67"/>
      <c r="B572" s="67"/>
      <c r="C572" s="68"/>
      <c r="D572" s="70"/>
      <c r="E572" s="68"/>
      <c r="F572" s="20"/>
      <c r="G572" s="43"/>
      <c r="H572" s="43"/>
      <c r="I572" s="43"/>
      <c r="J572" s="63"/>
      <c r="K572" s="43"/>
      <c r="L572" s="43"/>
      <c r="M572" s="43"/>
      <c r="N572" s="43"/>
      <c r="O572" s="43"/>
      <c r="P572" s="43"/>
      <c r="Q572" s="43"/>
      <c r="R572" s="43"/>
      <c r="S572" s="43"/>
      <c r="T572" s="43"/>
      <c r="U572" s="43"/>
      <c r="V572" s="43"/>
      <c r="W572" s="43"/>
      <c r="X572" s="43"/>
      <c r="Y572" s="43"/>
      <c r="Z572" s="43"/>
    </row>
    <row r="573">
      <c r="A573" s="67"/>
      <c r="B573" s="67"/>
      <c r="C573" s="68"/>
      <c r="D573" s="70"/>
      <c r="E573" s="68"/>
      <c r="F573" s="20"/>
      <c r="G573" s="43"/>
      <c r="H573" s="43"/>
      <c r="I573" s="43"/>
      <c r="J573" s="63"/>
      <c r="K573" s="43"/>
      <c r="L573" s="43"/>
      <c r="M573" s="43"/>
      <c r="N573" s="43"/>
      <c r="O573" s="43"/>
      <c r="P573" s="43"/>
      <c r="Q573" s="43"/>
      <c r="R573" s="43"/>
      <c r="S573" s="43"/>
      <c r="T573" s="43"/>
      <c r="U573" s="43"/>
      <c r="V573" s="43"/>
      <c r="W573" s="43"/>
      <c r="X573" s="43"/>
      <c r="Y573" s="43"/>
      <c r="Z573" s="43"/>
    </row>
    <row r="574">
      <c r="A574" s="67"/>
      <c r="B574" s="67"/>
      <c r="C574" s="68"/>
      <c r="D574" s="70"/>
      <c r="E574" s="68"/>
      <c r="F574" s="20"/>
      <c r="G574" s="43"/>
      <c r="H574" s="43"/>
      <c r="I574" s="43"/>
      <c r="J574" s="63"/>
      <c r="K574" s="43"/>
      <c r="L574" s="43"/>
      <c r="M574" s="43"/>
      <c r="N574" s="43"/>
      <c r="O574" s="43"/>
      <c r="P574" s="43"/>
      <c r="Q574" s="43"/>
      <c r="R574" s="43"/>
      <c r="S574" s="43"/>
      <c r="T574" s="43"/>
      <c r="U574" s="43"/>
      <c r="V574" s="43"/>
      <c r="W574" s="43"/>
      <c r="X574" s="43"/>
      <c r="Y574" s="43"/>
      <c r="Z574" s="43"/>
    </row>
    <row r="575">
      <c r="A575" s="67"/>
      <c r="B575" s="67"/>
      <c r="C575" s="68"/>
      <c r="D575" s="70"/>
      <c r="E575" s="68"/>
      <c r="F575" s="20"/>
      <c r="G575" s="43"/>
      <c r="H575" s="43"/>
      <c r="I575" s="43"/>
      <c r="J575" s="63"/>
      <c r="K575" s="43"/>
      <c r="L575" s="43"/>
      <c r="M575" s="43"/>
      <c r="N575" s="43"/>
      <c r="O575" s="43"/>
      <c r="P575" s="43"/>
      <c r="Q575" s="43"/>
      <c r="R575" s="43"/>
      <c r="S575" s="43"/>
      <c r="T575" s="43"/>
      <c r="U575" s="43"/>
      <c r="V575" s="43"/>
      <c r="W575" s="43"/>
      <c r="X575" s="43"/>
      <c r="Y575" s="43"/>
      <c r="Z575" s="43"/>
    </row>
    <row r="576">
      <c r="A576" s="67"/>
      <c r="B576" s="67"/>
      <c r="C576" s="68"/>
      <c r="D576" s="70"/>
      <c r="E576" s="68"/>
      <c r="F576" s="20"/>
      <c r="G576" s="43"/>
      <c r="H576" s="43"/>
      <c r="I576" s="43"/>
      <c r="J576" s="63"/>
      <c r="K576" s="43"/>
      <c r="L576" s="43"/>
      <c r="M576" s="43"/>
      <c r="N576" s="43"/>
      <c r="O576" s="43"/>
      <c r="P576" s="43"/>
      <c r="Q576" s="43"/>
      <c r="R576" s="43"/>
      <c r="S576" s="43"/>
      <c r="T576" s="43"/>
      <c r="U576" s="43"/>
      <c r="V576" s="43"/>
      <c r="W576" s="43"/>
      <c r="X576" s="43"/>
      <c r="Y576" s="43"/>
      <c r="Z576" s="43"/>
    </row>
    <row r="577">
      <c r="A577" s="67"/>
      <c r="B577" s="67"/>
      <c r="C577" s="68"/>
      <c r="D577" s="70"/>
      <c r="E577" s="68"/>
      <c r="F577" s="20"/>
      <c r="G577" s="43"/>
      <c r="H577" s="43"/>
      <c r="I577" s="43"/>
      <c r="J577" s="63"/>
      <c r="K577" s="43"/>
      <c r="L577" s="43"/>
      <c r="M577" s="43"/>
      <c r="N577" s="43"/>
      <c r="O577" s="43"/>
      <c r="P577" s="43"/>
      <c r="Q577" s="43"/>
      <c r="R577" s="43"/>
      <c r="S577" s="43"/>
      <c r="T577" s="43"/>
      <c r="U577" s="43"/>
      <c r="V577" s="43"/>
      <c r="W577" s="43"/>
      <c r="X577" s="43"/>
      <c r="Y577" s="43"/>
      <c r="Z577" s="43"/>
    </row>
    <row r="578">
      <c r="A578" s="67"/>
      <c r="B578" s="67"/>
      <c r="C578" s="68"/>
      <c r="D578" s="70"/>
      <c r="E578" s="68"/>
      <c r="F578" s="20"/>
      <c r="G578" s="43"/>
      <c r="H578" s="43"/>
      <c r="I578" s="43"/>
      <c r="J578" s="63"/>
      <c r="K578" s="43"/>
      <c r="L578" s="43"/>
      <c r="M578" s="43"/>
      <c r="N578" s="43"/>
      <c r="O578" s="43"/>
      <c r="P578" s="43"/>
      <c r="Q578" s="43"/>
      <c r="R578" s="43"/>
      <c r="S578" s="43"/>
      <c r="T578" s="43"/>
      <c r="U578" s="43"/>
      <c r="V578" s="43"/>
      <c r="W578" s="43"/>
      <c r="X578" s="43"/>
      <c r="Y578" s="43"/>
      <c r="Z578" s="43"/>
    </row>
    <row r="579">
      <c r="A579" s="67"/>
      <c r="B579" s="67"/>
      <c r="C579" s="68"/>
      <c r="D579" s="70"/>
      <c r="E579" s="68"/>
      <c r="F579" s="20"/>
      <c r="G579" s="43"/>
      <c r="H579" s="43"/>
      <c r="I579" s="43"/>
      <c r="J579" s="63"/>
      <c r="K579" s="43"/>
      <c r="L579" s="43"/>
      <c r="M579" s="43"/>
      <c r="N579" s="43"/>
      <c r="O579" s="43"/>
      <c r="P579" s="43"/>
      <c r="Q579" s="43"/>
      <c r="R579" s="43"/>
      <c r="S579" s="43"/>
      <c r="T579" s="43"/>
      <c r="U579" s="43"/>
      <c r="V579" s="43"/>
      <c r="W579" s="43"/>
      <c r="X579" s="43"/>
      <c r="Y579" s="43"/>
      <c r="Z579" s="43"/>
    </row>
    <row r="580">
      <c r="A580" s="67"/>
      <c r="B580" s="67"/>
      <c r="C580" s="68"/>
      <c r="D580" s="70"/>
      <c r="E580" s="68"/>
      <c r="F580" s="20"/>
      <c r="G580" s="43"/>
      <c r="H580" s="43"/>
      <c r="I580" s="43"/>
      <c r="J580" s="63"/>
      <c r="K580" s="43"/>
      <c r="L580" s="43"/>
      <c r="M580" s="43"/>
      <c r="N580" s="43"/>
      <c r="O580" s="43"/>
      <c r="P580" s="43"/>
      <c r="Q580" s="43"/>
      <c r="R580" s="43"/>
      <c r="S580" s="43"/>
      <c r="T580" s="43"/>
      <c r="U580" s="43"/>
      <c r="V580" s="43"/>
      <c r="W580" s="43"/>
      <c r="X580" s="43"/>
      <c r="Y580" s="43"/>
      <c r="Z580" s="43"/>
    </row>
    <row r="581">
      <c r="A581" s="67"/>
      <c r="B581" s="67"/>
      <c r="C581" s="68"/>
      <c r="D581" s="70"/>
      <c r="E581" s="68"/>
      <c r="F581" s="20"/>
      <c r="G581" s="43"/>
      <c r="H581" s="43"/>
      <c r="I581" s="43"/>
      <c r="J581" s="63"/>
      <c r="K581" s="43"/>
      <c r="L581" s="43"/>
      <c r="M581" s="43"/>
      <c r="N581" s="43"/>
      <c r="O581" s="43"/>
      <c r="P581" s="43"/>
      <c r="Q581" s="43"/>
      <c r="R581" s="43"/>
      <c r="S581" s="43"/>
      <c r="T581" s="43"/>
      <c r="U581" s="43"/>
      <c r="V581" s="43"/>
      <c r="W581" s="43"/>
      <c r="X581" s="43"/>
      <c r="Y581" s="43"/>
      <c r="Z581" s="43"/>
    </row>
    <row r="582">
      <c r="A582" s="67"/>
      <c r="B582" s="67"/>
      <c r="C582" s="68"/>
      <c r="D582" s="70"/>
      <c r="E582" s="68"/>
      <c r="F582" s="20"/>
      <c r="G582" s="43"/>
      <c r="H582" s="43"/>
      <c r="I582" s="43"/>
      <c r="J582" s="63"/>
      <c r="K582" s="43"/>
      <c r="L582" s="43"/>
      <c r="M582" s="43"/>
      <c r="N582" s="43"/>
      <c r="O582" s="43"/>
      <c r="P582" s="43"/>
      <c r="Q582" s="43"/>
      <c r="R582" s="43"/>
      <c r="S582" s="43"/>
      <c r="T582" s="43"/>
      <c r="U582" s="43"/>
      <c r="V582" s="43"/>
      <c r="W582" s="43"/>
      <c r="X582" s="43"/>
      <c r="Y582" s="43"/>
      <c r="Z582" s="43"/>
    </row>
    <row r="583">
      <c r="A583" s="67"/>
      <c r="B583" s="67"/>
      <c r="C583" s="68"/>
      <c r="D583" s="70"/>
      <c r="E583" s="68"/>
      <c r="F583" s="20"/>
      <c r="G583" s="43"/>
      <c r="H583" s="43"/>
      <c r="I583" s="43"/>
      <c r="J583" s="63"/>
      <c r="K583" s="43"/>
      <c r="L583" s="43"/>
      <c r="M583" s="43"/>
      <c r="N583" s="43"/>
      <c r="O583" s="43"/>
      <c r="P583" s="43"/>
      <c r="Q583" s="43"/>
      <c r="R583" s="43"/>
      <c r="S583" s="43"/>
      <c r="T583" s="43"/>
      <c r="U583" s="43"/>
      <c r="V583" s="43"/>
      <c r="W583" s="43"/>
      <c r="X583" s="43"/>
      <c r="Y583" s="43"/>
      <c r="Z583" s="43"/>
    </row>
    <row r="584">
      <c r="A584" s="67"/>
      <c r="B584" s="67"/>
      <c r="C584" s="68"/>
      <c r="D584" s="70"/>
      <c r="E584" s="68"/>
      <c r="F584" s="20"/>
      <c r="G584" s="43"/>
      <c r="H584" s="43"/>
      <c r="I584" s="43"/>
      <c r="J584" s="63"/>
      <c r="K584" s="43"/>
      <c r="L584" s="43"/>
      <c r="M584" s="43"/>
      <c r="N584" s="43"/>
      <c r="O584" s="43"/>
      <c r="P584" s="43"/>
      <c r="Q584" s="43"/>
      <c r="R584" s="43"/>
      <c r="S584" s="43"/>
      <c r="T584" s="43"/>
      <c r="U584" s="43"/>
      <c r="V584" s="43"/>
      <c r="W584" s="43"/>
      <c r="X584" s="43"/>
      <c r="Y584" s="43"/>
      <c r="Z584" s="43"/>
    </row>
    <row r="585">
      <c r="A585" s="67"/>
      <c r="B585" s="67"/>
      <c r="C585" s="68"/>
      <c r="D585" s="70"/>
      <c r="E585" s="68"/>
      <c r="F585" s="20"/>
      <c r="G585" s="43"/>
      <c r="H585" s="43"/>
      <c r="I585" s="43"/>
      <c r="J585" s="63"/>
      <c r="K585" s="43"/>
      <c r="L585" s="43"/>
      <c r="M585" s="43"/>
      <c r="N585" s="43"/>
      <c r="O585" s="43"/>
      <c r="P585" s="43"/>
      <c r="Q585" s="43"/>
      <c r="R585" s="43"/>
      <c r="S585" s="43"/>
      <c r="T585" s="43"/>
      <c r="U585" s="43"/>
      <c r="V585" s="43"/>
      <c r="W585" s="43"/>
      <c r="X585" s="43"/>
      <c r="Y585" s="43"/>
      <c r="Z585" s="43"/>
    </row>
    <row r="586">
      <c r="A586" s="67"/>
      <c r="B586" s="67"/>
      <c r="C586" s="68"/>
      <c r="D586" s="70"/>
      <c r="E586" s="68"/>
      <c r="F586" s="20"/>
      <c r="G586" s="43"/>
      <c r="H586" s="43"/>
      <c r="I586" s="43"/>
      <c r="J586" s="63"/>
      <c r="K586" s="43"/>
      <c r="L586" s="43"/>
      <c r="M586" s="43"/>
      <c r="N586" s="43"/>
      <c r="O586" s="43"/>
      <c r="P586" s="43"/>
      <c r="Q586" s="43"/>
      <c r="R586" s="43"/>
      <c r="S586" s="43"/>
      <c r="T586" s="43"/>
      <c r="U586" s="43"/>
      <c r="V586" s="43"/>
      <c r="W586" s="43"/>
      <c r="X586" s="43"/>
      <c r="Y586" s="43"/>
      <c r="Z586" s="43"/>
    </row>
    <row r="587">
      <c r="A587" s="67"/>
      <c r="B587" s="67"/>
      <c r="C587" s="68"/>
      <c r="D587" s="70"/>
      <c r="E587" s="68"/>
      <c r="F587" s="20"/>
      <c r="G587" s="43"/>
      <c r="H587" s="43"/>
      <c r="I587" s="43"/>
      <c r="J587" s="63"/>
      <c r="K587" s="43"/>
      <c r="L587" s="43"/>
      <c r="M587" s="43"/>
      <c r="N587" s="43"/>
      <c r="O587" s="43"/>
      <c r="P587" s="43"/>
      <c r="Q587" s="43"/>
      <c r="R587" s="43"/>
      <c r="S587" s="43"/>
      <c r="T587" s="43"/>
      <c r="U587" s="43"/>
      <c r="V587" s="43"/>
      <c r="W587" s="43"/>
      <c r="X587" s="43"/>
      <c r="Y587" s="43"/>
      <c r="Z587" s="43"/>
    </row>
    <row r="588">
      <c r="A588" s="67"/>
      <c r="B588" s="67"/>
      <c r="C588" s="68"/>
      <c r="D588" s="70"/>
      <c r="E588" s="68"/>
      <c r="F588" s="20"/>
      <c r="G588" s="43"/>
      <c r="H588" s="43"/>
      <c r="I588" s="43"/>
      <c r="J588" s="63"/>
      <c r="K588" s="43"/>
      <c r="L588" s="43"/>
      <c r="M588" s="43"/>
      <c r="N588" s="43"/>
      <c r="O588" s="43"/>
      <c r="P588" s="43"/>
      <c r="Q588" s="43"/>
      <c r="R588" s="43"/>
      <c r="S588" s="43"/>
      <c r="T588" s="43"/>
      <c r="U588" s="43"/>
      <c r="V588" s="43"/>
      <c r="W588" s="43"/>
      <c r="X588" s="43"/>
      <c r="Y588" s="43"/>
      <c r="Z588" s="43"/>
    </row>
    <row r="589">
      <c r="A589" s="67"/>
      <c r="B589" s="67"/>
      <c r="C589" s="68"/>
      <c r="D589" s="70"/>
      <c r="E589" s="68"/>
      <c r="F589" s="20"/>
      <c r="G589" s="43"/>
      <c r="H589" s="43"/>
      <c r="I589" s="43"/>
      <c r="J589" s="63"/>
      <c r="K589" s="43"/>
      <c r="L589" s="43"/>
      <c r="M589" s="43"/>
      <c r="N589" s="43"/>
      <c r="O589" s="43"/>
      <c r="P589" s="43"/>
      <c r="Q589" s="43"/>
      <c r="R589" s="43"/>
      <c r="S589" s="43"/>
      <c r="T589" s="43"/>
      <c r="U589" s="43"/>
      <c r="V589" s="43"/>
      <c r="W589" s="43"/>
      <c r="X589" s="43"/>
      <c r="Y589" s="43"/>
      <c r="Z589" s="43"/>
    </row>
    <row r="590">
      <c r="A590" s="67"/>
      <c r="B590" s="67"/>
      <c r="C590" s="68"/>
      <c r="D590" s="70"/>
      <c r="E590" s="68"/>
      <c r="F590" s="20"/>
      <c r="G590" s="43"/>
      <c r="H590" s="43"/>
      <c r="I590" s="43"/>
      <c r="J590" s="63"/>
      <c r="K590" s="43"/>
      <c r="L590" s="43"/>
      <c r="M590" s="43"/>
      <c r="N590" s="43"/>
      <c r="O590" s="43"/>
      <c r="P590" s="43"/>
      <c r="Q590" s="43"/>
      <c r="R590" s="43"/>
      <c r="S590" s="43"/>
      <c r="T590" s="43"/>
      <c r="U590" s="43"/>
      <c r="V590" s="43"/>
      <c r="W590" s="43"/>
      <c r="X590" s="43"/>
      <c r="Y590" s="43"/>
      <c r="Z590" s="43"/>
    </row>
    <row r="591">
      <c r="A591" s="67"/>
      <c r="B591" s="67"/>
      <c r="C591" s="68"/>
      <c r="D591" s="70"/>
      <c r="E591" s="68"/>
      <c r="F591" s="20"/>
      <c r="G591" s="43"/>
      <c r="H591" s="43"/>
      <c r="I591" s="43"/>
      <c r="J591" s="63"/>
      <c r="K591" s="43"/>
      <c r="L591" s="43"/>
      <c r="M591" s="43"/>
      <c r="N591" s="43"/>
      <c r="O591" s="43"/>
      <c r="P591" s="43"/>
      <c r="Q591" s="43"/>
      <c r="R591" s="43"/>
      <c r="S591" s="43"/>
      <c r="T591" s="43"/>
      <c r="U591" s="43"/>
      <c r="V591" s="43"/>
      <c r="W591" s="43"/>
      <c r="X591" s="43"/>
      <c r="Y591" s="43"/>
      <c r="Z591" s="43"/>
    </row>
    <row r="592">
      <c r="A592" s="67"/>
      <c r="B592" s="67"/>
      <c r="C592" s="68"/>
      <c r="D592" s="70"/>
      <c r="E592" s="68"/>
      <c r="F592" s="20"/>
      <c r="G592" s="43"/>
      <c r="H592" s="43"/>
      <c r="I592" s="43"/>
      <c r="J592" s="63"/>
      <c r="K592" s="43"/>
      <c r="L592" s="43"/>
      <c r="M592" s="43"/>
      <c r="N592" s="43"/>
      <c r="O592" s="43"/>
      <c r="P592" s="43"/>
      <c r="Q592" s="43"/>
      <c r="R592" s="43"/>
      <c r="S592" s="43"/>
      <c r="T592" s="43"/>
      <c r="U592" s="43"/>
      <c r="V592" s="43"/>
      <c r="W592" s="43"/>
      <c r="X592" s="43"/>
      <c r="Y592" s="43"/>
      <c r="Z592" s="43"/>
    </row>
    <row r="593">
      <c r="A593" s="67"/>
      <c r="B593" s="67"/>
      <c r="C593" s="68"/>
      <c r="D593" s="70"/>
      <c r="E593" s="68"/>
      <c r="F593" s="20"/>
      <c r="G593" s="43"/>
      <c r="H593" s="43"/>
      <c r="I593" s="43"/>
      <c r="J593" s="63"/>
      <c r="K593" s="43"/>
      <c r="L593" s="43"/>
      <c r="M593" s="43"/>
      <c r="N593" s="43"/>
      <c r="O593" s="43"/>
      <c r="P593" s="43"/>
      <c r="Q593" s="43"/>
      <c r="R593" s="43"/>
      <c r="S593" s="43"/>
      <c r="T593" s="43"/>
      <c r="U593" s="43"/>
      <c r="V593" s="43"/>
      <c r="W593" s="43"/>
      <c r="X593" s="43"/>
      <c r="Y593" s="43"/>
      <c r="Z593" s="43"/>
    </row>
    <row r="594">
      <c r="A594" s="67"/>
      <c r="B594" s="67"/>
      <c r="C594" s="68"/>
      <c r="D594" s="70"/>
      <c r="E594" s="68"/>
      <c r="F594" s="20"/>
      <c r="G594" s="43"/>
      <c r="H594" s="43"/>
      <c r="I594" s="43"/>
      <c r="J594" s="63"/>
      <c r="K594" s="43"/>
      <c r="L594" s="43"/>
      <c r="M594" s="43"/>
      <c r="N594" s="43"/>
      <c r="O594" s="43"/>
      <c r="P594" s="43"/>
      <c r="Q594" s="43"/>
      <c r="R594" s="43"/>
      <c r="S594" s="43"/>
      <c r="T594" s="43"/>
      <c r="U594" s="43"/>
      <c r="V594" s="43"/>
      <c r="W594" s="43"/>
      <c r="X594" s="43"/>
      <c r="Y594" s="43"/>
      <c r="Z594" s="43"/>
    </row>
    <row r="595">
      <c r="A595" s="67"/>
      <c r="B595" s="67"/>
      <c r="C595" s="68"/>
      <c r="D595" s="70"/>
      <c r="E595" s="68"/>
      <c r="F595" s="20"/>
      <c r="G595" s="43"/>
      <c r="H595" s="43"/>
      <c r="I595" s="43"/>
      <c r="J595" s="63"/>
      <c r="K595" s="43"/>
      <c r="L595" s="43"/>
      <c r="M595" s="43"/>
      <c r="N595" s="43"/>
      <c r="O595" s="43"/>
      <c r="P595" s="43"/>
      <c r="Q595" s="43"/>
      <c r="R595" s="43"/>
      <c r="S595" s="43"/>
      <c r="T595" s="43"/>
      <c r="U595" s="43"/>
      <c r="V595" s="43"/>
      <c r="W595" s="43"/>
      <c r="X595" s="43"/>
      <c r="Y595" s="43"/>
      <c r="Z595" s="43"/>
    </row>
    <row r="596">
      <c r="A596" s="67"/>
      <c r="B596" s="67"/>
      <c r="C596" s="68"/>
      <c r="D596" s="70"/>
      <c r="E596" s="68"/>
      <c r="F596" s="20"/>
      <c r="G596" s="43"/>
      <c r="H596" s="43"/>
      <c r="I596" s="43"/>
      <c r="J596" s="63"/>
      <c r="K596" s="43"/>
      <c r="L596" s="43"/>
      <c r="M596" s="43"/>
      <c r="N596" s="43"/>
      <c r="O596" s="43"/>
      <c r="P596" s="43"/>
      <c r="Q596" s="43"/>
      <c r="R596" s="43"/>
      <c r="S596" s="43"/>
      <c r="T596" s="43"/>
      <c r="U596" s="43"/>
      <c r="V596" s="43"/>
      <c r="W596" s="43"/>
      <c r="X596" s="43"/>
      <c r="Y596" s="43"/>
      <c r="Z596" s="43"/>
    </row>
    <row r="597">
      <c r="A597" s="67"/>
      <c r="B597" s="67"/>
      <c r="C597" s="68"/>
      <c r="D597" s="70"/>
      <c r="E597" s="68"/>
      <c r="F597" s="20"/>
      <c r="G597" s="43"/>
      <c r="H597" s="43"/>
      <c r="I597" s="43"/>
      <c r="J597" s="63"/>
      <c r="K597" s="43"/>
      <c r="L597" s="43"/>
      <c r="M597" s="43"/>
      <c r="N597" s="43"/>
      <c r="O597" s="43"/>
      <c r="P597" s="43"/>
      <c r="Q597" s="43"/>
      <c r="R597" s="43"/>
      <c r="S597" s="43"/>
      <c r="T597" s="43"/>
      <c r="U597" s="43"/>
      <c r="V597" s="43"/>
      <c r="W597" s="43"/>
      <c r="X597" s="43"/>
      <c r="Y597" s="43"/>
      <c r="Z597" s="43"/>
    </row>
    <row r="598">
      <c r="A598" s="67"/>
      <c r="B598" s="67"/>
      <c r="C598" s="68"/>
      <c r="D598" s="70"/>
      <c r="E598" s="68"/>
      <c r="F598" s="20"/>
      <c r="G598" s="43"/>
      <c r="H598" s="43"/>
      <c r="I598" s="43"/>
      <c r="J598" s="63"/>
      <c r="K598" s="43"/>
      <c r="L598" s="43"/>
      <c r="M598" s="43"/>
      <c r="N598" s="43"/>
      <c r="O598" s="43"/>
      <c r="P598" s="43"/>
      <c r="Q598" s="43"/>
      <c r="R598" s="43"/>
      <c r="S598" s="43"/>
      <c r="T598" s="43"/>
      <c r="U598" s="43"/>
      <c r="V598" s="43"/>
      <c r="W598" s="43"/>
      <c r="X598" s="43"/>
      <c r="Y598" s="43"/>
      <c r="Z598" s="43"/>
    </row>
    <row r="599">
      <c r="A599" s="67"/>
      <c r="B599" s="67"/>
      <c r="C599" s="68"/>
      <c r="D599" s="70"/>
      <c r="E599" s="68"/>
      <c r="F599" s="20"/>
      <c r="G599" s="43"/>
      <c r="H599" s="43"/>
      <c r="I599" s="43"/>
      <c r="J599" s="63"/>
      <c r="K599" s="43"/>
      <c r="L599" s="43"/>
      <c r="M599" s="43"/>
      <c r="N599" s="43"/>
      <c r="O599" s="43"/>
      <c r="P599" s="43"/>
      <c r="Q599" s="43"/>
      <c r="R599" s="43"/>
      <c r="S599" s="43"/>
      <c r="T599" s="43"/>
      <c r="U599" s="43"/>
      <c r="V599" s="43"/>
      <c r="W599" s="43"/>
      <c r="X599" s="43"/>
      <c r="Y599" s="43"/>
      <c r="Z599" s="43"/>
    </row>
    <row r="600">
      <c r="A600" s="67"/>
      <c r="B600" s="67"/>
      <c r="C600" s="68"/>
      <c r="D600" s="70"/>
      <c r="E600" s="68"/>
      <c r="F600" s="20"/>
      <c r="G600" s="43"/>
      <c r="H600" s="43"/>
      <c r="I600" s="43"/>
      <c r="J600" s="63"/>
      <c r="K600" s="43"/>
      <c r="L600" s="43"/>
      <c r="M600" s="43"/>
      <c r="N600" s="43"/>
      <c r="O600" s="43"/>
      <c r="P600" s="43"/>
      <c r="Q600" s="43"/>
      <c r="R600" s="43"/>
      <c r="S600" s="43"/>
      <c r="T600" s="43"/>
      <c r="U600" s="43"/>
      <c r="V600" s="43"/>
      <c r="W600" s="43"/>
      <c r="X600" s="43"/>
      <c r="Y600" s="43"/>
      <c r="Z600" s="43"/>
    </row>
    <row r="601">
      <c r="A601" s="67"/>
      <c r="B601" s="67"/>
      <c r="C601" s="68"/>
      <c r="D601" s="70"/>
      <c r="E601" s="68"/>
      <c r="F601" s="20"/>
      <c r="G601" s="43"/>
      <c r="H601" s="43"/>
      <c r="I601" s="43"/>
      <c r="J601" s="63"/>
      <c r="K601" s="43"/>
      <c r="L601" s="43"/>
      <c r="M601" s="43"/>
      <c r="N601" s="43"/>
      <c r="O601" s="43"/>
      <c r="P601" s="43"/>
      <c r="Q601" s="43"/>
      <c r="R601" s="43"/>
      <c r="S601" s="43"/>
      <c r="T601" s="43"/>
      <c r="U601" s="43"/>
      <c r="V601" s="43"/>
      <c r="W601" s="43"/>
      <c r="X601" s="43"/>
      <c r="Y601" s="43"/>
      <c r="Z601" s="43"/>
    </row>
    <row r="602">
      <c r="A602" s="67"/>
      <c r="B602" s="67"/>
      <c r="C602" s="68"/>
      <c r="D602" s="70"/>
      <c r="E602" s="68"/>
      <c r="F602" s="20"/>
      <c r="G602" s="43"/>
      <c r="H602" s="43"/>
      <c r="I602" s="43"/>
      <c r="J602" s="63"/>
      <c r="K602" s="43"/>
      <c r="L602" s="43"/>
      <c r="M602" s="43"/>
      <c r="N602" s="43"/>
      <c r="O602" s="43"/>
      <c r="P602" s="43"/>
      <c r="Q602" s="43"/>
      <c r="R602" s="43"/>
      <c r="S602" s="43"/>
      <c r="T602" s="43"/>
      <c r="U602" s="43"/>
      <c r="V602" s="43"/>
      <c r="W602" s="43"/>
      <c r="X602" s="43"/>
      <c r="Y602" s="43"/>
      <c r="Z602" s="43"/>
    </row>
    <row r="603">
      <c r="A603" s="67"/>
      <c r="B603" s="67"/>
      <c r="C603" s="68"/>
      <c r="D603" s="70"/>
      <c r="E603" s="68"/>
      <c r="F603" s="20"/>
      <c r="G603" s="43"/>
      <c r="H603" s="43"/>
      <c r="I603" s="43"/>
      <c r="J603" s="63"/>
      <c r="K603" s="43"/>
      <c r="L603" s="43"/>
      <c r="M603" s="43"/>
      <c r="N603" s="43"/>
      <c r="O603" s="43"/>
      <c r="P603" s="43"/>
      <c r="Q603" s="43"/>
      <c r="R603" s="43"/>
      <c r="S603" s="43"/>
      <c r="T603" s="43"/>
      <c r="U603" s="43"/>
      <c r="V603" s="43"/>
      <c r="W603" s="43"/>
      <c r="X603" s="43"/>
      <c r="Y603" s="43"/>
      <c r="Z603" s="43"/>
    </row>
    <row r="604">
      <c r="A604" s="67"/>
      <c r="B604" s="67"/>
      <c r="C604" s="68"/>
      <c r="D604" s="70"/>
      <c r="E604" s="68"/>
      <c r="F604" s="20"/>
      <c r="G604" s="43"/>
      <c r="H604" s="43"/>
      <c r="I604" s="43"/>
      <c r="J604" s="63"/>
      <c r="K604" s="43"/>
      <c r="L604" s="43"/>
      <c r="M604" s="43"/>
      <c r="N604" s="43"/>
      <c r="O604" s="43"/>
      <c r="P604" s="43"/>
      <c r="Q604" s="43"/>
      <c r="R604" s="43"/>
      <c r="S604" s="43"/>
      <c r="T604" s="43"/>
      <c r="U604" s="43"/>
      <c r="V604" s="43"/>
      <c r="W604" s="43"/>
      <c r="X604" s="43"/>
      <c r="Y604" s="43"/>
      <c r="Z604" s="43"/>
    </row>
    <row r="605">
      <c r="A605" s="67"/>
      <c r="B605" s="67"/>
      <c r="C605" s="68"/>
      <c r="D605" s="70"/>
      <c r="E605" s="68"/>
      <c r="F605" s="20"/>
      <c r="G605" s="43"/>
      <c r="H605" s="43"/>
      <c r="I605" s="43"/>
      <c r="J605" s="63"/>
      <c r="K605" s="43"/>
      <c r="L605" s="43"/>
      <c r="M605" s="43"/>
      <c r="N605" s="43"/>
      <c r="O605" s="43"/>
      <c r="P605" s="43"/>
      <c r="Q605" s="43"/>
      <c r="R605" s="43"/>
      <c r="S605" s="43"/>
      <c r="T605" s="43"/>
      <c r="U605" s="43"/>
      <c r="V605" s="43"/>
      <c r="W605" s="43"/>
      <c r="X605" s="43"/>
      <c r="Y605" s="43"/>
      <c r="Z605" s="43"/>
    </row>
    <row r="606">
      <c r="A606" s="67"/>
      <c r="B606" s="67"/>
      <c r="C606" s="68"/>
      <c r="D606" s="70"/>
      <c r="E606" s="68"/>
      <c r="F606" s="20"/>
      <c r="G606" s="43"/>
      <c r="H606" s="43"/>
      <c r="I606" s="43"/>
      <c r="J606" s="63"/>
      <c r="K606" s="43"/>
      <c r="L606" s="43"/>
      <c r="M606" s="43"/>
      <c r="N606" s="43"/>
      <c r="O606" s="43"/>
      <c r="P606" s="43"/>
      <c r="Q606" s="43"/>
      <c r="R606" s="43"/>
      <c r="S606" s="43"/>
      <c r="T606" s="43"/>
      <c r="U606" s="43"/>
      <c r="V606" s="43"/>
      <c r="W606" s="43"/>
      <c r="X606" s="43"/>
      <c r="Y606" s="43"/>
      <c r="Z606" s="43"/>
    </row>
    <row r="607">
      <c r="A607" s="67"/>
      <c r="B607" s="67"/>
      <c r="C607" s="68"/>
      <c r="D607" s="70"/>
      <c r="E607" s="68"/>
      <c r="F607" s="20"/>
      <c r="G607" s="43"/>
      <c r="H607" s="43"/>
      <c r="I607" s="43"/>
      <c r="J607" s="63"/>
      <c r="K607" s="43"/>
      <c r="L607" s="43"/>
      <c r="M607" s="43"/>
      <c r="N607" s="43"/>
      <c r="O607" s="43"/>
      <c r="P607" s="43"/>
      <c r="Q607" s="43"/>
      <c r="R607" s="43"/>
      <c r="S607" s="43"/>
      <c r="T607" s="43"/>
      <c r="U607" s="43"/>
      <c r="V607" s="43"/>
      <c r="W607" s="43"/>
      <c r="X607" s="43"/>
      <c r="Y607" s="43"/>
      <c r="Z607" s="43"/>
    </row>
    <row r="608">
      <c r="A608" s="67"/>
      <c r="B608" s="67"/>
      <c r="C608" s="68"/>
      <c r="D608" s="70"/>
      <c r="E608" s="68"/>
      <c r="F608" s="20"/>
      <c r="G608" s="43"/>
      <c r="H608" s="43"/>
      <c r="I608" s="43"/>
      <c r="J608" s="63"/>
      <c r="K608" s="43"/>
      <c r="L608" s="43"/>
      <c r="M608" s="43"/>
      <c r="N608" s="43"/>
      <c r="O608" s="43"/>
      <c r="P608" s="43"/>
      <c r="Q608" s="43"/>
      <c r="R608" s="43"/>
      <c r="S608" s="43"/>
      <c r="T608" s="43"/>
      <c r="U608" s="43"/>
      <c r="V608" s="43"/>
      <c r="W608" s="43"/>
      <c r="X608" s="43"/>
      <c r="Y608" s="43"/>
      <c r="Z608" s="43"/>
    </row>
    <row r="609">
      <c r="A609" s="67"/>
      <c r="B609" s="67"/>
      <c r="C609" s="68"/>
      <c r="D609" s="70"/>
      <c r="E609" s="68"/>
      <c r="F609" s="20"/>
      <c r="G609" s="43"/>
      <c r="H609" s="43"/>
      <c r="I609" s="43"/>
      <c r="J609" s="63"/>
      <c r="K609" s="43"/>
      <c r="L609" s="43"/>
      <c r="M609" s="43"/>
      <c r="N609" s="43"/>
      <c r="O609" s="43"/>
      <c r="P609" s="43"/>
      <c r="Q609" s="43"/>
      <c r="R609" s="43"/>
      <c r="S609" s="43"/>
      <c r="T609" s="43"/>
      <c r="U609" s="43"/>
      <c r="V609" s="43"/>
      <c r="W609" s="43"/>
      <c r="X609" s="43"/>
      <c r="Y609" s="43"/>
      <c r="Z609" s="43"/>
    </row>
    <row r="610">
      <c r="A610" s="67"/>
      <c r="B610" s="67"/>
      <c r="C610" s="68"/>
      <c r="D610" s="70"/>
      <c r="E610" s="68"/>
      <c r="F610" s="20"/>
      <c r="G610" s="43"/>
      <c r="H610" s="43"/>
      <c r="I610" s="43"/>
      <c r="J610" s="63"/>
      <c r="K610" s="43"/>
      <c r="L610" s="43"/>
      <c r="M610" s="43"/>
      <c r="N610" s="43"/>
      <c r="O610" s="43"/>
      <c r="P610" s="43"/>
      <c r="Q610" s="43"/>
      <c r="R610" s="43"/>
      <c r="S610" s="43"/>
      <c r="T610" s="43"/>
      <c r="U610" s="43"/>
      <c r="V610" s="43"/>
      <c r="W610" s="43"/>
      <c r="X610" s="43"/>
      <c r="Y610" s="43"/>
      <c r="Z610" s="43"/>
    </row>
    <row r="611">
      <c r="A611" s="67"/>
      <c r="B611" s="67"/>
      <c r="C611" s="68"/>
      <c r="D611" s="70"/>
      <c r="E611" s="68"/>
      <c r="F611" s="20"/>
      <c r="G611" s="43"/>
      <c r="H611" s="43"/>
      <c r="I611" s="43"/>
      <c r="J611" s="63"/>
      <c r="K611" s="43"/>
      <c r="L611" s="43"/>
      <c r="M611" s="43"/>
      <c r="N611" s="43"/>
      <c r="O611" s="43"/>
      <c r="P611" s="43"/>
      <c r="Q611" s="43"/>
      <c r="R611" s="43"/>
      <c r="S611" s="43"/>
      <c r="T611" s="43"/>
      <c r="U611" s="43"/>
      <c r="V611" s="43"/>
      <c r="W611" s="43"/>
      <c r="X611" s="43"/>
      <c r="Y611" s="43"/>
      <c r="Z611" s="43"/>
    </row>
    <row r="612">
      <c r="A612" s="67"/>
      <c r="B612" s="67"/>
      <c r="C612" s="68"/>
      <c r="D612" s="70"/>
      <c r="E612" s="68"/>
      <c r="F612" s="20"/>
      <c r="G612" s="43"/>
      <c r="H612" s="43"/>
      <c r="I612" s="43"/>
      <c r="J612" s="63"/>
      <c r="K612" s="43"/>
      <c r="L612" s="43"/>
      <c r="M612" s="43"/>
      <c r="N612" s="43"/>
      <c r="O612" s="43"/>
      <c r="P612" s="43"/>
      <c r="Q612" s="43"/>
      <c r="R612" s="43"/>
      <c r="S612" s="43"/>
      <c r="T612" s="43"/>
      <c r="U612" s="43"/>
      <c r="V612" s="43"/>
      <c r="W612" s="43"/>
      <c r="X612" s="43"/>
      <c r="Y612" s="43"/>
      <c r="Z612" s="43"/>
    </row>
    <row r="613">
      <c r="A613" s="67"/>
      <c r="B613" s="67"/>
      <c r="C613" s="68"/>
      <c r="D613" s="70"/>
      <c r="E613" s="68"/>
      <c r="F613" s="20"/>
      <c r="G613" s="43"/>
      <c r="H613" s="43"/>
      <c r="I613" s="43"/>
      <c r="J613" s="63"/>
      <c r="K613" s="43"/>
      <c r="L613" s="43"/>
      <c r="M613" s="43"/>
      <c r="N613" s="43"/>
      <c r="O613" s="43"/>
      <c r="P613" s="43"/>
      <c r="Q613" s="43"/>
      <c r="R613" s="43"/>
      <c r="S613" s="43"/>
      <c r="T613" s="43"/>
      <c r="U613" s="43"/>
      <c r="V613" s="43"/>
      <c r="W613" s="43"/>
      <c r="X613" s="43"/>
      <c r="Y613" s="43"/>
      <c r="Z613" s="43"/>
    </row>
    <row r="614">
      <c r="A614" s="67"/>
      <c r="B614" s="67"/>
      <c r="C614" s="68"/>
      <c r="D614" s="70"/>
      <c r="E614" s="68"/>
      <c r="F614" s="20"/>
      <c r="G614" s="43"/>
      <c r="H614" s="43"/>
      <c r="I614" s="43"/>
      <c r="J614" s="63"/>
      <c r="K614" s="43"/>
      <c r="L614" s="43"/>
      <c r="M614" s="43"/>
      <c r="N614" s="43"/>
      <c r="O614" s="43"/>
      <c r="P614" s="43"/>
      <c r="Q614" s="43"/>
      <c r="R614" s="43"/>
      <c r="S614" s="43"/>
      <c r="T614" s="43"/>
      <c r="U614" s="43"/>
      <c r="V614" s="43"/>
      <c r="W614" s="43"/>
      <c r="X614" s="43"/>
      <c r="Y614" s="43"/>
      <c r="Z614" s="43"/>
    </row>
    <row r="615">
      <c r="A615" s="67"/>
      <c r="B615" s="67"/>
      <c r="C615" s="68"/>
      <c r="D615" s="70"/>
      <c r="E615" s="68"/>
      <c r="F615" s="20"/>
      <c r="G615" s="43"/>
      <c r="H615" s="43"/>
      <c r="I615" s="43"/>
      <c r="J615" s="63"/>
      <c r="K615" s="43"/>
      <c r="L615" s="43"/>
      <c r="M615" s="43"/>
      <c r="N615" s="43"/>
      <c r="O615" s="43"/>
      <c r="P615" s="43"/>
      <c r="Q615" s="43"/>
      <c r="R615" s="43"/>
      <c r="S615" s="43"/>
      <c r="T615" s="43"/>
      <c r="U615" s="43"/>
      <c r="V615" s="43"/>
      <c r="W615" s="43"/>
      <c r="X615" s="43"/>
      <c r="Y615" s="43"/>
      <c r="Z615" s="43"/>
    </row>
    <row r="616">
      <c r="A616" s="67"/>
      <c r="B616" s="67"/>
      <c r="C616" s="68"/>
      <c r="D616" s="70"/>
      <c r="E616" s="68"/>
      <c r="F616" s="20"/>
      <c r="G616" s="43"/>
      <c r="H616" s="43"/>
      <c r="I616" s="43"/>
      <c r="J616" s="63"/>
      <c r="K616" s="43"/>
      <c r="L616" s="43"/>
      <c r="M616" s="43"/>
      <c r="N616" s="43"/>
      <c r="O616" s="43"/>
      <c r="P616" s="43"/>
      <c r="Q616" s="43"/>
      <c r="R616" s="43"/>
      <c r="S616" s="43"/>
      <c r="T616" s="43"/>
      <c r="U616" s="43"/>
      <c r="V616" s="43"/>
      <c r="W616" s="43"/>
      <c r="X616" s="43"/>
      <c r="Y616" s="43"/>
      <c r="Z616" s="43"/>
    </row>
    <row r="617">
      <c r="A617" s="67"/>
      <c r="B617" s="67"/>
      <c r="C617" s="68"/>
      <c r="D617" s="70"/>
      <c r="E617" s="68"/>
      <c r="F617" s="20"/>
      <c r="G617" s="43"/>
      <c r="H617" s="43"/>
      <c r="I617" s="43"/>
      <c r="J617" s="63"/>
      <c r="K617" s="43"/>
      <c r="L617" s="43"/>
      <c r="M617" s="43"/>
      <c r="N617" s="43"/>
      <c r="O617" s="43"/>
      <c r="P617" s="43"/>
      <c r="Q617" s="43"/>
      <c r="R617" s="43"/>
      <c r="S617" s="43"/>
      <c r="T617" s="43"/>
      <c r="U617" s="43"/>
      <c r="V617" s="43"/>
      <c r="W617" s="43"/>
      <c r="X617" s="43"/>
      <c r="Y617" s="43"/>
      <c r="Z617" s="43"/>
    </row>
    <row r="618">
      <c r="A618" s="67"/>
      <c r="B618" s="67"/>
      <c r="C618" s="68"/>
      <c r="D618" s="70"/>
      <c r="E618" s="68"/>
      <c r="F618" s="20"/>
      <c r="G618" s="43"/>
      <c r="H618" s="43"/>
      <c r="I618" s="43"/>
      <c r="J618" s="63"/>
      <c r="K618" s="43"/>
      <c r="L618" s="43"/>
      <c r="M618" s="43"/>
      <c r="N618" s="43"/>
      <c r="O618" s="43"/>
      <c r="P618" s="43"/>
      <c r="Q618" s="43"/>
      <c r="R618" s="43"/>
      <c r="S618" s="43"/>
      <c r="T618" s="43"/>
      <c r="U618" s="43"/>
      <c r="V618" s="43"/>
      <c r="W618" s="43"/>
      <c r="X618" s="43"/>
      <c r="Y618" s="43"/>
      <c r="Z618" s="43"/>
    </row>
    <row r="619">
      <c r="A619" s="67"/>
      <c r="B619" s="67"/>
      <c r="C619" s="68"/>
      <c r="D619" s="70"/>
      <c r="E619" s="68"/>
      <c r="F619" s="20"/>
      <c r="G619" s="43"/>
      <c r="H619" s="43"/>
      <c r="I619" s="43"/>
      <c r="J619" s="63"/>
      <c r="K619" s="43"/>
      <c r="L619" s="43"/>
      <c r="M619" s="43"/>
      <c r="N619" s="43"/>
      <c r="O619" s="43"/>
      <c r="P619" s="43"/>
      <c r="Q619" s="43"/>
      <c r="R619" s="43"/>
      <c r="S619" s="43"/>
      <c r="T619" s="43"/>
      <c r="U619" s="43"/>
      <c r="V619" s="43"/>
      <c r="W619" s="43"/>
      <c r="X619" s="43"/>
      <c r="Y619" s="43"/>
      <c r="Z619" s="43"/>
    </row>
    <row r="620">
      <c r="A620" s="67"/>
      <c r="B620" s="67"/>
      <c r="C620" s="68"/>
      <c r="D620" s="70"/>
      <c r="E620" s="68"/>
      <c r="F620" s="20"/>
      <c r="G620" s="43"/>
      <c r="H620" s="43"/>
      <c r="I620" s="43"/>
      <c r="J620" s="63"/>
      <c r="K620" s="43"/>
      <c r="L620" s="43"/>
      <c r="M620" s="43"/>
      <c r="N620" s="43"/>
      <c r="O620" s="43"/>
      <c r="P620" s="43"/>
      <c r="Q620" s="43"/>
      <c r="R620" s="43"/>
      <c r="S620" s="43"/>
      <c r="T620" s="43"/>
      <c r="U620" s="43"/>
      <c r="V620" s="43"/>
      <c r="W620" s="43"/>
      <c r="X620" s="43"/>
      <c r="Y620" s="43"/>
      <c r="Z620" s="43"/>
    </row>
    <row r="621">
      <c r="A621" s="67"/>
      <c r="B621" s="67"/>
      <c r="C621" s="68"/>
      <c r="D621" s="70"/>
      <c r="E621" s="68"/>
      <c r="F621" s="20"/>
      <c r="G621" s="43"/>
      <c r="H621" s="43"/>
      <c r="I621" s="43"/>
      <c r="J621" s="63"/>
      <c r="K621" s="43"/>
      <c r="L621" s="43"/>
      <c r="M621" s="43"/>
      <c r="N621" s="43"/>
      <c r="O621" s="43"/>
      <c r="P621" s="43"/>
      <c r="Q621" s="43"/>
      <c r="R621" s="43"/>
      <c r="S621" s="43"/>
      <c r="T621" s="43"/>
      <c r="U621" s="43"/>
      <c r="V621" s="43"/>
      <c r="W621" s="43"/>
      <c r="X621" s="43"/>
      <c r="Y621" s="43"/>
      <c r="Z621" s="43"/>
    </row>
    <row r="622">
      <c r="A622" s="67"/>
      <c r="B622" s="67"/>
      <c r="C622" s="68"/>
      <c r="D622" s="70"/>
      <c r="E622" s="68"/>
      <c r="F622" s="20"/>
      <c r="G622" s="43"/>
      <c r="H622" s="43"/>
      <c r="I622" s="43"/>
      <c r="J622" s="63"/>
      <c r="K622" s="43"/>
      <c r="L622" s="43"/>
      <c r="M622" s="43"/>
      <c r="N622" s="43"/>
      <c r="O622" s="43"/>
      <c r="P622" s="43"/>
      <c r="Q622" s="43"/>
      <c r="R622" s="43"/>
      <c r="S622" s="43"/>
      <c r="T622" s="43"/>
      <c r="U622" s="43"/>
      <c r="V622" s="43"/>
      <c r="W622" s="43"/>
      <c r="X622" s="43"/>
      <c r="Y622" s="43"/>
      <c r="Z622" s="43"/>
    </row>
    <row r="623">
      <c r="A623" s="67"/>
      <c r="B623" s="67"/>
      <c r="C623" s="68"/>
      <c r="D623" s="70"/>
      <c r="E623" s="68"/>
      <c r="F623" s="20"/>
      <c r="G623" s="43"/>
      <c r="H623" s="43"/>
      <c r="I623" s="43"/>
      <c r="J623" s="63"/>
      <c r="K623" s="43"/>
      <c r="L623" s="43"/>
      <c r="M623" s="43"/>
      <c r="N623" s="43"/>
      <c r="O623" s="43"/>
      <c r="P623" s="43"/>
      <c r="Q623" s="43"/>
      <c r="R623" s="43"/>
      <c r="S623" s="43"/>
      <c r="T623" s="43"/>
      <c r="U623" s="43"/>
      <c r="V623" s="43"/>
      <c r="W623" s="43"/>
      <c r="X623" s="43"/>
      <c r="Y623" s="43"/>
      <c r="Z623" s="43"/>
    </row>
    <row r="624">
      <c r="A624" s="67"/>
      <c r="B624" s="67"/>
      <c r="C624" s="68"/>
      <c r="D624" s="70"/>
      <c r="E624" s="68"/>
      <c r="F624" s="20"/>
      <c r="G624" s="43"/>
      <c r="H624" s="43"/>
      <c r="I624" s="43"/>
      <c r="J624" s="63"/>
      <c r="K624" s="43"/>
      <c r="L624" s="43"/>
      <c r="M624" s="43"/>
      <c r="N624" s="43"/>
      <c r="O624" s="43"/>
      <c r="P624" s="43"/>
      <c r="Q624" s="43"/>
      <c r="R624" s="43"/>
      <c r="S624" s="43"/>
      <c r="T624" s="43"/>
      <c r="U624" s="43"/>
      <c r="V624" s="43"/>
      <c r="W624" s="43"/>
      <c r="X624" s="43"/>
      <c r="Y624" s="43"/>
      <c r="Z624" s="43"/>
    </row>
    <row r="625">
      <c r="A625" s="67"/>
      <c r="B625" s="67"/>
      <c r="C625" s="68"/>
      <c r="D625" s="70"/>
      <c r="E625" s="68"/>
      <c r="F625" s="20"/>
      <c r="G625" s="43"/>
      <c r="H625" s="43"/>
      <c r="I625" s="43"/>
      <c r="J625" s="63"/>
      <c r="K625" s="43"/>
      <c r="L625" s="43"/>
      <c r="M625" s="43"/>
      <c r="N625" s="43"/>
      <c r="O625" s="43"/>
      <c r="P625" s="43"/>
      <c r="Q625" s="43"/>
      <c r="R625" s="43"/>
      <c r="S625" s="43"/>
      <c r="T625" s="43"/>
      <c r="U625" s="43"/>
      <c r="V625" s="43"/>
      <c r="W625" s="43"/>
      <c r="X625" s="43"/>
      <c r="Y625" s="43"/>
      <c r="Z625" s="43"/>
    </row>
    <row r="626">
      <c r="A626" s="67"/>
      <c r="B626" s="67"/>
      <c r="C626" s="68"/>
      <c r="D626" s="70"/>
      <c r="E626" s="68"/>
      <c r="F626" s="20"/>
      <c r="G626" s="43"/>
      <c r="H626" s="43"/>
      <c r="I626" s="43"/>
      <c r="J626" s="63"/>
      <c r="K626" s="43"/>
      <c r="L626" s="43"/>
      <c r="M626" s="43"/>
      <c r="N626" s="43"/>
      <c r="O626" s="43"/>
      <c r="P626" s="43"/>
      <c r="Q626" s="43"/>
      <c r="R626" s="43"/>
      <c r="S626" s="43"/>
      <c r="T626" s="43"/>
      <c r="U626" s="43"/>
      <c r="V626" s="43"/>
      <c r="W626" s="43"/>
      <c r="X626" s="43"/>
      <c r="Y626" s="43"/>
      <c r="Z626" s="43"/>
    </row>
    <row r="627">
      <c r="A627" s="67"/>
      <c r="B627" s="67"/>
      <c r="C627" s="68"/>
      <c r="D627" s="70"/>
      <c r="E627" s="68"/>
      <c r="F627" s="20"/>
      <c r="G627" s="43"/>
      <c r="H627" s="43"/>
      <c r="I627" s="43"/>
      <c r="J627" s="63"/>
      <c r="K627" s="43"/>
      <c r="L627" s="43"/>
      <c r="M627" s="43"/>
      <c r="N627" s="43"/>
      <c r="O627" s="43"/>
      <c r="P627" s="43"/>
      <c r="Q627" s="43"/>
      <c r="R627" s="43"/>
      <c r="S627" s="43"/>
      <c r="T627" s="43"/>
      <c r="U627" s="43"/>
      <c r="V627" s="43"/>
      <c r="W627" s="43"/>
      <c r="X627" s="43"/>
      <c r="Y627" s="43"/>
      <c r="Z627" s="43"/>
    </row>
    <row r="628">
      <c r="A628" s="67"/>
      <c r="B628" s="67"/>
      <c r="C628" s="68"/>
      <c r="D628" s="70"/>
      <c r="E628" s="68"/>
      <c r="F628" s="20"/>
      <c r="G628" s="43"/>
      <c r="H628" s="43"/>
      <c r="I628" s="43"/>
      <c r="J628" s="63"/>
      <c r="K628" s="43"/>
      <c r="L628" s="43"/>
      <c r="M628" s="43"/>
      <c r="N628" s="43"/>
      <c r="O628" s="43"/>
      <c r="P628" s="43"/>
      <c r="Q628" s="43"/>
      <c r="R628" s="43"/>
      <c r="S628" s="43"/>
      <c r="T628" s="43"/>
      <c r="U628" s="43"/>
      <c r="V628" s="43"/>
      <c r="W628" s="43"/>
      <c r="X628" s="43"/>
      <c r="Y628" s="43"/>
      <c r="Z628" s="43"/>
    </row>
    <row r="629">
      <c r="A629" s="67"/>
      <c r="B629" s="67"/>
      <c r="C629" s="68"/>
      <c r="D629" s="70"/>
      <c r="E629" s="68"/>
      <c r="F629" s="20"/>
      <c r="G629" s="43"/>
      <c r="H629" s="43"/>
      <c r="I629" s="43"/>
      <c r="J629" s="63"/>
      <c r="K629" s="43"/>
      <c r="L629" s="43"/>
      <c r="M629" s="43"/>
      <c r="N629" s="43"/>
      <c r="O629" s="43"/>
      <c r="P629" s="43"/>
      <c r="Q629" s="43"/>
      <c r="R629" s="43"/>
      <c r="S629" s="43"/>
      <c r="T629" s="43"/>
      <c r="U629" s="43"/>
      <c r="V629" s="43"/>
      <c r="W629" s="43"/>
      <c r="X629" s="43"/>
      <c r="Y629" s="43"/>
      <c r="Z629" s="43"/>
    </row>
    <row r="630">
      <c r="A630" s="67"/>
      <c r="B630" s="67"/>
      <c r="C630" s="68"/>
      <c r="D630" s="70"/>
      <c r="E630" s="68"/>
      <c r="F630" s="20"/>
      <c r="G630" s="43"/>
      <c r="H630" s="43"/>
      <c r="I630" s="43"/>
      <c r="J630" s="63"/>
      <c r="K630" s="43"/>
      <c r="L630" s="43"/>
      <c r="M630" s="43"/>
      <c r="N630" s="43"/>
      <c r="O630" s="43"/>
      <c r="P630" s="43"/>
      <c r="Q630" s="43"/>
      <c r="R630" s="43"/>
      <c r="S630" s="43"/>
      <c r="T630" s="43"/>
      <c r="U630" s="43"/>
      <c r="V630" s="43"/>
      <c r="W630" s="43"/>
      <c r="X630" s="43"/>
      <c r="Y630" s="43"/>
      <c r="Z630" s="43"/>
    </row>
    <row r="631">
      <c r="A631" s="67"/>
      <c r="B631" s="67"/>
      <c r="C631" s="68"/>
      <c r="D631" s="70"/>
      <c r="E631" s="68"/>
      <c r="F631" s="20"/>
      <c r="G631" s="43"/>
      <c r="H631" s="43"/>
      <c r="I631" s="43"/>
      <c r="J631" s="63"/>
      <c r="K631" s="43"/>
      <c r="L631" s="43"/>
      <c r="M631" s="43"/>
      <c r="N631" s="43"/>
      <c r="O631" s="43"/>
      <c r="P631" s="43"/>
      <c r="Q631" s="43"/>
      <c r="R631" s="43"/>
      <c r="S631" s="43"/>
      <c r="T631" s="43"/>
      <c r="U631" s="43"/>
      <c r="V631" s="43"/>
      <c r="W631" s="43"/>
      <c r="X631" s="43"/>
      <c r="Y631" s="43"/>
      <c r="Z631" s="43"/>
    </row>
    <row r="632">
      <c r="A632" s="67"/>
      <c r="B632" s="67"/>
      <c r="C632" s="68"/>
      <c r="D632" s="70"/>
      <c r="E632" s="68"/>
      <c r="F632" s="20"/>
      <c r="G632" s="43"/>
      <c r="H632" s="43"/>
      <c r="I632" s="43"/>
      <c r="J632" s="63"/>
      <c r="K632" s="43"/>
      <c r="L632" s="43"/>
      <c r="M632" s="43"/>
      <c r="N632" s="43"/>
      <c r="O632" s="43"/>
      <c r="P632" s="43"/>
      <c r="Q632" s="43"/>
      <c r="R632" s="43"/>
      <c r="S632" s="43"/>
      <c r="T632" s="43"/>
      <c r="U632" s="43"/>
      <c r="V632" s="43"/>
      <c r="W632" s="43"/>
      <c r="X632" s="43"/>
      <c r="Y632" s="43"/>
      <c r="Z632" s="43"/>
    </row>
    <row r="633">
      <c r="A633" s="67"/>
      <c r="B633" s="67"/>
      <c r="C633" s="68"/>
      <c r="D633" s="70"/>
      <c r="E633" s="68"/>
      <c r="F633" s="20"/>
      <c r="G633" s="43"/>
      <c r="H633" s="43"/>
      <c r="I633" s="43"/>
      <c r="J633" s="63"/>
      <c r="K633" s="43"/>
      <c r="L633" s="43"/>
      <c r="M633" s="43"/>
      <c r="N633" s="43"/>
      <c r="O633" s="43"/>
      <c r="P633" s="43"/>
      <c r="Q633" s="43"/>
      <c r="R633" s="43"/>
      <c r="S633" s="43"/>
      <c r="T633" s="43"/>
      <c r="U633" s="43"/>
      <c r="V633" s="43"/>
      <c r="W633" s="43"/>
      <c r="X633" s="43"/>
      <c r="Y633" s="43"/>
      <c r="Z633" s="43"/>
    </row>
    <row r="634">
      <c r="A634" s="67"/>
      <c r="B634" s="67"/>
      <c r="C634" s="68"/>
      <c r="D634" s="70"/>
      <c r="E634" s="68"/>
      <c r="F634" s="20"/>
      <c r="G634" s="43"/>
      <c r="H634" s="43"/>
      <c r="I634" s="43"/>
      <c r="J634" s="63"/>
      <c r="K634" s="43"/>
      <c r="L634" s="43"/>
      <c r="M634" s="43"/>
      <c r="N634" s="43"/>
      <c r="O634" s="43"/>
      <c r="P634" s="43"/>
      <c r="Q634" s="43"/>
      <c r="R634" s="43"/>
      <c r="S634" s="43"/>
      <c r="T634" s="43"/>
      <c r="U634" s="43"/>
      <c r="V634" s="43"/>
      <c r="W634" s="43"/>
      <c r="X634" s="43"/>
      <c r="Y634" s="43"/>
      <c r="Z634" s="43"/>
    </row>
    <row r="635">
      <c r="A635" s="67"/>
      <c r="B635" s="67"/>
      <c r="C635" s="68"/>
      <c r="D635" s="70"/>
      <c r="E635" s="68"/>
      <c r="F635" s="20"/>
      <c r="G635" s="43"/>
      <c r="H635" s="43"/>
      <c r="I635" s="43"/>
      <c r="J635" s="63"/>
      <c r="K635" s="43"/>
      <c r="L635" s="43"/>
      <c r="M635" s="43"/>
      <c r="N635" s="43"/>
      <c r="O635" s="43"/>
      <c r="P635" s="43"/>
      <c r="Q635" s="43"/>
      <c r="R635" s="43"/>
      <c r="S635" s="43"/>
      <c r="T635" s="43"/>
      <c r="U635" s="43"/>
      <c r="V635" s="43"/>
      <c r="W635" s="43"/>
      <c r="X635" s="43"/>
      <c r="Y635" s="43"/>
      <c r="Z635" s="43"/>
    </row>
    <row r="636">
      <c r="A636" s="67"/>
      <c r="B636" s="67"/>
      <c r="C636" s="68"/>
      <c r="D636" s="70"/>
      <c r="E636" s="68"/>
      <c r="F636" s="20"/>
      <c r="G636" s="43"/>
      <c r="H636" s="43"/>
      <c r="I636" s="43"/>
      <c r="J636" s="63"/>
      <c r="K636" s="43"/>
      <c r="L636" s="43"/>
      <c r="M636" s="43"/>
      <c r="N636" s="43"/>
      <c r="O636" s="43"/>
      <c r="P636" s="43"/>
      <c r="Q636" s="43"/>
      <c r="R636" s="43"/>
      <c r="S636" s="43"/>
      <c r="T636" s="43"/>
      <c r="U636" s="43"/>
      <c r="V636" s="43"/>
      <c r="W636" s="43"/>
      <c r="X636" s="43"/>
      <c r="Y636" s="43"/>
      <c r="Z636" s="43"/>
    </row>
    <row r="637">
      <c r="A637" s="67"/>
      <c r="B637" s="67"/>
      <c r="C637" s="68"/>
      <c r="D637" s="70"/>
      <c r="E637" s="68"/>
      <c r="F637" s="20"/>
      <c r="G637" s="43"/>
      <c r="H637" s="43"/>
      <c r="I637" s="43"/>
      <c r="J637" s="63"/>
      <c r="K637" s="43"/>
      <c r="L637" s="43"/>
      <c r="M637" s="43"/>
      <c r="N637" s="43"/>
      <c r="O637" s="43"/>
      <c r="P637" s="43"/>
      <c r="Q637" s="43"/>
      <c r="R637" s="43"/>
      <c r="S637" s="43"/>
      <c r="T637" s="43"/>
      <c r="U637" s="43"/>
      <c r="V637" s="43"/>
      <c r="W637" s="43"/>
      <c r="X637" s="43"/>
      <c r="Y637" s="43"/>
      <c r="Z637" s="43"/>
    </row>
    <row r="638">
      <c r="A638" s="67"/>
      <c r="B638" s="67"/>
      <c r="C638" s="68"/>
      <c r="D638" s="70"/>
      <c r="E638" s="68"/>
      <c r="F638" s="20"/>
      <c r="G638" s="43"/>
      <c r="H638" s="43"/>
      <c r="I638" s="43"/>
      <c r="J638" s="63"/>
      <c r="K638" s="43"/>
      <c r="L638" s="43"/>
      <c r="M638" s="43"/>
      <c r="N638" s="43"/>
      <c r="O638" s="43"/>
      <c r="P638" s="43"/>
      <c r="Q638" s="43"/>
      <c r="R638" s="43"/>
      <c r="S638" s="43"/>
      <c r="T638" s="43"/>
      <c r="U638" s="43"/>
      <c r="V638" s="43"/>
      <c r="W638" s="43"/>
      <c r="X638" s="43"/>
      <c r="Y638" s="43"/>
      <c r="Z638" s="43"/>
    </row>
    <row r="639">
      <c r="A639" s="67"/>
      <c r="B639" s="67"/>
      <c r="C639" s="68"/>
      <c r="D639" s="70"/>
      <c r="E639" s="68"/>
      <c r="F639" s="20"/>
      <c r="G639" s="43"/>
      <c r="H639" s="43"/>
      <c r="I639" s="43"/>
      <c r="J639" s="63"/>
      <c r="K639" s="43"/>
      <c r="L639" s="43"/>
      <c r="M639" s="43"/>
      <c r="N639" s="43"/>
      <c r="O639" s="43"/>
      <c r="P639" s="43"/>
      <c r="Q639" s="43"/>
      <c r="R639" s="43"/>
      <c r="S639" s="43"/>
      <c r="T639" s="43"/>
      <c r="U639" s="43"/>
      <c r="V639" s="43"/>
      <c r="W639" s="43"/>
      <c r="X639" s="43"/>
      <c r="Y639" s="43"/>
      <c r="Z639" s="43"/>
    </row>
    <row r="640">
      <c r="A640" s="67"/>
      <c r="B640" s="67"/>
      <c r="C640" s="68"/>
      <c r="D640" s="70"/>
      <c r="E640" s="68"/>
      <c r="F640" s="20"/>
      <c r="G640" s="43"/>
      <c r="H640" s="43"/>
      <c r="I640" s="43"/>
      <c r="J640" s="63"/>
      <c r="K640" s="43"/>
      <c r="L640" s="43"/>
      <c r="M640" s="43"/>
      <c r="N640" s="43"/>
      <c r="O640" s="43"/>
      <c r="P640" s="43"/>
      <c r="Q640" s="43"/>
      <c r="R640" s="43"/>
      <c r="S640" s="43"/>
      <c r="T640" s="43"/>
      <c r="U640" s="43"/>
      <c r="V640" s="43"/>
      <c r="W640" s="43"/>
      <c r="X640" s="43"/>
      <c r="Y640" s="43"/>
      <c r="Z640" s="43"/>
    </row>
    <row r="641">
      <c r="A641" s="67"/>
      <c r="B641" s="67"/>
      <c r="C641" s="68"/>
      <c r="D641" s="70"/>
      <c r="E641" s="68"/>
      <c r="F641" s="20"/>
      <c r="G641" s="43"/>
      <c r="H641" s="43"/>
      <c r="I641" s="43"/>
      <c r="J641" s="63"/>
      <c r="K641" s="43"/>
      <c r="L641" s="43"/>
      <c r="M641" s="43"/>
      <c r="N641" s="43"/>
      <c r="O641" s="43"/>
      <c r="P641" s="43"/>
      <c r="Q641" s="43"/>
      <c r="R641" s="43"/>
      <c r="S641" s="43"/>
      <c r="T641" s="43"/>
      <c r="U641" s="43"/>
      <c r="V641" s="43"/>
      <c r="W641" s="43"/>
      <c r="X641" s="43"/>
      <c r="Y641" s="43"/>
      <c r="Z641" s="43"/>
    </row>
    <row r="642">
      <c r="A642" s="67"/>
      <c r="B642" s="67"/>
      <c r="C642" s="68"/>
      <c r="D642" s="70"/>
      <c r="E642" s="68"/>
      <c r="F642" s="20"/>
      <c r="G642" s="43"/>
      <c r="H642" s="43"/>
      <c r="I642" s="43"/>
      <c r="J642" s="63"/>
      <c r="K642" s="43"/>
      <c r="L642" s="43"/>
      <c r="M642" s="43"/>
      <c r="N642" s="43"/>
      <c r="O642" s="43"/>
      <c r="P642" s="43"/>
      <c r="Q642" s="43"/>
      <c r="R642" s="43"/>
      <c r="S642" s="43"/>
      <c r="T642" s="43"/>
      <c r="U642" s="43"/>
      <c r="V642" s="43"/>
      <c r="W642" s="43"/>
      <c r="X642" s="43"/>
      <c r="Y642" s="43"/>
      <c r="Z642" s="43"/>
    </row>
    <row r="643">
      <c r="A643" s="67"/>
      <c r="B643" s="67"/>
      <c r="C643" s="68"/>
      <c r="D643" s="70"/>
      <c r="E643" s="68"/>
      <c r="F643" s="20"/>
      <c r="G643" s="43"/>
      <c r="H643" s="43"/>
      <c r="I643" s="43"/>
      <c r="J643" s="63"/>
      <c r="K643" s="43"/>
      <c r="L643" s="43"/>
      <c r="M643" s="43"/>
      <c r="N643" s="43"/>
      <c r="O643" s="43"/>
      <c r="P643" s="43"/>
      <c r="Q643" s="43"/>
      <c r="R643" s="43"/>
      <c r="S643" s="43"/>
      <c r="T643" s="43"/>
      <c r="U643" s="43"/>
      <c r="V643" s="43"/>
      <c r="W643" s="43"/>
      <c r="X643" s="43"/>
      <c r="Y643" s="43"/>
      <c r="Z643" s="43"/>
    </row>
    <row r="644">
      <c r="A644" s="67"/>
      <c r="B644" s="67"/>
      <c r="C644" s="68"/>
      <c r="D644" s="70"/>
      <c r="E644" s="68"/>
      <c r="F644" s="20"/>
      <c r="G644" s="43"/>
      <c r="H644" s="43"/>
      <c r="I644" s="43"/>
      <c r="J644" s="63"/>
      <c r="K644" s="43"/>
      <c r="L644" s="43"/>
      <c r="M644" s="43"/>
      <c r="N644" s="43"/>
      <c r="O644" s="43"/>
      <c r="P644" s="43"/>
      <c r="Q644" s="43"/>
      <c r="R644" s="43"/>
      <c r="S644" s="43"/>
      <c r="T644" s="43"/>
      <c r="U644" s="43"/>
      <c r="V644" s="43"/>
      <c r="W644" s="43"/>
      <c r="X644" s="43"/>
      <c r="Y644" s="43"/>
      <c r="Z644" s="43"/>
    </row>
    <row r="645">
      <c r="A645" s="67"/>
      <c r="B645" s="67"/>
      <c r="C645" s="68"/>
      <c r="D645" s="70"/>
      <c r="E645" s="68"/>
      <c r="F645" s="20"/>
      <c r="G645" s="43"/>
      <c r="H645" s="43"/>
      <c r="I645" s="43"/>
      <c r="J645" s="63"/>
      <c r="K645" s="43"/>
      <c r="L645" s="43"/>
      <c r="M645" s="43"/>
      <c r="N645" s="43"/>
      <c r="O645" s="43"/>
      <c r="P645" s="43"/>
      <c r="Q645" s="43"/>
      <c r="R645" s="43"/>
      <c r="S645" s="43"/>
      <c r="T645" s="43"/>
      <c r="U645" s="43"/>
      <c r="V645" s="43"/>
      <c r="W645" s="43"/>
      <c r="X645" s="43"/>
      <c r="Y645" s="43"/>
      <c r="Z645" s="43"/>
    </row>
    <row r="646">
      <c r="A646" s="67"/>
      <c r="B646" s="67"/>
      <c r="C646" s="68"/>
      <c r="D646" s="70"/>
      <c r="E646" s="68"/>
      <c r="F646" s="20"/>
      <c r="G646" s="43"/>
      <c r="H646" s="43"/>
      <c r="I646" s="43"/>
      <c r="J646" s="63"/>
      <c r="K646" s="43"/>
      <c r="L646" s="43"/>
      <c r="M646" s="43"/>
      <c r="N646" s="43"/>
      <c r="O646" s="43"/>
      <c r="P646" s="43"/>
      <c r="Q646" s="43"/>
      <c r="R646" s="43"/>
      <c r="S646" s="43"/>
      <c r="T646" s="43"/>
      <c r="U646" s="43"/>
      <c r="V646" s="43"/>
      <c r="W646" s="43"/>
      <c r="X646" s="43"/>
      <c r="Y646" s="43"/>
      <c r="Z646" s="43"/>
    </row>
    <row r="647">
      <c r="A647" s="67"/>
      <c r="B647" s="67"/>
      <c r="C647" s="68"/>
      <c r="D647" s="70"/>
      <c r="E647" s="68"/>
      <c r="F647" s="20"/>
      <c r="G647" s="43"/>
      <c r="H647" s="43"/>
      <c r="I647" s="43"/>
      <c r="J647" s="63"/>
      <c r="K647" s="43"/>
      <c r="L647" s="43"/>
      <c r="M647" s="43"/>
      <c r="N647" s="43"/>
      <c r="O647" s="43"/>
      <c r="P647" s="43"/>
      <c r="Q647" s="43"/>
      <c r="R647" s="43"/>
      <c r="S647" s="43"/>
      <c r="T647" s="43"/>
      <c r="U647" s="43"/>
      <c r="V647" s="43"/>
      <c r="W647" s="43"/>
      <c r="X647" s="43"/>
      <c r="Y647" s="43"/>
      <c r="Z647" s="43"/>
    </row>
    <row r="648">
      <c r="A648" s="67"/>
      <c r="B648" s="67"/>
      <c r="C648" s="68"/>
      <c r="D648" s="70"/>
      <c r="E648" s="68"/>
      <c r="F648" s="20"/>
      <c r="G648" s="43"/>
      <c r="H648" s="43"/>
      <c r="I648" s="43"/>
      <c r="J648" s="63"/>
      <c r="K648" s="43"/>
      <c r="L648" s="43"/>
      <c r="M648" s="43"/>
      <c r="N648" s="43"/>
      <c r="O648" s="43"/>
      <c r="P648" s="43"/>
      <c r="Q648" s="43"/>
      <c r="R648" s="43"/>
      <c r="S648" s="43"/>
      <c r="T648" s="43"/>
      <c r="U648" s="43"/>
      <c r="V648" s="43"/>
      <c r="W648" s="43"/>
      <c r="X648" s="43"/>
      <c r="Y648" s="43"/>
      <c r="Z648" s="43"/>
    </row>
    <row r="649">
      <c r="A649" s="67"/>
      <c r="B649" s="67"/>
      <c r="C649" s="68"/>
      <c r="D649" s="70"/>
      <c r="E649" s="68"/>
      <c r="F649" s="20"/>
      <c r="G649" s="43"/>
      <c r="H649" s="43"/>
      <c r="I649" s="43"/>
      <c r="J649" s="63"/>
      <c r="K649" s="43"/>
      <c r="L649" s="43"/>
      <c r="M649" s="43"/>
      <c r="N649" s="43"/>
      <c r="O649" s="43"/>
      <c r="P649" s="43"/>
      <c r="Q649" s="43"/>
      <c r="R649" s="43"/>
      <c r="S649" s="43"/>
      <c r="T649" s="43"/>
      <c r="U649" s="43"/>
      <c r="V649" s="43"/>
      <c r="W649" s="43"/>
      <c r="X649" s="43"/>
      <c r="Y649" s="43"/>
      <c r="Z649" s="43"/>
    </row>
    <row r="650">
      <c r="A650" s="67"/>
      <c r="B650" s="67"/>
      <c r="C650" s="68"/>
      <c r="D650" s="70"/>
      <c r="E650" s="68"/>
      <c r="F650" s="20"/>
      <c r="G650" s="43"/>
      <c r="H650" s="43"/>
      <c r="I650" s="43"/>
      <c r="J650" s="63"/>
      <c r="K650" s="43"/>
      <c r="L650" s="43"/>
      <c r="M650" s="43"/>
      <c r="N650" s="43"/>
      <c r="O650" s="43"/>
      <c r="P650" s="43"/>
      <c r="Q650" s="43"/>
      <c r="R650" s="43"/>
      <c r="S650" s="43"/>
      <c r="T650" s="43"/>
      <c r="U650" s="43"/>
      <c r="V650" s="43"/>
      <c r="W650" s="43"/>
      <c r="X650" s="43"/>
      <c r="Y650" s="43"/>
      <c r="Z650" s="43"/>
    </row>
    <row r="651">
      <c r="A651" s="67"/>
      <c r="B651" s="67"/>
      <c r="C651" s="68"/>
      <c r="D651" s="70"/>
      <c r="E651" s="68"/>
      <c r="F651" s="20"/>
      <c r="G651" s="43"/>
      <c r="H651" s="43"/>
      <c r="I651" s="43"/>
      <c r="J651" s="63"/>
      <c r="K651" s="43"/>
      <c r="L651" s="43"/>
      <c r="M651" s="43"/>
      <c r="N651" s="43"/>
      <c r="O651" s="43"/>
      <c r="P651" s="43"/>
      <c r="Q651" s="43"/>
      <c r="R651" s="43"/>
      <c r="S651" s="43"/>
      <c r="T651" s="43"/>
      <c r="U651" s="43"/>
      <c r="V651" s="43"/>
      <c r="W651" s="43"/>
      <c r="X651" s="43"/>
      <c r="Y651" s="43"/>
      <c r="Z651" s="43"/>
    </row>
    <row r="652">
      <c r="A652" s="67"/>
      <c r="B652" s="67"/>
      <c r="C652" s="68"/>
      <c r="D652" s="70"/>
      <c r="E652" s="68"/>
      <c r="F652" s="20"/>
      <c r="G652" s="43"/>
      <c r="H652" s="43"/>
      <c r="I652" s="43"/>
      <c r="J652" s="63"/>
      <c r="K652" s="43"/>
      <c r="L652" s="43"/>
      <c r="M652" s="43"/>
      <c r="N652" s="43"/>
      <c r="O652" s="43"/>
      <c r="P652" s="43"/>
      <c r="Q652" s="43"/>
      <c r="R652" s="43"/>
      <c r="S652" s="43"/>
      <c r="T652" s="43"/>
      <c r="U652" s="43"/>
      <c r="V652" s="43"/>
      <c r="W652" s="43"/>
      <c r="X652" s="43"/>
      <c r="Y652" s="43"/>
      <c r="Z652" s="43"/>
    </row>
    <row r="653">
      <c r="A653" s="67"/>
      <c r="B653" s="67"/>
      <c r="C653" s="68"/>
      <c r="D653" s="70"/>
      <c r="E653" s="68"/>
      <c r="F653" s="20"/>
      <c r="G653" s="43"/>
      <c r="H653" s="43"/>
      <c r="I653" s="43"/>
      <c r="J653" s="63"/>
      <c r="K653" s="43"/>
      <c r="L653" s="43"/>
      <c r="M653" s="43"/>
      <c r="N653" s="43"/>
      <c r="O653" s="43"/>
      <c r="P653" s="43"/>
      <c r="Q653" s="43"/>
      <c r="R653" s="43"/>
      <c r="S653" s="43"/>
      <c r="T653" s="43"/>
      <c r="U653" s="43"/>
      <c r="V653" s="43"/>
      <c r="W653" s="43"/>
      <c r="X653" s="43"/>
      <c r="Y653" s="43"/>
      <c r="Z653" s="43"/>
    </row>
    <row r="654">
      <c r="A654" s="67"/>
      <c r="B654" s="67"/>
      <c r="C654" s="68"/>
      <c r="D654" s="70"/>
      <c r="E654" s="68"/>
      <c r="F654" s="20"/>
      <c r="G654" s="43"/>
      <c r="H654" s="43"/>
      <c r="I654" s="43"/>
      <c r="J654" s="63"/>
      <c r="K654" s="43"/>
      <c r="L654" s="43"/>
      <c r="M654" s="43"/>
      <c r="N654" s="43"/>
      <c r="O654" s="43"/>
      <c r="P654" s="43"/>
      <c r="Q654" s="43"/>
      <c r="R654" s="43"/>
      <c r="S654" s="43"/>
      <c r="T654" s="43"/>
      <c r="U654" s="43"/>
      <c r="V654" s="43"/>
      <c r="W654" s="43"/>
      <c r="X654" s="43"/>
      <c r="Y654" s="43"/>
      <c r="Z654" s="43"/>
    </row>
    <row r="655">
      <c r="A655" s="67"/>
      <c r="B655" s="67"/>
      <c r="C655" s="68"/>
      <c r="D655" s="70"/>
      <c r="E655" s="68"/>
      <c r="F655" s="20"/>
      <c r="G655" s="43"/>
      <c r="H655" s="43"/>
      <c r="I655" s="43"/>
      <c r="J655" s="63"/>
      <c r="K655" s="43"/>
      <c r="L655" s="43"/>
      <c r="M655" s="43"/>
      <c r="N655" s="43"/>
      <c r="O655" s="43"/>
      <c r="P655" s="43"/>
      <c r="Q655" s="43"/>
      <c r="R655" s="43"/>
      <c r="S655" s="43"/>
      <c r="T655" s="43"/>
      <c r="U655" s="43"/>
      <c r="V655" s="43"/>
      <c r="W655" s="43"/>
      <c r="X655" s="43"/>
      <c r="Y655" s="43"/>
      <c r="Z655" s="43"/>
    </row>
    <row r="656">
      <c r="A656" s="67"/>
      <c r="B656" s="67"/>
      <c r="C656" s="68"/>
      <c r="D656" s="70"/>
      <c r="E656" s="68"/>
      <c r="F656" s="20"/>
      <c r="G656" s="43"/>
      <c r="H656" s="43"/>
      <c r="I656" s="43"/>
      <c r="J656" s="63"/>
      <c r="K656" s="43"/>
      <c r="L656" s="43"/>
      <c r="M656" s="43"/>
      <c r="N656" s="43"/>
      <c r="O656" s="43"/>
      <c r="P656" s="43"/>
      <c r="Q656" s="43"/>
      <c r="R656" s="43"/>
      <c r="S656" s="43"/>
      <c r="T656" s="43"/>
      <c r="U656" s="43"/>
      <c r="V656" s="43"/>
      <c r="W656" s="43"/>
      <c r="X656" s="43"/>
      <c r="Y656" s="43"/>
      <c r="Z656" s="43"/>
    </row>
    <row r="657">
      <c r="A657" s="67"/>
      <c r="B657" s="67"/>
      <c r="C657" s="68"/>
      <c r="D657" s="70"/>
      <c r="E657" s="68"/>
      <c r="F657" s="20"/>
      <c r="G657" s="43"/>
      <c r="H657" s="43"/>
      <c r="I657" s="43"/>
      <c r="J657" s="63"/>
      <c r="K657" s="43"/>
      <c r="L657" s="43"/>
      <c r="M657" s="43"/>
      <c r="N657" s="43"/>
      <c r="O657" s="43"/>
      <c r="P657" s="43"/>
      <c r="Q657" s="43"/>
      <c r="R657" s="43"/>
      <c r="S657" s="43"/>
      <c r="T657" s="43"/>
      <c r="U657" s="43"/>
      <c r="V657" s="43"/>
      <c r="W657" s="43"/>
      <c r="X657" s="43"/>
      <c r="Y657" s="43"/>
      <c r="Z657" s="43"/>
    </row>
    <row r="658">
      <c r="A658" s="67"/>
      <c r="B658" s="67"/>
      <c r="C658" s="68"/>
      <c r="D658" s="70"/>
      <c r="E658" s="68"/>
      <c r="F658" s="20"/>
      <c r="G658" s="43"/>
      <c r="H658" s="43"/>
      <c r="I658" s="43"/>
      <c r="J658" s="63"/>
      <c r="K658" s="43"/>
      <c r="L658" s="43"/>
      <c r="M658" s="43"/>
      <c r="N658" s="43"/>
      <c r="O658" s="43"/>
      <c r="P658" s="43"/>
      <c r="Q658" s="43"/>
      <c r="R658" s="43"/>
      <c r="S658" s="43"/>
      <c r="T658" s="43"/>
      <c r="U658" s="43"/>
      <c r="V658" s="43"/>
      <c r="W658" s="43"/>
      <c r="X658" s="43"/>
      <c r="Y658" s="43"/>
      <c r="Z658" s="43"/>
    </row>
    <row r="659">
      <c r="A659" s="67"/>
      <c r="B659" s="67"/>
      <c r="C659" s="68"/>
      <c r="D659" s="70"/>
      <c r="E659" s="68"/>
      <c r="F659" s="20"/>
      <c r="G659" s="43"/>
      <c r="H659" s="43"/>
      <c r="I659" s="43"/>
      <c r="J659" s="63"/>
      <c r="K659" s="43"/>
      <c r="L659" s="43"/>
      <c r="M659" s="43"/>
      <c r="N659" s="43"/>
      <c r="O659" s="43"/>
      <c r="P659" s="43"/>
      <c r="Q659" s="43"/>
      <c r="R659" s="43"/>
      <c r="S659" s="43"/>
      <c r="T659" s="43"/>
      <c r="U659" s="43"/>
      <c r="V659" s="43"/>
      <c r="W659" s="43"/>
      <c r="X659" s="43"/>
      <c r="Y659" s="43"/>
      <c r="Z659" s="43"/>
    </row>
    <row r="660">
      <c r="A660" s="67"/>
      <c r="B660" s="67"/>
      <c r="C660" s="68"/>
      <c r="D660" s="70"/>
      <c r="E660" s="68"/>
      <c r="F660" s="20"/>
      <c r="G660" s="43"/>
      <c r="H660" s="43"/>
      <c r="I660" s="43"/>
      <c r="J660" s="63"/>
      <c r="K660" s="43"/>
      <c r="L660" s="43"/>
      <c r="M660" s="43"/>
      <c r="N660" s="43"/>
      <c r="O660" s="43"/>
      <c r="P660" s="43"/>
      <c r="Q660" s="43"/>
      <c r="R660" s="43"/>
      <c r="S660" s="43"/>
      <c r="T660" s="43"/>
      <c r="U660" s="43"/>
      <c r="V660" s="43"/>
      <c r="W660" s="43"/>
      <c r="X660" s="43"/>
      <c r="Y660" s="43"/>
      <c r="Z660" s="43"/>
    </row>
    <row r="661">
      <c r="A661" s="67"/>
      <c r="B661" s="67"/>
      <c r="C661" s="68"/>
      <c r="D661" s="70"/>
      <c r="E661" s="68"/>
      <c r="F661" s="20"/>
      <c r="G661" s="43"/>
      <c r="H661" s="43"/>
      <c r="I661" s="43"/>
      <c r="J661" s="63"/>
      <c r="K661" s="43"/>
      <c r="L661" s="43"/>
      <c r="M661" s="43"/>
      <c r="N661" s="43"/>
      <c r="O661" s="43"/>
      <c r="P661" s="43"/>
      <c r="Q661" s="43"/>
      <c r="R661" s="43"/>
      <c r="S661" s="43"/>
      <c r="T661" s="43"/>
      <c r="U661" s="43"/>
      <c r="V661" s="43"/>
      <c r="W661" s="43"/>
      <c r="X661" s="43"/>
      <c r="Y661" s="43"/>
      <c r="Z661" s="43"/>
    </row>
    <row r="662">
      <c r="A662" s="67"/>
      <c r="B662" s="67"/>
      <c r="C662" s="68"/>
      <c r="D662" s="70"/>
      <c r="E662" s="68"/>
      <c r="F662" s="20"/>
      <c r="G662" s="43"/>
      <c r="H662" s="43"/>
      <c r="I662" s="43"/>
      <c r="J662" s="63"/>
      <c r="K662" s="43"/>
      <c r="L662" s="43"/>
      <c r="M662" s="43"/>
      <c r="N662" s="43"/>
      <c r="O662" s="43"/>
      <c r="P662" s="43"/>
      <c r="Q662" s="43"/>
      <c r="R662" s="43"/>
      <c r="S662" s="43"/>
      <c r="T662" s="43"/>
      <c r="U662" s="43"/>
      <c r="V662" s="43"/>
      <c r="W662" s="43"/>
      <c r="X662" s="43"/>
      <c r="Y662" s="43"/>
      <c r="Z662" s="43"/>
    </row>
    <row r="663">
      <c r="A663" s="67"/>
      <c r="B663" s="67"/>
      <c r="C663" s="68"/>
      <c r="D663" s="70"/>
      <c r="E663" s="68"/>
      <c r="F663" s="20"/>
      <c r="G663" s="43"/>
      <c r="H663" s="43"/>
      <c r="I663" s="43"/>
      <c r="J663" s="63"/>
      <c r="K663" s="43"/>
      <c r="L663" s="43"/>
      <c r="M663" s="43"/>
      <c r="N663" s="43"/>
      <c r="O663" s="43"/>
      <c r="P663" s="43"/>
      <c r="Q663" s="43"/>
      <c r="R663" s="43"/>
      <c r="S663" s="43"/>
      <c r="T663" s="43"/>
      <c r="U663" s="43"/>
      <c r="V663" s="43"/>
      <c r="W663" s="43"/>
      <c r="X663" s="43"/>
      <c r="Y663" s="43"/>
      <c r="Z663" s="43"/>
    </row>
    <row r="664">
      <c r="A664" s="67"/>
      <c r="B664" s="67"/>
      <c r="C664" s="68"/>
      <c r="D664" s="70"/>
      <c r="E664" s="68"/>
      <c r="F664" s="20"/>
      <c r="G664" s="43"/>
      <c r="H664" s="43"/>
      <c r="I664" s="43"/>
      <c r="J664" s="63"/>
      <c r="K664" s="43"/>
      <c r="L664" s="43"/>
      <c r="M664" s="43"/>
      <c r="N664" s="43"/>
      <c r="O664" s="43"/>
      <c r="P664" s="43"/>
      <c r="Q664" s="43"/>
      <c r="R664" s="43"/>
      <c r="S664" s="43"/>
      <c r="T664" s="43"/>
      <c r="U664" s="43"/>
      <c r="V664" s="43"/>
      <c r="W664" s="43"/>
      <c r="X664" s="43"/>
      <c r="Y664" s="43"/>
      <c r="Z664" s="43"/>
    </row>
    <row r="665">
      <c r="A665" s="67"/>
      <c r="B665" s="67"/>
      <c r="C665" s="68"/>
      <c r="D665" s="70"/>
      <c r="E665" s="68"/>
      <c r="F665" s="20"/>
      <c r="G665" s="43"/>
      <c r="H665" s="43"/>
      <c r="I665" s="43"/>
      <c r="J665" s="63"/>
      <c r="K665" s="43"/>
      <c r="L665" s="43"/>
      <c r="M665" s="43"/>
      <c r="N665" s="43"/>
      <c r="O665" s="43"/>
      <c r="P665" s="43"/>
      <c r="Q665" s="43"/>
      <c r="R665" s="43"/>
      <c r="S665" s="43"/>
      <c r="T665" s="43"/>
      <c r="U665" s="43"/>
      <c r="V665" s="43"/>
      <c r="W665" s="43"/>
      <c r="X665" s="43"/>
      <c r="Y665" s="43"/>
      <c r="Z665" s="43"/>
    </row>
    <row r="666">
      <c r="A666" s="67"/>
      <c r="B666" s="67"/>
      <c r="C666" s="68"/>
      <c r="D666" s="70"/>
      <c r="E666" s="68"/>
      <c r="F666" s="20"/>
      <c r="G666" s="43"/>
      <c r="H666" s="43"/>
      <c r="I666" s="43"/>
      <c r="J666" s="63"/>
      <c r="K666" s="43"/>
      <c r="L666" s="43"/>
      <c r="M666" s="43"/>
      <c r="N666" s="43"/>
      <c r="O666" s="43"/>
      <c r="P666" s="43"/>
      <c r="Q666" s="43"/>
      <c r="R666" s="43"/>
      <c r="S666" s="43"/>
      <c r="T666" s="43"/>
      <c r="U666" s="43"/>
      <c r="V666" s="43"/>
      <c r="W666" s="43"/>
      <c r="X666" s="43"/>
      <c r="Y666" s="43"/>
      <c r="Z666" s="43"/>
    </row>
    <row r="667">
      <c r="A667" s="67"/>
      <c r="B667" s="67"/>
      <c r="C667" s="68"/>
      <c r="D667" s="70"/>
      <c r="E667" s="68"/>
      <c r="F667" s="20"/>
      <c r="G667" s="43"/>
      <c r="H667" s="43"/>
      <c r="I667" s="43"/>
      <c r="J667" s="63"/>
      <c r="K667" s="43"/>
      <c r="L667" s="43"/>
      <c r="M667" s="43"/>
      <c r="N667" s="43"/>
      <c r="O667" s="43"/>
      <c r="P667" s="43"/>
      <c r="Q667" s="43"/>
      <c r="R667" s="43"/>
      <c r="S667" s="43"/>
      <c r="T667" s="43"/>
      <c r="U667" s="43"/>
      <c r="V667" s="43"/>
      <c r="W667" s="43"/>
      <c r="X667" s="43"/>
      <c r="Y667" s="43"/>
      <c r="Z667" s="43"/>
    </row>
    <row r="668">
      <c r="A668" s="67"/>
      <c r="B668" s="67"/>
      <c r="C668" s="68"/>
      <c r="D668" s="70"/>
      <c r="E668" s="68"/>
      <c r="F668" s="20"/>
      <c r="G668" s="43"/>
      <c r="H668" s="43"/>
      <c r="I668" s="43"/>
      <c r="J668" s="63"/>
      <c r="K668" s="43"/>
      <c r="L668" s="43"/>
      <c r="M668" s="43"/>
      <c r="N668" s="43"/>
      <c r="O668" s="43"/>
      <c r="P668" s="43"/>
      <c r="Q668" s="43"/>
      <c r="R668" s="43"/>
      <c r="S668" s="43"/>
      <c r="T668" s="43"/>
      <c r="U668" s="43"/>
      <c r="V668" s="43"/>
      <c r="W668" s="43"/>
      <c r="X668" s="43"/>
      <c r="Y668" s="43"/>
      <c r="Z668" s="43"/>
    </row>
    <row r="669">
      <c r="A669" s="67"/>
      <c r="B669" s="67"/>
      <c r="C669" s="68"/>
      <c r="D669" s="70"/>
      <c r="E669" s="68"/>
      <c r="F669" s="20"/>
      <c r="G669" s="43"/>
      <c r="H669" s="43"/>
      <c r="I669" s="43"/>
      <c r="J669" s="63"/>
      <c r="K669" s="43"/>
      <c r="L669" s="43"/>
      <c r="M669" s="43"/>
      <c r="N669" s="43"/>
      <c r="O669" s="43"/>
      <c r="P669" s="43"/>
      <c r="Q669" s="43"/>
      <c r="R669" s="43"/>
      <c r="S669" s="43"/>
      <c r="T669" s="43"/>
      <c r="U669" s="43"/>
      <c r="V669" s="43"/>
      <c r="W669" s="43"/>
      <c r="X669" s="43"/>
      <c r="Y669" s="43"/>
      <c r="Z669" s="43"/>
    </row>
    <row r="670">
      <c r="A670" s="67"/>
      <c r="B670" s="67"/>
      <c r="C670" s="68"/>
      <c r="D670" s="70"/>
      <c r="E670" s="68"/>
      <c r="F670" s="20"/>
      <c r="G670" s="43"/>
      <c r="H670" s="43"/>
      <c r="I670" s="43"/>
      <c r="J670" s="63"/>
      <c r="K670" s="43"/>
      <c r="L670" s="43"/>
      <c r="M670" s="43"/>
      <c r="N670" s="43"/>
      <c r="O670" s="43"/>
      <c r="P670" s="43"/>
      <c r="Q670" s="43"/>
      <c r="R670" s="43"/>
      <c r="S670" s="43"/>
      <c r="T670" s="43"/>
      <c r="U670" s="43"/>
      <c r="V670" s="43"/>
      <c r="W670" s="43"/>
      <c r="X670" s="43"/>
      <c r="Y670" s="43"/>
      <c r="Z670" s="43"/>
    </row>
    <row r="671">
      <c r="A671" s="67"/>
      <c r="B671" s="67"/>
      <c r="C671" s="68"/>
      <c r="D671" s="70"/>
      <c r="E671" s="68"/>
      <c r="F671" s="20"/>
      <c r="G671" s="43"/>
      <c r="H671" s="43"/>
      <c r="I671" s="43"/>
      <c r="J671" s="63"/>
      <c r="K671" s="43"/>
      <c r="L671" s="43"/>
      <c r="M671" s="43"/>
      <c r="N671" s="43"/>
      <c r="O671" s="43"/>
      <c r="P671" s="43"/>
      <c r="Q671" s="43"/>
      <c r="R671" s="43"/>
      <c r="S671" s="43"/>
      <c r="T671" s="43"/>
      <c r="U671" s="43"/>
      <c r="V671" s="43"/>
      <c r="W671" s="43"/>
      <c r="X671" s="43"/>
      <c r="Y671" s="43"/>
      <c r="Z671" s="43"/>
    </row>
    <row r="672">
      <c r="A672" s="67"/>
      <c r="B672" s="67"/>
      <c r="C672" s="68"/>
      <c r="D672" s="70"/>
      <c r="E672" s="68"/>
      <c r="F672" s="20"/>
      <c r="G672" s="43"/>
      <c r="H672" s="43"/>
      <c r="I672" s="43"/>
      <c r="J672" s="63"/>
      <c r="K672" s="43"/>
      <c r="L672" s="43"/>
      <c r="M672" s="43"/>
      <c r="N672" s="43"/>
      <c r="O672" s="43"/>
      <c r="P672" s="43"/>
      <c r="Q672" s="43"/>
      <c r="R672" s="43"/>
      <c r="S672" s="43"/>
      <c r="T672" s="43"/>
      <c r="U672" s="43"/>
      <c r="V672" s="43"/>
      <c r="W672" s="43"/>
      <c r="X672" s="43"/>
      <c r="Y672" s="43"/>
      <c r="Z672" s="43"/>
    </row>
    <row r="673">
      <c r="A673" s="67"/>
      <c r="B673" s="67"/>
      <c r="C673" s="68"/>
      <c r="D673" s="70"/>
      <c r="E673" s="68"/>
      <c r="F673" s="20"/>
      <c r="G673" s="43"/>
      <c r="H673" s="43"/>
      <c r="I673" s="43"/>
      <c r="J673" s="63"/>
      <c r="K673" s="43"/>
      <c r="L673" s="43"/>
      <c r="M673" s="43"/>
      <c r="N673" s="43"/>
      <c r="O673" s="43"/>
      <c r="P673" s="43"/>
      <c r="Q673" s="43"/>
      <c r="R673" s="43"/>
      <c r="S673" s="43"/>
      <c r="T673" s="43"/>
      <c r="U673" s="43"/>
      <c r="V673" s="43"/>
      <c r="W673" s="43"/>
      <c r="X673" s="43"/>
      <c r="Y673" s="43"/>
      <c r="Z673" s="43"/>
    </row>
    <row r="674">
      <c r="A674" s="67"/>
      <c r="B674" s="67"/>
      <c r="C674" s="68"/>
      <c r="D674" s="70"/>
      <c r="E674" s="68"/>
      <c r="F674" s="20"/>
      <c r="G674" s="43"/>
      <c r="H674" s="43"/>
      <c r="I674" s="43"/>
      <c r="J674" s="63"/>
      <c r="K674" s="43"/>
      <c r="L674" s="43"/>
      <c r="M674" s="43"/>
      <c r="N674" s="43"/>
      <c r="O674" s="43"/>
      <c r="P674" s="43"/>
      <c r="Q674" s="43"/>
      <c r="R674" s="43"/>
      <c r="S674" s="43"/>
      <c r="T674" s="43"/>
      <c r="U674" s="43"/>
      <c r="V674" s="43"/>
      <c r="W674" s="43"/>
      <c r="X674" s="43"/>
      <c r="Y674" s="43"/>
      <c r="Z674" s="43"/>
    </row>
    <row r="675">
      <c r="A675" s="67"/>
      <c r="B675" s="67"/>
      <c r="C675" s="68"/>
      <c r="D675" s="70"/>
      <c r="E675" s="68"/>
      <c r="F675" s="20"/>
      <c r="G675" s="43"/>
      <c r="H675" s="43"/>
      <c r="I675" s="43"/>
      <c r="J675" s="63"/>
      <c r="K675" s="43"/>
      <c r="L675" s="43"/>
      <c r="M675" s="43"/>
      <c r="N675" s="43"/>
      <c r="O675" s="43"/>
      <c r="P675" s="43"/>
      <c r="Q675" s="43"/>
      <c r="R675" s="43"/>
      <c r="S675" s="43"/>
      <c r="T675" s="43"/>
      <c r="U675" s="43"/>
      <c r="V675" s="43"/>
      <c r="W675" s="43"/>
      <c r="X675" s="43"/>
      <c r="Y675" s="43"/>
      <c r="Z675" s="43"/>
    </row>
    <row r="676">
      <c r="A676" s="67"/>
      <c r="B676" s="67"/>
      <c r="C676" s="68"/>
      <c r="D676" s="70"/>
      <c r="E676" s="68"/>
      <c r="F676" s="20"/>
      <c r="G676" s="43"/>
      <c r="H676" s="43"/>
      <c r="I676" s="43"/>
      <c r="J676" s="63"/>
      <c r="K676" s="43"/>
      <c r="L676" s="43"/>
      <c r="M676" s="43"/>
      <c r="N676" s="43"/>
      <c r="O676" s="43"/>
      <c r="P676" s="43"/>
      <c r="Q676" s="43"/>
      <c r="R676" s="43"/>
      <c r="S676" s="43"/>
      <c r="T676" s="43"/>
      <c r="U676" s="43"/>
      <c r="V676" s="43"/>
      <c r="W676" s="43"/>
      <c r="X676" s="43"/>
      <c r="Y676" s="43"/>
      <c r="Z676" s="43"/>
    </row>
    <row r="677">
      <c r="A677" s="67"/>
      <c r="B677" s="67"/>
      <c r="C677" s="68"/>
      <c r="D677" s="70"/>
      <c r="E677" s="68"/>
      <c r="F677" s="20"/>
      <c r="G677" s="43"/>
      <c r="H677" s="43"/>
      <c r="I677" s="43"/>
      <c r="J677" s="63"/>
      <c r="K677" s="43"/>
      <c r="L677" s="43"/>
      <c r="M677" s="43"/>
      <c r="N677" s="43"/>
      <c r="O677" s="43"/>
      <c r="P677" s="43"/>
      <c r="Q677" s="43"/>
      <c r="R677" s="43"/>
      <c r="S677" s="43"/>
      <c r="T677" s="43"/>
      <c r="U677" s="43"/>
      <c r="V677" s="43"/>
      <c r="W677" s="43"/>
      <c r="X677" s="43"/>
      <c r="Y677" s="43"/>
      <c r="Z677" s="43"/>
    </row>
    <row r="678">
      <c r="A678" s="67"/>
      <c r="B678" s="67"/>
      <c r="C678" s="68"/>
      <c r="D678" s="70"/>
      <c r="E678" s="68"/>
      <c r="F678" s="20"/>
      <c r="G678" s="43"/>
      <c r="H678" s="43"/>
      <c r="I678" s="43"/>
      <c r="J678" s="63"/>
      <c r="K678" s="43"/>
      <c r="L678" s="43"/>
      <c r="M678" s="43"/>
      <c r="N678" s="43"/>
      <c r="O678" s="43"/>
      <c r="P678" s="43"/>
      <c r="Q678" s="43"/>
      <c r="R678" s="43"/>
      <c r="S678" s="43"/>
      <c r="T678" s="43"/>
      <c r="U678" s="43"/>
      <c r="V678" s="43"/>
      <c r="W678" s="43"/>
      <c r="X678" s="43"/>
      <c r="Y678" s="43"/>
      <c r="Z678" s="43"/>
    </row>
    <row r="679">
      <c r="A679" s="67"/>
      <c r="B679" s="67"/>
      <c r="C679" s="68"/>
      <c r="D679" s="70"/>
      <c r="E679" s="68"/>
      <c r="F679" s="20"/>
      <c r="G679" s="43"/>
      <c r="H679" s="43"/>
      <c r="I679" s="43"/>
      <c r="J679" s="63"/>
      <c r="K679" s="43"/>
      <c r="L679" s="43"/>
      <c r="M679" s="43"/>
      <c r="N679" s="43"/>
      <c r="O679" s="43"/>
      <c r="P679" s="43"/>
      <c r="Q679" s="43"/>
      <c r="R679" s="43"/>
      <c r="S679" s="43"/>
      <c r="T679" s="43"/>
      <c r="U679" s="43"/>
      <c r="V679" s="43"/>
      <c r="W679" s="43"/>
      <c r="X679" s="43"/>
      <c r="Y679" s="43"/>
      <c r="Z679" s="43"/>
    </row>
    <row r="680">
      <c r="A680" s="67"/>
      <c r="B680" s="67"/>
      <c r="C680" s="68"/>
      <c r="D680" s="70"/>
      <c r="E680" s="68"/>
      <c r="F680" s="20"/>
      <c r="G680" s="43"/>
      <c r="H680" s="43"/>
      <c r="I680" s="43"/>
      <c r="J680" s="63"/>
      <c r="K680" s="43"/>
      <c r="L680" s="43"/>
      <c r="M680" s="43"/>
      <c r="N680" s="43"/>
      <c r="O680" s="43"/>
      <c r="P680" s="43"/>
      <c r="Q680" s="43"/>
      <c r="R680" s="43"/>
      <c r="S680" s="43"/>
      <c r="T680" s="43"/>
      <c r="U680" s="43"/>
      <c r="V680" s="43"/>
      <c r="W680" s="43"/>
      <c r="X680" s="43"/>
      <c r="Y680" s="43"/>
      <c r="Z680" s="43"/>
    </row>
    <row r="681">
      <c r="A681" s="67"/>
      <c r="B681" s="67"/>
      <c r="C681" s="68"/>
      <c r="D681" s="70"/>
      <c r="E681" s="68"/>
      <c r="F681" s="20"/>
      <c r="G681" s="43"/>
      <c r="H681" s="43"/>
      <c r="I681" s="43"/>
      <c r="J681" s="63"/>
      <c r="K681" s="43"/>
      <c r="L681" s="43"/>
      <c r="M681" s="43"/>
      <c r="N681" s="43"/>
      <c r="O681" s="43"/>
      <c r="P681" s="43"/>
      <c r="Q681" s="43"/>
      <c r="R681" s="43"/>
      <c r="S681" s="43"/>
      <c r="T681" s="43"/>
      <c r="U681" s="43"/>
      <c r="V681" s="43"/>
      <c r="W681" s="43"/>
      <c r="X681" s="43"/>
      <c r="Y681" s="43"/>
      <c r="Z681" s="43"/>
    </row>
    <row r="682">
      <c r="A682" s="67"/>
      <c r="B682" s="67"/>
      <c r="C682" s="68"/>
      <c r="D682" s="70"/>
      <c r="E682" s="68"/>
      <c r="F682" s="20"/>
      <c r="G682" s="43"/>
      <c r="H682" s="43"/>
      <c r="I682" s="43"/>
      <c r="J682" s="63"/>
      <c r="K682" s="43"/>
      <c r="L682" s="43"/>
      <c r="M682" s="43"/>
      <c r="N682" s="43"/>
      <c r="O682" s="43"/>
      <c r="P682" s="43"/>
      <c r="Q682" s="43"/>
      <c r="R682" s="43"/>
      <c r="S682" s="43"/>
      <c r="T682" s="43"/>
      <c r="U682" s="43"/>
      <c r="V682" s="43"/>
      <c r="W682" s="43"/>
      <c r="X682" s="43"/>
      <c r="Y682" s="43"/>
      <c r="Z682" s="43"/>
    </row>
    <row r="683">
      <c r="A683" s="67"/>
      <c r="B683" s="67"/>
      <c r="C683" s="68"/>
      <c r="D683" s="70"/>
      <c r="E683" s="68"/>
      <c r="F683" s="20"/>
      <c r="G683" s="43"/>
      <c r="H683" s="43"/>
      <c r="I683" s="43"/>
      <c r="J683" s="63"/>
      <c r="K683" s="43"/>
      <c r="L683" s="43"/>
      <c r="M683" s="43"/>
      <c r="N683" s="43"/>
      <c r="O683" s="43"/>
      <c r="P683" s="43"/>
      <c r="Q683" s="43"/>
      <c r="R683" s="43"/>
      <c r="S683" s="43"/>
      <c r="T683" s="43"/>
      <c r="U683" s="43"/>
      <c r="V683" s="43"/>
      <c r="W683" s="43"/>
      <c r="X683" s="43"/>
      <c r="Y683" s="43"/>
      <c r="Z683" s="43"/>
    </row>
    <row r="684">
      <c r="A684" s="67"/>
      <c r="B684" s="67"/>
      <c r="C684" s="68"/>
      <c r="D684" s="70"/>
      <c r="E684" s="68"/>
      <c r="F684" s="20"/>
      <c r="G684" s="43"/>
      <c r="H684" s="43"/>
      <c r="I684" s="43"/>
      <c r="J684" s="63"/>
      <c r="K684" s="43"/>
      <c r="L684" s="43"/>
      <c r="M684" s="43"/>
      <c r="N684" s="43"/>
      <c r="O684" s="43"/>
      <c r="P684" s="43"/>
      <c r="Q684" s="43"/>
      <c r="R684" s="43"/>
      <c r="S684" s="43"/>
      <c r="T684" s="43"/>
      <c r="U684" s="43"/>
      <c r="V684" s="43"/>
      <c r="W684" s="43"/>
      <c r="X684" s="43"/>
      <c r="Y684" s="43"/>
      <c r="Z684" s="43"/>
    </row>
    <row r="685">
      <c r="A685" s="67"/>
      <c r="B685" s="67"/>
      <c r="C685" s="68"/>
      <c r="D685" s="70"/>
      <c r="E685" s="68"/>
      <c r="F685" s="20"/>
      <c r="G685" s="43"/>
      <c r="H685" s="43"/>
      <c r="I685" s="43"/>
      <c r="J685" s="63"/>
      <c r="K685" s="43"/>
      <c r="L685" s="43"/>
      <c r="M685" s="43"/>
      <c r="N685" s="43"/>
      <c r="O685" s="43"/>
      <c r="P685" s="43"/>
      <c r="Q685" s="43"/>
      <c r="R685" s="43"/>
      <c r="S685" s="43"/>
      <c r="T685" s="43"/>
      <c r="U685" s="43"/>
      <c r="V685" s="43"/>
      <c r="W685" s="43"/>
      <c r="X685" s="43"/>
      <c r="Y685" s="43"/>
      <c r="Z685" s="43"/>
    </row>
    <row r="686">
      <c r="A686" s="67"/>
      <c r="B686" s="67"/>
      <c r="C686" s="68"/>
      <c r="D686" s="70"/>
      <c r="E686" s="68"/>
      <c r="F686" s="20"/>
      <c r="G686" s="43"/>
      <c r="H686" s="43"/>
      <c r="I686" s="43"/>
      <c r="J686" s="63"/>
      <c r="K686" s="43"/>
      <c r="L686" s="43"/>
      <c r="M686" s="43"/>
      <c r="N686" s="43"/>
      <c r="O686" s="43"/>
      <c r="P686" s="43"/>
      <c r="Q686" s="43"/>
      <c r="R686" s="43"/>
      <c r="S686" s="43"/>
      <c r="T686" s="43"/>
      <c r="U686" s="43"/>
      <c r="V686" s="43"/>
      <c r="W686" s="43"/>
      <c r="X686" s="43"/>
      <c r="Y686" s="43"/>
      <c r="Z686" s="43"/>
    </row>
    <row r="687">
      <c r="A687" s="67"/>
      <c r="B687" s="67"/>
      <c r="C687" s="68"/>
      <c r="D687" s="70"/>
      <c r="E687" s="68"/>
      <c r="F687" s="20"/>
      <c r="G687" s="43"/>
      <c r="H687" s="43"/>
      <c r="I687" s="43"/>
      <c r="J687" s="63"/>
      <c r="K687" s="43"/>
      <c r="L687" s="43"/>
      <c r="M687" s="43"/>
      <c r="N687" s="43"/>
      <c r="O687" s="43"/>
      <c r="P687" s="43"/>
      <c r="Q687" s="43"/>
      <c r="R687" s="43"/>
      <c r="S687" s="43"/>
      <c r="T687" s="43"/>
      <c r="U687" s="43"/>
      <c r="V687" s="43"/>
      <c r="W687" s="43"/>
      <c r="X687" s="43"/>
      <c r="Y687" s="43"/>
      <c r="Z687" s="43"/>
    </row>
    <row r="688">
      <c r="A688" s="67"/>
      <c r="B688" s="67"/>
      <c r="C688" s="68"/>
      <c r="D688" s="70"/>
      <c r="E688" s="68"/>
      <c r="F688" s="20"/>
      <c r="G688" s="43"/>
      <c r="H688" s="43"/>
      <c r="I688" s="43"/>
      <c r="J688" s="63"/>
      <c r="K688" s="43"/>
      <c r="L688" s="43"/>
      <c r="M688" s="43"/>
      <c r="N688" s="43"/>
      <c r="O688" s="43"/>
      <c r="P688" s="43"/>
      <c r="Q688" s="43"/>
      <c r="R688" s="43"/>
      <c r="S688" s="43"/>
      <c r="T688" s="43"/>
      <c r="U688" s="43"/>
      <c r="V688" s="43"/>
      <c r="W688" s="43"/>
      <c r="X688" s="43"/>
      <c r="Y688" s="43"/>
      <c r="Z688" s="43"/>
    </row>
    <row r="689">
      <c r="A689" s="67"/>
      <c r="B689" s="67"/>
      <c r="C689" s="68"/>
      <c r="D689" s="70"/>
      <c r="E689" s="68"/>
      <c r="F689" s="20"/>
      <c r="G689" s="43"/>
      <c r="H689" s="43"/>
      <c r="I689" s="43"/>
      <c r="J689" s="63"/>
      <c r="K689" s="43"/>
      <c r="L689" s="43"/>
      <c r="M689" s="43"/>
      <c r="N689" s="43"/>
      <c r="O689" s="43"/>
      <c r="P689" s="43"/>
      <c r="Q689" s="43"/>
      <c r="R689" s="43"/>
      <c r="S689" s="43"/>
      <c r="T689" s="43"/>
      <c r="U689" s="43"/>
      <c r="V689" s="43"/>
      <c r="W689" s="43"/>
      <c r="X689" s="43"/>
      <c r="Y689" s="43"/>
      <c r="Z689" s="43"/>
    </row>
    <row r="690">
      <c r="A690" s="67"/>
      <c r="B690" s="67"/>
      <c r="C690" s="68"/>
      <c r="D690" s="70"/>
      <c r="E690" s="68"/>
      <c r="F690" s="20"/>
      <c r="G690" s="43"/>
      <c r="H690" s="43"/>
      <c r="I690" s="43"/>
      <c r="J690" s="63"/>
      <c r="K690" s="43"/>
      <c r="L690" s="43"/>
      <c r="M690" s="43"/>
      <c r="N690" s="43"/>
      <c r="O690" s="43"/>
      <c r="P690" s="43"/>
      <c r="Q690" s="43"/>
      <c r="R690" s="43"/>
      <c r="S690" s="43"/>
      <c r="T690" s="43"/>
      <c r="U690" s="43"/>
      <c r="V690" s="43"/>
      <c r="W690" s="43"/>
      <c r="X690" s="43"/>
      <c r="Y690" s="43"/>
      <c r="Z690" s="43"/>
    </row>
    <row r="691">
      <c r="A691" s="67"/>
      <c r="B691" s="67"/>
      <c r="C691" s="68"/>
      <c r="D691" s="70"/>
      <c r="E691" s="68"/>
      <c r="F691" s="20"/>
      <c r="G691" s="43"/>
      <c r="H691" s="43"/>
      <c r="I691" s="43"/>
      <c r="J691" s="63"/>
      <c r="K691" s="43"/>
      <c r="L691" s="43"/>
      <c r="M691" s="43"/>
      <c r="N691" s="43"/>
      <c r="O691" s="43"/>
      <c r="P691" s="43"/>
      <c r="Q691" s="43"/>
      <c r="R691" s="43"/>
      <c r="S691" s="43"/>
      <c r="T691" s="43"/>
      <c r="U691" s="43"/>
      <c r="V691" s="43"/>
      <c r="W691" s="43"/>
      <c r="X691" s="43"/>
      <c r="Y691" s="43"/>
      <c r="Z691" s="43"/>
    </row>
    <row r="692">
      <c r="A692" s="67"/>
      <c r="B692" s="67"/>
      <c r="C692" s="68"/>
      <c r="D692" s="70"/>
      <c r="E692" s="68"/>
      <c r="F692" s="20"/>
      <c r="G692" s="43"/>
      <c r="H692" s="43"/>
      <c r="I692" s="43"/>
      <c r="J692" s="63"/>
      <c r="K692" s="43"/>
      <c r="L692" s="43"/>
      <c r="M692" s="43"/>
      <c r="N692" s="43"/>
      <c r="O692" s="43"/>
      <c r="P692" s="43"/>
      <c r="Q692" s="43"/>
      <c r="R692" s="43"/>
      <c r="S692" s="43"/>
      <c r="T692" s="43"/>
      <c r="U692" s="43"/>
      <c r="V692" s="43"/>
      <c r="W692" s="43"/>
      <c r="X692" s="43"/>
      <c r="Y692" s="43"/>
      <c r="Z692" s="43"/>
    </row>
    <row r="693">
      <c r="A693" s="67"/>
      <c r="B693" s="67"/>
      <c r="C693" s="68"/>
      <c r="D693" s="70"/>
      <c r="E693" s="68"/>
      <c r="F693" s="20"/>
      <c r="G693" s="43"/>
      <c r="H693" s="43"/>
      <c r="I693" s="43"/>
      <c r="J693" s="63"/>
      <c r="K693" s="43"/>
      <c r="L693" s="43"/>
      <c r="M693" s="43"/>
      <c r="N693" s="43"/>
      <c r="O693" s="43"/>
      <c r="P693" s="43"/>
      <c r="Q693" s="43"/>
      <c r="R693" s="43"/>
      <c r="S693" s="43"/>
      <c r="T693" s="43"/>
      <c r="U693" s="43"/>
      <c r="V693" s="43"/>
      <c r="W693" s="43"/>
      <c r="X693" s="43"/>
      <c r="Y693" s="43"/>
      <c r="Z693" s="43"/>
    </row>
    <row r="694">
      <c r="A694" s="67"/>
      <c r="B694" s="67"/>
      <c r="C694" s="68"/>
      <c r="D694" s="70"/>
      <c r="E694" s="68"/>
      <c r="F694" s="20"/>
      <c r="G694" s="43"/>
      <c r="H694" s="43"/>
      <c r="I694" s="43"/>
      <c r="J694" s="63"/>
      <c r="K694" s="43"/>
      <c r="L694" s="43"/>
      <c r="M694" s="43"/>
      <c r="N694" s="43"/>
      <c r="O694" s="43"/>
      <c r="P694" s="43"/>
      <c r="Q694" s="43"/>
      <c r="R694" s="43"/>
      <c r="S694" s="43"/>
      <c r="T694" s="43"/>
      <c r="U694" s="43"/>
      <c r="V694" s="43"/>
      <c r="W694" s="43"/>
      <c r="X694" s="43"/>
      <c r="Y694" s="43"/>
      <c r="Z694" s="43"/>
    </row>
    <row r="695">
      <c r="A695" s="67"/>
      <c r="B695" s="67"/>
      <c r="C695" s="68"/>
      <c r="D695" s="70"/>
      <c r="E695" s="68"/>
      <c r="F695" s="20"/>
      <c r="G695" s="43"/>
      <c r="H695" s="43"/>
      <c r="I695" s="43"/>
      <c r="J695" s="63"/>
      <c r="K695" s="43"/>
      <c r="L695" s="43"/>
      <c r="M695" s="43"/>
      <c r="N695" s="43"/>
      <c r="O695" s="43"/>
      <c r="P695" s="43"/>
      <c r="Q695" s="43"/>
      <c r="R695" s="43"/>
      <c r="S695" s="43"/>
      <c r="T695" s="43"/>
      <c r="U695" s="43"/>
      <c r="V695" s="43"/>
      <c r="W695" s="43"/>
      <c r="X695" s="43"/>
      <c r="Y695" s="43"/>
      <c r="Z695" s="43"/>
    </row>
    <row r="696">
      <c r="A696" s="67"/>
      <c r="B696" s="67"/>
      <c r="C696" s="68"/>
      <c r="D696" s="70"/>
      <c r="E696" s="68"/>
      <c r="F696" s="20"/>
      <c r="G696" s="43"/>
      <c r="H696" s="43"/>
      <c r="I696" s="43"/>
      <c r="J696" s="63"/>
      <c r="K696" s="43"/>
      <c r="L696" s="43"/>
      <c r="M696" s="43"/>
      <c r="N696" s="43"/>
      <c r="O696" s="43"/>
      <c r="P696" s="43"/>
      <c r="Q696" s="43"/>
      <c r="R696" s="43"/>
      <c r="S696" s="43"/>
      <c r="T696" s="43"/>
      <c r="U696" s="43"/>
      <c r="V696" s="43"/>
      <c r="W696" s="43"/>
      <c r="X696" s="43"/>
      <c r="Y696" s="43"/>
      <c r="Z696" s="43"/>
    </row>
    <row r="697">
      <c r="A697" s="67"/>
      <c r="B697" s="67"/>
      <c r="C697" s="68"/>
      <c r="D697" s="70"/>
      <c r="E697" s="68"/>
      <c r="F697" s="20"/>
      <c r="G697" s="43"/>
      <c r="H697" s="43"/>
      <c r="I697" s="43"/>
      <c r="J697" s="63"/>
      <c r="K697" s="43"/>
      <c r="L697" s="43"/>
      <c r="M697" s="43"/>
      <c r="N697" s="43"/>
      <c r="O697" s="43"/>
      <c r="P697" s="43"/>
      <c r="Q697" s="43"/>
      <c r="R697" s="43"/>
      <c r="S697" s="43"/>
      <c r="T697" s="43"/>
      <c r="U697" s="43"/>
      <c r="V697" s="43"/>
      <c r="W697" s="43"/>
      <c r="X697" s="43"/>
      <c r="Y697" s="43"/>
      <c r="Z697" s="43"/>
    </row>
    <row r="698">
      <c r="A698" s="67"/>
      <c r="B698" s="67"/>
      <c r="C698" s="68"/>
      <c r="D698" s="70"/>
      <c r="E698" s="68"/>
      <c r="F698" s="20"/>
      <c r="G698" s="43"/>
      <c r="H698" s="43"/>
      <c r="I698" s="43"/>
      <c r="J698" s="63"/>
      <c r="K698" s="43"/>
      <c r="L698" s="43"/>
      <c r="M698" s="43"/>
      <c r="N698" s="43"/>
      <c r="O698" s="43"/>
      <c r="P698" s="43"/>
      <c r="Q698" s="43"/>
      <c r="R698" s="43"/>
      <c r="S698" s="43"/>
      <c r="T698" s="43"/>
      <c r="U698" s="43"/>
      <c r="V698" s="43"/>
      <c r="W698" s="43"/>
      <c r="X698" s="43"/>
      <c r="Y698" s="43"/>
      <c r="Z698" s="43"/>
    </row>
    <row r="699">
      <c r="A699" s="67"/>
      <c r="B699" s="67"/>
      <c r="C699" s="68"/>
      <c r="D699" s="70"/>
      <c r="E699" s="68"/>
      <c r="F699" s="20"/>
      <c r="G699" s="43"/>
      <c r="H699" s="43"/>
      <c r="I699" s="43"/>
      <c r="J699" s="63"/>
      <c r="K699" s="43"/>
      <c r="L699" s="43"/>
      <c r="M699" s="43"/>
      <c r="N699" s="43"/>
      <c r="O699" s="43"/>
      <c r="P699" s="43"/>
      <c r="Q699" s="43"/>
      <c r="R699" s="43"/>
      <c r="S699" s="43"/>
      <c r="T699" s="43"/>
      <c r="U699" s="43"/>
      <c r="V699" s="43"/>
      <c r="W699" s="43"/>
      <c r="X699" s="43"/>
      <c r="Y699" s="43"/>
      <c r="Z699" s="43"/>
    </row>
    <row r="700">
      <c r="A700" s="67"/>
      <c r="B700" s="67"/>
      <c r="C700" s="68"/>
      <c r="D700" s="70"/>
      <c r="E700" s="68"/>
      <c r="F700" s="20"/>
      <c r="G700" s="43"/>
      <c r="H700" s="43"/>
      <c r="I700" s="43"/>
      <c r="J700" s="63"/>
      <c r="K700" s="43"/>
      <c r="L700" s="43"/>
      <c r="M700" s="43"/>
      <c r="N700" s="43"/>
      <c r="O700" s="43"/>
      <c r="P700" s="43"/>
      <c r="Q700" s="43"/>
      <c r="R700" s="43"/>
      <c r="S700" s="43"/>
      <c r="T700" s="43"/>
      <c r="U700" s="43"/>
      <c r="V700" s="43"/>
      <c r="W700" s="43"/>
      <c r="X700" s="43"/>
      <c r="Y700" s="43"/>
      <c r="Z700" s="43"/>
    </row>
    <row r="701">
      <c r="A701" s="67"/>
      <c r="B701" s="67"/>
      <c r="C701" s="68"/>
      <c r="D701" s="70"/>
      <c r="E701" s="68"/>
      <c r="F701" s="20"/>
      <c r="G701" s="43"/>
      <c r="H701" s="43"/>
      <c r="I701" s="43"/>
      <c r="J701" s="63"/>
      <c r="K701" s="43"/>
      <c r="L701" s="43"/>
      <c r="M701" s="43"/>
      <c r="N701" s="43"/>
      <c r="O701" s="43"/>
      <c r="P701" s="43"/>
      <c r="Q701" s="43"/>
      <c r="R701" s="43"/>
      <c r="S701" s="43"/>
      <c r="T701" s="43"/>
      <c r="U701" s="43"/>
      <c r="V701" s="43"/>
      <c r="W701" s="43"/>
      <c r="X701" s="43"/>
      <c r="Y701" s="43"/>
      <c r="Z701" s="43"/>
    </row>
    <row r="702">
      <c r="A702" s="67"/>
      <c r="B702" s="67"/>
      <c r="C702" s="68"/>
      <c r="D702" s="70"/>
      <c r="E702" s="68"/>
      <c r="F702" s="20"/>
      <c r="G702" s="43"/>
      <c r="H702" s="43"/>
      <c r="I702" s="43"/>
      <c r="J702" s="63"/>
      <c r="K702" s="43"/>
      <c r="L702" s="43"/>
      <c r="M702" s="43"/>
      <c r="N702" s="43"/>
      <c r="O702" s="43"/>
      <c r="P702" s="43"/>
      <c r="Q702" s="43"/>
      <c r="R702" s="43"/>
      <c r="S702" s="43"/>
      <c r="T702" s="43"/>
      <c r="U702" s="43"/>
      <c r="V702" s="43"/>
      <c r="W702" s="43"/>
      <c r="X702" s="43"/>
      <c r="Y702" s="43"/>
      <c r="Z702" s="43"/>
    </row>
    <row r="703">
      <c r="A703" s="67"/>
      <c r="B703" s="67"/>
      <c r="C703" s="68"/>
      <c r="D703" s="70"/>
      <c r="E703" s="68"/>
      <c r="F703" s="20"/>
      <c r="G703" s="43"/>
      <c r="H703" s="43"/>
      <c r="I703" s="43"/>
      <c r="J703" s="63"/>
      <c r="K703" s="43"/>
      <c r="L703" s="43"/>
      <c r="M703" s="43"/>
      <c r="N703" s="43"/>
      <c r="O703" s="43"/>
      <c r="P703" s="43"/>
      <c r="Q703" s="43"/>
      <c r="R703" s="43"/>
      <c r="S703" s="43"/>
      <c r="T703" s="43"/>
      <c r="U703" s="43"/>
      <c r="V703" s="43"/>
      <c r="W703" s="43"/>
      <c r="X703" s="43"/>
      <c r="Y703" s="43"/>
      <c r="Z703" s="43"/>
    </row>
    <row r="704">
      <c r="A704" s="67"/>
      <c r="B704" s="67"/>
      <c r="C704" s="68"/>
      <c r="D704" s="70"/>
      <c r="E704" s="68"/>
      <c r="F704" s="20"/>
      <c r="G704" s="43"/>
      <c r="H704" s="43"/>
      <c r="I704" s="43"/>
      <c r="J704" s="63"/>
      <c r="K704" s="43"/>
      <c r="L704" s="43"/>
      <c r="M704" s="43"/>
      <c r="N704" s="43"/>
      <c r="O704" s="43"/>
      <c r="P704" s="43"/>
      <c r="Q704" s="43"/>
      <c r="R704" s="43"/>
      <c r="S704" s="43"/>
      <c r="T704" s="43"/>
      <c r="U704" s="43"/>
      <c r="V704" s="43"/>
      <c r="W704" s="43"/>
      <c r="X704" s="43"/>
      <c r="Y704" s="43"/>
      <c r="Z704" s="43"/>
    </row>
    <row r="705">
      <c r="A705" s="67"/>
      <c r="B705" s="67"/>
      <c r="C705" s="68"/>
      <c r="D705" s="70"/>
      <c r="E705" s="68"/>
      <c r="F705" s="20"/>
      <c r="G705" s="43"/>
      <c r="H705" s="43"/>
      <c r="I705" s="43"/>
      <c r="J705" s="63"/>
      <c r="K705" s="43"/>
      <c r="L705" s="43"/>
      <c r="M705" s="43"/>
      <c r="N705" s="43"/>
      <c r="O705" s="43"/>
      <c r="P705" s="43"/>
      <c r="Q705" s="43"/>
      <c r="R705" s="43"/>
      <c r="S705" s="43"/>
      <c r="T705" s="43"/>
      <c r="U705" s="43"/>
      <c r="V705" s="43"/>
      <c r="W705" s="43"/>
      <c r="X705" s="43"/>
      <c r="Y705" s="43"/>
      <c r="Z705" s="43"/>
    </row>
    <row r="706">
      <c r="A706" s="67"/>
      <c r="B706" s="67"/>
      <c r="C706" s="68"/>
      <c r="D706" s="70"/>
      <c r="E706" s="68"/>
      <c r="F706" s="20"/>
      <c r="G706" s="43"/>
      <c r="H706" s="43"/>
      <c r="I706" s="43"/>
      <c r="J706" s="63"/>
      <c r="K706" s="43"/>
      <c r="L706" s="43"/>
      <c r="M706" s="43"/>
      <c r="N706" s="43"/>
      <c r="O706" s="43"/>
      <c r="P706" s="43"/>
      <c r="Q706" s="43"/>
      <c r="R706" s="43"/>
      <c r="S706" s="43"/>
      <c r="T706" s="43"/>
      <c r="U706" s="43"/>
      <c r="V706" s="43"/>
      <c r="W706" s="43"/>
      <c r="X706" s="43"/>
      <c r="Y706" s="43"/>
      <c r="Z706" s="43"/>
    </row>
    <row r="707">
      <c r="A707" s="67"/>
      <c r="B707" s="67"/>
      <c r="C707" s="68"/>
      <c r="D707" s="70"/>
      <c r="E707" s="68"/>
      <c r="F707" s="20"/>
      <c r="G707" s="43"/>
      <c r="H707" s="43"/>
      <c r="I707" s="43"/>
      <c r="J707" s="63"/>
      <c r="K707" s="43"/>
      <c r="L707" s="43"/>
      <c r="M707" s="43"/>
      <c r="N707" s="43"/>
      <c r="O707" s="43"/>
      <c r="P707" s="43"/>
      <c r="Q707" s="43"/>
      <c r="R707" s="43"/>
      <c r="S707" s="43"/>
      <c r="T707" s="43"/>
      <c r="U707" s="43"/>
      <c r="V707" s="43"/>
      <c r="W707" s="43"/>
      <c r="X707" s="43"/>
      <c r="Y707" s="43"/>
      <c r="Z707" s="43"/>
    </row>
    <row r="708">
      <c r="A708" s="67"/>
      <c r="B708" s="67"/>
      <c r="C708" s="68"/>
      <c r="D708" s="70"/>
      <c r="E708" s="68"/>
      <c r="F708" s="20"/>
      <c r="G708" s="43"/>
      <c r="H708" s="43"/>
      <c r="I708" s="43"/>
      <c r="J708" s="63"/>
      <c r="K708" s="43"/>
      <c r="L708" s="43"/>
      <c r="M708" s="43"/>
      <c r="N708" s="43"/>
      <c r="O708" s="43"/>
      <c r="P708" s="43"/>
      <c r="Q708" s="43"/>
      <c r="R708" s="43"/>
      <c r="S708" s="43"/>
      <c r="T708" s="43"/>
      <c r="U708" s="43"/>
      <c r="V708" s="43"/>
      <c r="W708" s="43"/>
      <c r="X708" s="43"/>
      <c r="Y708" s="43"/>
      <c r="Z708" s="43"/>
    </row>
    <row r="709">
      <c r="A709" s="67"/>
      <c r="B709" s="67"/>
      <c r="C709" s="68"/>
      <c r="D709" s="70"/>
      <c r="E709" s="68"/>
      <c r="F709" s="20"/>
      <c r="G709" s="43"/>
      <c r="H709" s="43"/>
      <c r="I709" s="43"/>
      <c r="J709" s="63"/>
      <c r="K709" s="43"/>
      <c r="L709" s="43"/>
      <c r="M709" s="43"/>
      <c r="N709" s="43"/>
      <c r="O709" s="43"/>
      <c r="P709" s="43"/>
      <c r="Q709" s="43"/>
      <c r="R709" s="43"/>
      <c r="S709" s="43"/>
      <c r="T709" s="43"/>
      <c r="U709" s="43"/>
      <c r="V709" s="43"/>
      <c r="W709" s="43"/>
      <c r="X709" s="43"/>
      <c r="Y709" s="43"/>
      <c r="Z709" s="43"/>
    </row>
    <row r="710">
      <c r="A710" s="67"/>
      <c r="B710" s="67"/>
      <c r="C710" s="68"/>
      <c r="D710" s="70"/>
      <c r="E710" s="68"/>
      <c r="F710" s="20"/>
      <c r="G710" s="43"/>
      <c r="H710" s="43"/>
      <c r="I710" s="43"/>
      <c r="J710" s="63"/>
      <c r="K710" s="43"/>
      <c r="L710" s="43"/>
      <c r="M710" s="43"/>
      <c r="N710" s="43"/>
      <c r="O710" s="43"/>
      <c r="P710" s="43"/>
      <c r="Q710" s="43"/>
      <c r="R710" s="43"/>
      <c r="S710" s="43"/>
      <c r="T710" s="43"/>
      <c r="U710" s="43"/>
      <c r="V710" s="43"/>
      <c r="W710" s="43"/>
      <c r="X710" s="43"/>
      <c r="Y710" s="43"/>
      <c r="Z710" s="43"/>
    </row>
    <row r="711">
      <c r="A711" s="67"/>
      <c r="B711" s="67"/>
      <c r="C711" s="68"/>
      <c r="D711" s="70"/>
      <c r="E711" s="68"/>
      <c r="F711" s="20"/>
      <c r="G711" s="43"/>
      <c r="H711" s="43"/>
      <c r="I711" s="43"/>
      <c r="J711" s="63"/>
      <c r="K711" s="43"/>
      <c r="L711" s="43"/>
      <c r="M711" s="43"/>
      <c r="N711" s="43"/>
      <c r="O711" s="43"/>
      <c r="P711" s="43"/>
      <c r="Q711" s="43"/>
      <c r="R711" s="43"/>
      <c r="S711" s="43"/>
      <c r="T711" s="43"/>
      <c r="U711" s="43"/>
      <c r="V711" s="43"/>
      <c r="W711" s="43"/>
      <c r="X711" s="43"/>
      <c r="Y711" s="43"/>
      <c r="Z711" s="43"/>
    </row>
    <row r="712">
      <c r="A712" s="67"/>
      <c r="B712" s="67"/>
      <c r="C712" s="68"/>
      <c r="D712" s="70"/>
      <c r="E712" s="68"/>
      <c r="F712" s="20"/>
      <c r="G712" s="43"/>
      <c r="H712" s="43"/>
      <c r="I712" s="43"/>
      <c r="J712" s="63"/>
      <c r="K712" s="43"/>
      <c r="L712" s="43"/>
      <c r="M712" s="43"/>
      <c r="N712" s="43"/>
      <c r="O712" s="43"/>
      <c r="P712" s="43"/>
      <c r="Q712" s="43"/>
      <c r="R712" s="43"/>
      <c r="S712" s="43"/>
      <c r="T712" s="43"/>
      <c r="U712" s="43"/>
      <c r="V712" s="43"/>
      <c r="W712" s="43"/>
      <c r="X712" s="43"/>
      <c r="Y712" s="43"/>
      <c r="Z712" s="43"/>
    </row>
    <row r="713">
      <c r="A713" s="67"/>
      <c r="B713" s="67"/>
      <c r="C713" s="68"/>
      <c r="D713" s="70"/>
      <c r="E713" s="68"/>
      <c r="F713" s="20"/>
      <c r="G713" s="43"/>
      <c r="H713" s="43"/>
      <c r="I713" s="43"/>
      <c r="J713" s="63"/>
      <c r="K713" s="43"/>
      <c r="L713" s="43"/>
      <c r="M713" s="43"/>
      <c r="N713" s="43"/>
      <c r="O713" s="43"/>
      <c r="P713" s="43"/>
      <c r="Q713" s="43"/>
      <c r="R713" s="43"/>
      <c r="S713" s="43"/>
      <c r="T713" s="43"/>
      <c r="U713" s="43"/>
      <c r="V713" s="43"/>
      <c r="W713" s="43"/>
      <c r="X713" s="43"/>
      <c r="Y713" s="43"/>
      <c r="Z713" s="43"/>
    </row>
    <row r="714">
      <c r="A714" s="67"/>
      <c r="B714" s="67"/>
      <c r="C714" s="68"/>
      <c r="D714" s="70"/>
      <c r="E714" s="68"/>
      <c r="F714" s="20"/>
      <c r="G714" s="43"/>
      <c r="H714" s="43"/>
      <c r="I714" s="43"/>
      <c r="J714" s="63"/>
      <c r="K714" s="43"/>
      <c r="L714" s="43"/>
      <c r="M714" s="43"/>
      <c r="N714" s="43"/>
      <c r="O714" s="43"/>
      <c r="P714" s="43"/>
      <c r="Q714" s="43"/>
      <c r="R714" s="43"/>
      <c r="S714" s="43"/>
      <c r="T714" s="43"/>
      <c r="U714" s="43"/>
      <c r="V714" s="43"/>
      <c r="W714" s="43"/>
      <c r="X714" s="43"/>
      <c r="Y714" s="43"/>
      <c r="Z714" s="43"/>
    </row>
    <row r="715">
      <c r="A715" s="67"/>
      <c r="B715" s="67"/>
      <c r="C715" s="68"/>
      <c r="D715" s="70"/>
      <c r="E715" s="68"/>
      <c r="F715" s="20"/>
      <c r="G715" s="43"/>
      <c r="H715" s="43"/>
      <c r="I715" s="43"/>
      <c r="J715" s="63"/>
      <c r="K715" s="43"/>
      <c r="L715" s="43"/>
      <c r="M715" s="43"/>
      <c r="N715" s="43"/>
      <c r="O715" s="43"/>
      <c r="P715" s="43"/>
      <c r="Q715" s="43"/>
      <c r="R715" s="43"/>
      <c r="S715" s="43"/>
      <c r="T715" s="43"/>
      <c r="U715" s="43"/>
      <c r="V715" s="43"/>
      <c r="W715" s="43"/>
      <c r="X715" s="43"/>
      <c r="Y715" s="43"/>
      <c r="Z715" s="43"/>
    </row>
    <row r="716">
      <c r="A716" s="67"/>
      <c r="B716" s="67"/>
      <c r="C716" s="68"/>
      <c r="D716" s="70"/>
      <c r="E716" s="68"/>
      <c r="F716" s="20"/>
      <c r="G716" s="43"/>
      <c r="H716" s="43"/>
      <c r="I716" s="43"/>
      <c r="J716" s="63"/>
      <c r="K716" s="43"/>
      <c r="L716" s="43"/>
      <c r="M716" s="43"/>
      <c r="N716" s="43"/>
      <c r="O716" s="43"/>
      <c r="P716" s="43"/>
      <c r="Q716" s="43"/>
      <c r="R716" s="43"/>
      <c r="S716" s="43"/>
      <c r="T716" s="43"/>
      <c r="U716" s="43"/>
      <c r="V716" s="43"/>
      <c r="W716" s="43"/>
      <c r="X716" s="43"/>
      <c r="Y716" s="43"/>
      <c r="Z716" s="43"/>
    </row>
    <row r="717">
      <c r="A717" s="67"/>
      <c r="B717" s="67"/>
      <c r="C717" s="68"/>
      <c r="D717" s="70"/>
      <c r="E717" s="68"/>
      <c r="F717" s="20"/>
      <c r="G717" s="43"/>
      <c r="H717" s="43"/>
      <c r="I717" s="43"/>
      <c r="J717" s="63"/>
      <c r="K717" s="43"/>
      <c r="L717" s="43"/>
      <c r="M717" s="43"/>
      <c r="N717" s="43"/>
      <c r="O717" s="43"/>
      <c r="P717" s="43"/>
      <c r="Q717" s="43"/>
      <c r="R717" s="43"/>
      <c r="S717" s="43"/>
      <c r="T717" s="43"/>
      <c r="U717" s="43"/>
      <c r="V717" s="43"/>
      <c r="W717" s="43"/>
      <c r="X717" s="43"/>
      <c r="Y717" s="43"/>
      <c r="Z717" s="43"/>
    </row>
    <row r="718">
      <c r="A718" s="67"/>
      <c r="B718" s="67"/>
      <c r="C718" s="68"/>
      <c r="D718" s="70"/>
      <c r="E718" s="68"/>
      <c r="F718" s="20"/>
      <c r="G718" s="43"/>
      <c r="H718" s="43"/>
      <c r="I718" s="43"/>
      <c r="J718" s="63"/>
      <c r="K718" s="43"/>
      <c r="L718" s="43"/>
      <c r="M718" s="43"/>
      <c r="N718" s="43"/>
      <c r="O718" s="43"/>
      <c r="P718" s="43"/>
      <c r="Q718" s="43"/>
      <c r="R718" s="43"/>
      <c r="S718" s="43"/>
      <c r="T718" s="43"/>
      <c r="U718" s="43"/>
      <c r="V718" s="43"/>
      <c r="W718" s="43"/>
      <c r="X718" s="43"/>
      <c r="Y718" s="43"/>
      <c r="Z718" s="43"/>
    </row>
    <row r="719">
      <c r="A719" s="67"/>
      <c r="B719" s="67"/>
      <c r="C719" s="68"/>
      <c r="D719" s="70"/>
      <c r="E719" s="68"/>
      <c r="F719" s="20"/>
      <c r="G719" s="43"/>
      <c r="H719" s="43"/>
      <c r="I719" s="43"/>
      <c r="J719" s="63"/>
      <c r="K719" s="43"/>
      <c r="L719" s="43"/>
      <c r="M719" s="43"/>
      <c r="N719" s="43"/>
      <c r="O719" s="43"/>
      <c r="P719" s="43"/>
      <c r="Q719" s="43"/>
      <c r="R719" s="43"/>
      <c r="S719" s="43"/>
      <c r="T719" s="43"/>
      <c r="U719" s="43"/>
      <c r="V719" s="43"/>
      <c r="W719" s="43"/>
      <c r="X719" s="43"/>
      <c r="Y719" s="43"/>
      <c r="Z719" s="43"/>
    </row>
    <row r="720">
      <c r="A720" s="67"/>
      <c r="B720" s="67"/>
      <c r="C720" s="68"/>
      <c r="D720" s="70"/>
      <c r="E720" s="68"/>
      <c r="F720" s="20"/>
      <c r="G720" s="43"/>
      <c r="H720" s="43"/>
      <c r="I720" s="43"/>
      <c r="J720" s="63"/>
      <c r="K720" s="43"/>
      <c r="L720" s="43"/>
      <c r="M720" s="43"/>
      <c r="N720" s="43"/>
      <c r="O720" s="43"/>
      <c r="P720" s="43"/>
      <c r="Q720" s="43"/>
      <c r="R720" s="43"/>
      <c r="S720" s="43"/>
      <c r="T720" s="43"/>
      <c r="U720" s="43"/>
      <c r="V720" s="43"/>
      <c r="W720" s="43"/>
      <c r="X720" s="43"/>
      <c r="Y720" s="43"/>
      <c r="Z720" s="43"/>
    </row>
    <row r="721">
      <c r="A721" s="67"/>
      <c r="B721" s="67"/>
      <c r="C721" s="68"/>
      <c r="D721" s="70"/>
      <c r="E721" s="68"/>
      <c r="F721" s="20"/>
      <c r="G721" s="43"/>
      <c r="H721" s="43"/>
      <c r="I721" s="43"/>
      <c r="J721" s="63"/>
      <c r="K721" s="43"/>
      <c r="L721" s="43"/>
      <c r="M721" s="43"/>
      <c r="N721" s="43"/>
      <c r="O721" s="43"/>
      <c r="P721" s="43"/>
      <c r="Q721" s="43"/>
      <c r="R721" s="43"/>
      <c r="S721" s="43"/>
      <c r="T721" s="43"/>
      <c r="U721" s="43"/>
      <c r="V721" s="43"/>
      <c r="W721" s="43"/>
      <c r="X721" s="43"/>
      <c r="Y721" s="43"/>
      <c r="Z721" s="43"/>
    </row>
    <row r="722">
      <c r="A722" s="67"/>
      <c r="B722" s="67"/>
      <c r="C722" s="68"/>
      <c r="D722" s="70"/>
      <c r="E722" s="68"/>
      <c r="F722" s="20"/>
      <c r="G722" s="43"/>
      <c r="H722" s="43"/>
      <c r="I722" s="43"/>
      <c r="J722" s="63"/>
      <c r="K722" s="43"/>
      <c r="L722" s="43"/>
      <c r="M722" s="43"/>
      <c r="N722" s="43"/>
      <c r="O722" s="43"/>
      <c r="P722" s="43"/>
      <c r="Q722" s="43"/>
      <c r="R722" s="43"/>
      <c r="S722" s="43"/>
      <c r="T722" s="43"/>
      <c r="U722" s="43"/>
      <c r="V722" s="43"/>
      <c r="W722" s="43"/>
      <c r="X722" s="43"/>
      <c r="Y722" s="43"/>
      <c r="Z722" s="43"/>
    </row>
    <row r="723">
      <c r="A723" s="67"/>
      <c r="B723" s="67"/>
      <c r="C723" s="68"/>
      <c r="D723" s="70"/>
      <c r="E723" s="68"/>
      <c r="F723" s="20"/>
      <c r="G723" s="43"/>
      <c r="H723" s="43"/>
      <c r="I723" s="43"/>
      <c r="J723" s="63"/>
      <c r="K723" s="43"/>
      <c r="L723" s="43"/>
      <c r="M723" s="43"/>
      <c r="N723" s="43"/>
      <c r="O723" s="43"/>
      <c r="P723" s="43"/>
      <c r="Q723" s="43"/>
      <c r="R723" s="43"/>
      <c r="S723" s="43"/>
      <c r="T723" s="43"/>
      <c r="U723" s="43"/>
      <c r="V723" s="43"/>
      <c r="W723" s="43"/>
      <c r="X723" s="43"/>
      <c r="Y723" s="43"/>
      <c r="Z723" s="43"/>
    </row>
    <row r="724">
      <c r="A724" s="67"/>
      <c r="B724" s="67"/>
      <c r="C724" s="68"/>
      <c r="D724" s="70"/>
      <c r="E724" s="68"/>
      <c r="F724" s="20"/>
      <c r="G724" s="43"/>
      <c r="H724" s="43"/>
      <c r="I724" s="43"/>
      <c r="J724" s="63"/>
      <c r="K724" s="43"/>
      <c r="L724" s="43"/>
      <c r="M724" s="43"/>
      <c r="N724" s="43"/>
      <c r="O724" s="43"/>
      <c r="P724" s="43"/>
      <c r="Q724" s="43"/>
      <c r="R724" s="43"/>
      <c r="S724" s="43"/>
      <c r="T724" s="43"/>
      <c r="U724" s="43"/>
      <c r="V724" s="43"/>
      <c r="W724" s="43"/>
      <c r="X724" s="43"/>
      <c r="Y724" s="43"/>
      <c r="Z724" s="43"/>
    </row>
    <row r="725">
      <c r="A725" s="67"/>
      <c r="B725" s="67"/>
      <c r="C725" s="68"/>
      <c r="D725" s="70"/>
      <c r="E725" s="68"/>
      <c r="F725" s="20"/>
      <c r="G725" s="43"/>
      <c r="H725" s="43"/>
      <c r="I725" s="43"/>
      <c r="J725" s="63"/>
      <c r="K725" s="43"/>
      <c r="L725" s="43"/>
      <c r="M725" s="43"/>
      <c r="N725" s="43"/>
      <c r="O725" s="43"/>
      <c r="P725" s="43"/>
      <c r="Q725" s="43"/>
      <c r="R725" s="43"/>
      <c r="S725" s="43"/>
      <c r="T725" s="43"/>
      <c r="U725" s="43"/>
      <c r="V725" s="43"/>
      <c r="W725" s="43"/>
      <c r="X725" s="43"/>
      <c r="Y725" s="43"/>
      <c r="Z725" s="43"/>
    </row>
    <row r="726">
      <c r="A726" s="67"/>
      <c r="B726" s="67"/>
      <c r="C726" s="68"/>
      <c r="D726" s="70"/>
      <c r="E726" s="68"/>
      <c r="F726" s="20"/>
      <c r="G726" s="43"/>
      <c r="H726" s="43"/>
      <c r="I726" s="43"/>
      <c r="J726" s="63"/>
      <c r="K726" s="43"/>
      <c r="L726" s="43"/>
      <c r="M726" s="43"/>
      <c r="N726" s="43"/>
      <c r="O726" s="43"/>
      <c r="P726" s="43"/>
      <c r="Q726" s="43"/>
      <c r="R726" s="43"/>
      <c r="S726" s="43"/>
      <c r="T726" s="43"/>
      <c r="U726" s="43"/>
      <c r="V726" s="43"/>
      <c r="W726" s="43"/>
      <c r="X726" s="43"/>
      <c r="Y726" s="43"/>
      <c r="Z726" s="43"/>
    </row>
    <row r="727">
      <c r="A727" s="67"/>
      <c r="B727" s="67"/>
      <c r="C727" s="68"/>
      <c r="D727" s="70"/>
      <c r="E727" s="68"/>
      <c r="F727" s="20"/>
      <c r="G727" s="43"/>
      <c r="H727" s="43"/>
      <c r="I727" s="43"/>
      <c r="J727" s="63"/>
      <c r="K727" s="43"/>
      <c r="L727" s="43"/>
      <c r="M727" s="43"/>
      <c r="N727" s="43"/>
      <c r="O727" s="43"/>
      <c r="P727" s="43"/>
      <c r="Q727" s="43"/>
      <c r="R727" s="43"/>
      <c r="S727" s="43"/>
      <c r="T727" s="43"/>
      <c r="U727" s="43"/>
      <c r="V727" s="43"/>
      <c r="W727" s="43"/>
      <c r="X727" s="43"/>
      <c r="Y727" s="43"/>
      <c r="Z727" s="43"/>
    </row>
    <row r="728">
      <c r="A728" s="67"/>
      <c r="B728" s="67"/>
      <c r="C728" s="68"/>
      <c r="D728" s="70"/>
      <c r="E728" s="68"/>
      <c r="F728" s="20"/>
      <c r="G728" s="43"/>
      <c r="H728" s="43"/>
      <c r="I728" s="43"/>
      <c r="J728" s="63"/>
      <c r="K728" s="43"/>
      <c r="L728" s="43"/>
      <c r="M728" s="43"/>
      <c r="N728" s="43"/>
      <c r="O728" s="43"/>
      <c r="P728" s="43"/>
      <c r="Q728" s="43"/>
      <c r="R728" s="43"/>
      <c r="S728" s="43"/>
      <c r="T728" s="43"/>
      <c r="U728" s="43"/>
      <c r="V728" s="43"/>
      <c r="W728" s="43"/>
      <c r="X728" s="43"/>
      <c r="Y728" s="43"/>
      <c r="Z728" s="43"/>
    </row>
    <row r="729">
      <c r="A729" s="67"/>
      <c r="B729" s="67"/>
      <c r="C729" s="68"/>
      <c r="D729" s="70"/>
      <c r="E729" s="68"/>
      <c r="F729" s="20"/>
      <c r="G729" s="43"/>
      <c r="H729" s="43"/>
      <c r="I729" s="43"/>
      <c r="J729" s="63"/>
      <c r="K729" s="43"/>
      <c r="L729" s="43"/>
      <c r="M729" s="43"/>
      <c r="N729" s="43"/>
      <c r="O729" s="43"/>
      <c r="P729" s="43"/>
      <c r="Q729" s="43"/>
      <c r="R729" s="43"/>
      <c r="S729" s="43"/>
      <c r="T729" s="43"/>
      <c r="U729" s="43"/>
      <c r="V729" s="43"/>
      <c r="W729" s="43"/>
      <c r="X729" s="43"/>
      <c r="Y729" s="43"/>
      <c r="Z729" s="43"/>
    </row>
    <row r="730">
      <c r="A730" s="67"/>
      <c r="B730" s="67"/>
      <c r="C730" s="68"/>
      <c r="D730" s="70"/>
      <c r="E730" s="68"/>
      <c r="F730" s="20"/>
      <c r="G730" s="43"/>
      <c r="H730" s="43"/>
      <c r="I730" s="43"/>
      <c r="J730" s="63"/>
      <c r="K730" s="43"/>
      <c r="L730" s="43"/>
      <c r="M730" s="43"/>
      <c r="N730" s="43"/>
      <c r="O730" s="43"/>
      <c r="P730" s="43"/>
      <c r="Q730" s="43"/>
      <c r="R730" s="43"/>
      <c r="S730" s="43"/>
      <c r="T730" s="43"/>
      <c r="U730" s="43"/>
      <c r="V730" s="43"/>
      <c r="W730" s="43"/>
      <c r="X730" s="43"/>
      <c r="Y730" s="43"/>
      <c r="Z730" s="43"/>
    </row>
    <row r="731">
      <c r="A731" s="67"/>
      <c r="B731" s="67"/>
      <c r="C731" s="68"/>
      <c r="D731" s="70"/>
      <c r="E731" s="68"/>
      <c r="F731" s="20"/>
      <c r="G731" s="43"/>
      <c r="H731" s="43"/>
      <c r="I731" s="43"/>
      <c r="J731" s="63"/>
      <c r="K731" s="43"/>
      <c r="L731" s="43"/>
      <c r="M731" s="43"/>
      <c r="N731" s="43"/>
      <c r="O731" s="43"/>
      <c r="P731" s="43"/>
      <c r="Q731" s="43"/>
      <c r="R731" s="43"/>
      <c r="S731" s="43"/>
      <c r="T731" s="43"/>
      <c r="U731" s="43"/>
      <c r="V731" s="43"/>
      <c r="W731" s="43"/>
      <c r="X731" s="43"/>
      <c r="Y731" s="43"/>
      <c r="Z731" s="43"/>
    </row>
    <row r="732">
      <c r="A732" s="67"/>
      <c r="B732" s="67"/>
      <c r="C732" s="68"/>
      <c r="D732" s="70"/>
      <c r="E732" s="68"/>
      <c r="F732" s="20"/>
      <c r="G732" s="43"/>
      <c r="H732" s="43"/>
      <c r="I732" s="43"/>
      <c r="J732" s="63"/>
      <c r="K732" s="43"/>
      <c r="L732" s="43"/>
      <c r="M732" s="43"/>
      <c r="N732" s="43"/>
      <c r="O732" s="43"/>
      <c r="P732" s="43"/>
      <c r="Q732" s="43"/>
      <c r="R732" s="43"/>
      <c r="S732" s="43"/>
      <c r="T732" s="43"/>
      <c r="U732" s="43"/>
      <c r="V732" s="43"/>
      <c r="W732" s="43"/>
      <c r="X732" s="43"/>
      <c r="Y732" s="43"/>
      <c r="Z732" s="43"/>
    </row>
    <row r="733">
      <c r="A733" s="67"/>
      <c r="B733" s="67"/>
      <c r="C733" s="68"/>
      <c r="D733" s="70"/>
      <c r="E733" s="68"/>
      <c r="F733" s="20"/>
      <c r="G733" s="43"/>
      <c r="H733" s="43"/>
      <c r="I733" s="43"/>
      <c r="J733" s="63"/>
      <c r="K733" s="43"/>
      <c r="L733" s="43"/>
      <c r="M733" s="43"/>
      <c r="N733" s="43"/>
      <c r="O733" s="43"/>
      <c r="P733" s="43"/>
      <c r="Q733" s="43"/>
      <c r="R733" s="43"/>
      <c r="S733" s="43"/>
      <c r="T733" s="43"/>
      <c r="U733" s="43"/>
      <c r="V733" s="43"/>
      <c r="W733" s="43"/>
      <c r="X733" s="43"/>
      <c r="Y733" s="43"/>
      <c r="Z733" s="43"/>
    </row>
    <row r="734">
      <c r="A734" s="67"/>
      <c r="B734" s="67"/>
      <c r="C734" s="68"/>
      <c r="D734" s="70"/>
      <c r="E734" s="68"/>
      <c r="F734" s="20"/>
      <c r="G734" s="43"/>
      <c r="H734" s="43"/>
      <c r="I734" s="43"/>
      <c r="J734" s="63"/>
      <c r="K734" s="43"/>
      <c r="L734" s="43"/>
      <c r="M734" s="43"/>
      <c r="N734" s="43"/>
      <c r="O734" s="43"/>
      <c r="P734" s="43"/>
      <c r="Q734" s="43"/>
      <c r="R734" s="43"/>
      <c r="S734" s="43"/>
      <c r="T734" s="43"/>
      <c r="U734" s="43"/>
      <c r="V734" s="43"/>
      <c r="W734" s="43"/>
      <c r="X734" s="43"/>
      <c r="Y734" s="43"/>
      <c r="Z734" s="43"/>
    </row>
    <row r="735">
      <c r="A735" s="67"/>
      <c r="B735" s="67"/>
      <c r="C735" s="68"/>
      <c r="D735" s="70"/>
      <c r="E735" s="68"/>
      <c r="F735" s="20"/>
      <c r="G735" s="43"/>
      <c r="H735" s="43"/>
      <c r="I735" s="43"/>
      <c r="J735" s="63"/>
      <c r="K735" s="43"/>
      <c r="L735" s="43"/>
      <c r="M735" s="43"/>
      <c r="N735" s="43"/>
      <c r="O735" s="43"/>
      <c r="P735" s="43"/>
      <c r="Q735" s="43"/>
      <c r="R735" s="43"/>
      <c r="S735" s="43"/>
      <c r="T735" s="43"/>
      <c r="U735" s="43"/>
      <c r="V735" s="43"/>
      <c r="W735" s="43"/>
      <c r="X735" s="43"/>
      <c r="Y735" s="43"/>
      <c r="Z735" s="43"/>
    </row>
    <row r="736">
      <c r="A736" s="67"/>
      <c r="B736" s="67"/>
      <c r="C736" s="68"/>
      <c r="D736" s="70"/>
      <c r="E736" s="68"/>
      <c r="F736" s="20"/>
      <c r="G736" s="43"/>
      <c r="H736" s="43"/>
      <c r="I736" s="43"/>
      <c r="J736" s="63"/>
      <c r="K736" s="43"/>
      <c r="L736" s="43"/>
      <c r="M736" s="43"/>
      <c r="N736" s="43"/>
      <c r="O736" s="43"/>
      <c r="P736" s="43"/>
      <c r="Q736" s="43"/>
      <c r="R736" s="43"/>
      <c r="S736" s="43"/>
      <c r="T736" s="43"/>
      <c r="U736" s="43"/>
      <c r="V736" s="43"/>
      <c r="W736" s="43"/>
      <c r="X736" s="43"/>
      <c r="Y736" s="43"/>
      <c r="Z736" s="43"/>
    </row>
    <row r="737">
      <c r="A737" s="67"/>
      <c r="B737" s="67"/>
      <c r="C737" s="68"/>
      <c r="D737" s="70"/>
      <c r="E737" s="68"/>
      <c r="F737" s="20"/>
      <c r="G737" s="43"/>
      <c r="H737" s="43"/>
      <c r="I737" s="43"/>
      <c r="J737" s="63"/>
      <c r="K737" s="43"/>
      <c r="L737" s="43"/>
      <c r="M737" s="43"/>
      <c r="N737" s="43"/>
      <c r="O737" s="43"/>
      <c r="P737" s="43"/>
      <c r="Q737" s="43"/>
      <c r="R737" s="43"/>
      <c r="S737" s="43"/>
      <c r="T737" s="43"/>
      <c r="U737" s="43"/>
      <c r="V737" s="43"/>
      <c r="W737" s="43"/>
      <c r="X737" s="43"/>
      <c r="Y737" s="43"/>
      <c r="Z737" s="43"/>
    </row>
    <row r="738">
      <c r="A738" s="67"/>
      <c r="B738" s="67"/>
      <c r="C738" s="68"/>
      <c r="D738" s="70"/>
      <c r="E738" s="68"/>
      <c r="F738" s="20"/>
      <c r="G738" s="43"/>
      <c r="H738" s="43"/>
      <c r="I738" s="43"/>
      <c r="J738" s="63"/>
      <c r="K738" s="43"/>
      <c r="L738" s="43"/>
      <c r="M738" s="43"/>
      <c r="N738" s="43"/>
      <c r="O738" s="43"/>
      <c r="P738" s="43"/>
      <c r="Q738" s="43"/>
      <c r="R738" s="43"/>
      <c r="S738" s="43"/>
      <c r="T738" s="43"/>
      <c r="U738" s="43"/>
      <c r="V738" s="43"/>
      <c r="W738" s="43"/>
      <c r="X738" s="43"/>
      <c r="Y738" s="43"/>
      <c r="Z738" s="43"/>
    </row>
    <row r="739">
      <c r="A739" s="67"/>
      <c r="B739" s="67"/>
      <c r="C739" s="68"/>
      <c r="D739" s="70"/>
      <c r="E739" s="68"/>
      <c r="F739" s="20"/>
      <c r="G739" s="43"/>
      <c r="H739" s="43"/>
      <c r="I739" s="43"/>
      <c r="J739" s="63"/>
      <c r="K739" s="43"/>
      <c r="L739" s="43"/>
      <c r="M739" s="43"/>
      <c r="N739" s="43"/>
      <c r="O739" s="43"/>
      <c r="P739" s="43"/>
      <c r="Q739" s="43"/>
      <c r="R739" s="43"/>
      <c r="S739" s="43"/>
      <c r="T739" s="43"/>
      <c r="U739" s="43"/>
      <c r="V739" s="43"/>
      <c r="W739" s="43"/>
      <c r="X739" s="43"/>
      <c r="Y739" s="43"/>
      <c r="Z739" s="43"/>
    </row>
    <row r="740">
      <c r="A740" s="67"/>
      <c r="B740" s="67"/>
      <c r="C740" s="68"/>
      <c r="D740" s="70"/>
      <c r="E740" s="68"/>
      <c r="F740" s="20"/>
      <c r="G740" s="43"/>
      <c r="H740" s="43"/>
      <c r="I740" s="43"/>
      <c r="J740" s="63"/>
      <c r="K740" s="43"/>
      <c r="L740" s="43"/>
      <c r="M740" s="43"/>
      <c r="N740" s="43"/>
      <c r="O740" s="43"/>
      <c r="P740" s="43"/>
      <c r="Q740" s="43"/>
      <c r="R740" s="43"/>
      <c r="S740" s="43"/>
      <c r="T740" s="43"/>
      <c r="U740" s="43"/>
      <c r="V740" s="43"/>
      <c r="W740" s="43"/>
      <c r="X740" s="43"/>
      <c r="Y740" s="43"/>
      <c r="Z740" s="43"/>
    </row>
    <row r="741">
      <c r="A741" s="67"/>
      <c r="B741" s="67"/>
      <c r="C741" s="68"/>
      <c r="D741" s="70"/>
      <c r="E741" s="68"/>
      <c r="F741" s="20"/>
      <c r="G741" s="43"/>
      <c r="H741" s="43"/>
      <c r="I741" s="43"/>
      <c r="J741" s="63"/>
      <c r="K741" s="43"/>
      <c r="L741" s="43"/>
      <c r="M741" s="43"/>
      <c r="N741" s="43"/>
      <c r="O741" s="43"/>
      <c r="P741" s="43"/>
      <c r="Q741" s="43"/>
      <c r="R741" s="43"/>
      <c r="S741" s="43"/>
      <c r="T741" s="43"/>
      <c r="U741" s="43"/>
      <c r="V741" s="43"/>
      <c r="W741" s="43"/>
      <c r="X741" s="43"/>
      <c r="Y741" s="43"/>
      <c r="Z741" s="43"/>
    </row>
    <row r="742">
      <c r="A742" s="67"/>
      <c r="B742" s="67"/>
      <c r="C742" s="68"/>
      <c r="D742" s="70"/>
      <c r="E742" s="68"/>
      <c r="F742" s="20"/>
      <c r="G742" s="43"/>
      <c r="H742" s="43"/>
      <c r="I742" s="43"/>
      <c r="J742" s="63"/>
      <c r="K742" s="43"/>
      <c r="L742" s="43"/>
      <c r="M742" s="43"/>
      <c r="N742" s="43"/>
      <c r="O742" s="43"/>
      <c r="P742" s="43"/>
      <c r="Q742" s="43"/>
      <c r="R742" s="43"/>
      <c r="S742" s="43"/>
      <c r="T742" s="43"/>
      <c r="U742" s="43"/>
      <c r="V742" s="43"/>
      <c r="W742" s="43"/>
      <c r="X742" s="43"/>
      <c r="Y742" s="43"/>
      <c r="Z742" s="43"/>
    </row>
    <row r="743">
      <c r="A743" s="67"/>
      <c r="B743" s="67"/>
      <c r="C743" s="68"/>
      <c r="D743" s="70"/>
      <c r="E743" s="68"/>
      <c r="F743" s="20"/>
      <c r="G743" s="43"/>
      <c r="H743" s="43"/>
      <c r="I743" s="43"/>
      <c r="J743" s="63"/>
      <c r="K743" s="43"/>
      <c r="L743" s="43"/>
      <c r="M743" s="43"/>
      <c r="N743" s="43"/>
      <c r="O743" s="43"/>
      <c r="P743" s="43"/>
      <c r="Q743" s="43"/>
      <c r="R743" s="43"/>
      <c r="S743" s="43"/>
      <c r="T743" s="43"/>
      <c r="U743" s="43"/>
      <c r="V743" s="43"/>
      <c r="W743" s="43"/>
      <c r="X743" s="43"/>
      <c r="Y743" s="43"/>
      <c r="Z743" s="43"/>
    </row>
    <row r="744">
      <c r="A744" s="67"/>
      <c r="B744" s="67"/>
      <c r="C744" s="68"/>
      <c r="D744" s="70"/>
      <c r="E744" s="68"/>
      <c r="F744" s="20"/>
      <c r="G744" s="43"/>
      <c r="H744" s="43"/>
      <c r="I744" s="43"/>
      <c r="J744" s="63"/>
      <c r="K744" s="43"/>
      <c r="L744" s="43"/>
      <c r="M744" s="43"/>
      <c r="N744" s="43"/>
      <c r="O744" s="43"/>
      <c r="P744" s="43"/>
      <c r="Q744" s="43"/>
      <c r="R744" s="43"/>
      <c r="S744" s="43"/>
      <c r="T744" s="43"/>
      <c r="U744" s="43"/>
      <c r="V744" s="43"/>
      <c r="W744" s="43"/>
      <c r="X744" s="43"/>
      <c r="Y744" s="43"/>
      <c r="Z744" s="43"/>
    </row>
    <row r="745">
      <c r="A745" s="67"/>
      <c r="B745" s="67"/>
      <c r="C745" s="68"/>
      <c r="D745" s="70"/>
      <c r="E745" s="68"/>
      <c r="F745" s="20"/>
      <c r="G745" s="43"/>
      <c r="H745" s="43"/>
      <c r="I745" s="43"/>
      <c r="J745" s="63"/>
      <c r="K745" s="43"/>
      <c r="L745" s="43"/>
      <c r="M745" s="43"/>
      <c r="N745" s="43"/>
      <c r="O745" s="43"/>
      <c r="P745" s="43"/>
      <c r="Q745" s="43"/>
      <c r="R745" s="43"/>
      <c r="S745" s="43"/>
      <c r="T745" s="43"/>
      <c r="U745" s="43"/>
      <c r="V745" s="43"/>
      <c r="W745" s="43"/>
      <c r="X745" s="43"/>
      <c r="Y745" s="43"/>
      <c r="Z745" s="43"/>
    </row>
    <row r="746">
      <c r="A746" s="67"/>
      <c r="B746" s="67"/>
      <c r="C746" s="68"/>
      <c r="D746" s="70"/>
      <c r="E746" s="68"/>
      <c r="F746" s="20"/>
      <c r="G746" s="43"/>
      <c r="H746" s="43"/>
      <c r="I746" s="43"/>
      <c r="J746" s="63"/>
      <c r="K746" s="43"/>
      <c r="L746" s="43"/>
      <c r="M746" s="43"/>
      <c r="N746" s="43"/>
      <c r="O746" s="43"/>
      <c r="P746" s="43"/>
      <c r="Q746" s="43"/>
      <c r="R746" s="43"/>
      <c r="S746" s="43"/>
      <c r="T746" s="43"/>
      <c r="U746" s="43"/>
      <c r="V746" s="43"/>
      <c r="W746" s="43"/>
      <c r="X746" s="43"/>
      <c r="Y746" s="43"/>
      <c r="Z746" s="43"/>
    </row>
    <row r="747">
      <c r="A747" s="67"/>
      <c r="B747" s="67"/>
      <c r="C747" s="68"/>
      <c r="D747" s="70"/>
      <c r="E747" s="68"/>
      <c r="F747" s="20"/>
      <c r="G747" s="43"/>
      <c r="H747" s="43"/>
      <c r="I747" s="43"/>
      <c r="J747" s="63"/>
      <c r="K747" s="43"/>
      <c r="L747" s="43"/>
      <c r="M747" s="43"/>
      <c r="N747" s="43"/>
      <c r="O747" s="43"/>
      <c r="P747" s="43"/>
      <c r="Q747" s="43"/>
      <c r="R747" s="43"/>
      <c r="S747" s="43"/>
      <c r="T747" s="43"/>
      <c r="U747" s="43"/>
      <c r="V747" s="43"/>
      <c r="W747" s="43"/>
      <c r="X747" s="43"/>
      <c r="Y747" s="43"/>
      <c r="Z747" s="43"/>
    </row>
    <row r="748">
      <c r="A748" s="67"/>
      <c r="B748" s="67"/>
      <c r="C748" s="68"/>
      <c r="D748" s="70"/>
      <c r="E748" s="68"/>
      <c r="F748" s="20"/>
      <c r="G748" s="43"/>
      <c r="H748" s="43"/>
      <c r="I748" s="43"/>
      <c r="J748" s="63"/>
      <c r="K748" s="43"/>
      <c r="L748" s="43"/>
      <c r="M748" s="43"/>
      <c r="N748" s="43"/>
      <c r="O748" s="43"/>
      <c r="P748" s="43"/>
      <c r="Q748" s="43"/>
      <c r="R748" s="43"/>
      <c r="S748" s="43"/>
      <c r="T748" s="43"/>
      <c r="U748" s="43"/>
      <c r="V748" s="43"/>
      <c r="W748" s="43"/>
      <c r="X748" s="43"/>
      <c r="Y748" s="43"/>
      <c r="Z748" s="43"/>
    </row>
    <row r="749">
      <c r="A749" s="67"/>
      <c r="B749" s="67"/>
      <c r="C749" s="68"/>
      <c r="D749" s="70"/>
      <c r="E749" s="68"/>
      <c r="F749" s="20"/>
      <c r="G749" s="43"/>
      <c r="H749" s="43"/>
      <c r="I749" s="43"/>
      <c r="J749" s="63"/>
      <c r="K749" s="43"/>
      <c r="L749" s="43"/>
      <c r="M749" s="43"/>
      <c r="N749" s="43"/>
      <c r="O749" s="43"/>
      <c r="P749" s="43"/>
      <c r="Q749" s="43"/>
      <c r="R749" s="43"/>
      <c r="S749" s="43"/>
      <c r="T749" s="43"/>
      <c r="U749" s="43"/>
      <c r="V749" s="43"/>
      <c r="W749" s="43"/>
      <c r="X749" s="43"/>
      <c r="Y749" s="43"/>
      <c r="Z749" s="43"/>
    </row>
    <row r="750">
      <c r="A750" s="67"/>
      <c r="B750" s="67"/>
      <c r="C750" s="68"/>
      <c r="D750" s="70"/>
      <c r="E750" s="68"/>
      <c r="F750" s="20"/>
      <c r="G750" s="43"/>
      <c r="H750" s="43"/>
      <c r="I750" s="43"/>
      <c r="J750" s="63"/>
      <c r="K750" s="43"/>
      <c r="L750" s="43"/>
      <c r="M750" s="43"/>
      <c r="N750" s="43"/>
      <c r="O750" s="43"/>
      <c r="P750" s="43"/>
      <c r="Q750" s="43"/>
      <c r="R750" s="43"/>
      <c r="S750" s="43"/>
      <c r="T750" s="43"/>
      <c r="U750" s="43"/>
      <c r="V750" s="43"/>
      <c r="W750" s="43"/>
      <c r="X750" s="43"/>
      <c r="Y750" s="43"/>
      <c r="Z750" s="43"/>
    </row>
    <row r="751">
      <c r="A751" s="67"/>
      <c r="B751" s="67"/>
      <c r="C751" s="68"/>
      <c r="D751" s="70"/>
      <c r="E751" s="68"/>
      <c r="F751" s="20"/>
      <c r="G751" s="43"/>
      <c r="H751" s="43"/>
      <c r="I751" s="43"/>
      <c r="J751" s="63"/>
      <c r="K751" s="43"/>
      <c r="L751" s="43"/>
      <c r="M751" s="43"/>
      <c r="N751" s="43"/>
      <c r="O751" s="43"/>
      <c r="P751" s="43"/>
      <c r="Q751" s="43"/>
      <c r="R751" s="43"/>
      <c r="S751" s="43"/>
      <c r="T751" s="43"/>
      <c r="U751" s="43"/>
      <c r="V751" s="43"/>
      <c r="W751" s="43"/>
      <c r="X751" s="43"/>
      <c r="Y751" s="43"/>
      <c r="Z751" s="43"/>
    </row>
    <row r="752">
      <c r="A752" s="67"/>
      <c r="B752" s="67"/>
      <c r="C752" s="68"/>
      <c r="D752" s="70"/>
      <c r="E752" s="68"/>
      <c r="F752" s="20"/>
      <c r="G752" s="43"/>
      <c r="H752" s="43"/>
      <c r="I752" s="43"/>
      <c r="J752" s="63"/>
      <c r="K752" s="43"/>
      <c r="L752" s="43"/>
      <c r="M752" s="43"/>
      <c r="N752" s="43"/>
      <c r="O752" s="43"/>
      <c r="P752" s="43"/>
      <c r="Q752" s="43"/>
      <c r="R752" s="43"/>
      <c r="S752" s="43"/>
      <c r="T752" s="43"/>
      <c r="U752" s="43"/>
      <c r="V752" s="43"/>
      <c r="W752" s="43"/>
      <c r="X752" s="43"/>
      <c r="Y752" s="43"/>
      <c r="Z752" s="43"/>
    </row>
    <row r="753">
      <c r="A753" s="67"/>
      <c r="B753" s="67"/>
      <c r="C753" s="68"/>
      <c r="D753" s="70"/>
      <c r="E753" s="68"/>
      <c r="F753" s="20"/>
      <c r="G753" s="43"/>
      <c r="H753" s="43"/>
      <c r="I753" s="43"/>
      <c r="J753" s="63"/>
      <c r="K753" s="43"/>
      <c r="L753" s="43"/>
      <c r="M753" s="43"/>
      <c r="N753" s="43"/>
      <c r="O753" s="43"/>
      <c r="P753" s="43"/>
      <c r="Q753" s="43"/>
      <c r="R753" s="43"/>
      <c r="S753" s="43"/>
      <c r="T753" s="43"/>
      <c r="U753" s="43"/>
      <c r="V753" s="43"/>
      <c r="W753" s="43"/>
      <c r="X753" s="43"/>
      <c r="Y753" s="43"/>
      <c r="Z753" s="43"/>
    </row>
    <row r="754">
      <c r="A754" s="67"/>
      <c r="B754" s="67"/>
      <c r="C754" s="68"/>
      <c r="D754" s="70"/>
      <c r="E754" s="68"/>
      <c r="F754" s="20"/>
      <c r="G754" s="43"/>
      <c r="H754" s="43"/>
      <c r="I754" s="43"/>
      <c r="J754" s="63"/>
      <c r="K754" s="43"/>
      <c r="L754" s="43"/>
      <c r="M754" s="43"/>
      <c r="N754" s="43"/>
      <c r="O754" s="43"/>
      <c r="P754" s="43"/>
      <c r="Q754" s="43"/>
      <c r="R754" s="43"/>
      <c r="S754" s="43"/>
      <c r="T754" s="43"/>
      <c r="U754" s="43"/>
      <c r="V754" s="43"/>
      <c r="W754" s="43"/>
      <c r="X754" s="43"/>
      <c r="Y754" s="43"/>
      <c r="Z754" s="43"/>
    </row>
    <row r="755">
      <c r="A755" s="67"/>
      <c r="B755" s="67"/>
      <c r="C755" s="68"/>
      <c r="D755" s="70"/>
      <c r="E755" s="68"/>
      <c r="F755" s="20"/>
      <c r="G755" s="43"/>
      <c r="H755" s="43"/>
      <c r="I755" s="43"/>
      <c r="J755" s="63"/>
      <c r="K755" s="43"/>
      <c r="L755" s="43"/>
      <c r="M755" s="43"/>
      <c r="N755" s="43"/>
      <c r="O755" s="43"/>
      <c r="P755" s="43"/>
      <c r="Q755" s="43"/>
      <c r="R755" s="43"/>
      <c r="S755" s="43"/>
      <c r="T755" s="43"/>
      <c r="U755" s="43"/>
      <c r="V755" s="43"/>
      <c r="W755" s="43"/>
      <c r="X755" s="43"/>
      <c r="Y755" s="43"/>
      <c r="Z755" s="43"/>
    </row>
    <row r="756">
      <c r="A756" s="67"/>
      <c r="B756" s="67"/>
      <c r="C756" s="68"/>
      <c r="D756" s="70"/>
      <c r="E756" s="68"/>
      <c r="F756" s="20"/>
      <c r="G756" s="43"/>
      <c r="H756" s="43"/>
      <c r="I756" s="43"/>
      <c r="J756" s="63"/>
      <c r="K756" s="43"/>
      <c r="L756" s="43"/>
      <c r="M756" s="43"/>
      <c r="N756" s="43"/>
      <c r="O756" s="43"/>
      <c r="P756" s="43"/>
      <c r="Q756" s="43"/>
      <c r="R756" s="43"/>
      <c r="S756" s="43"/>
      <c r="T756" s="43"/>
      <c r="U756" s="43"/>
      <c r="V756" s="43"/>
      <c r="W756" s="43"/>
      <c r="X756" s="43"/>
      <c r="Y756" s="43"/>
      <c r="Z756" s="43"/>
    </row>
    <row r="757">
      <c r="A757" s="67"/>
      <c r="B757" s="67"/>
      <c r="C757" s="68"/>
      <c r="D757" s="70"/>
      <c r="E757" s="68"/>
      <c r="F757" s="20"/>
      <c r="G757" s="43"/>
      <c r="H757" s="43"/>
      <c r="I757" s="43"/>
      <c r="J757" s="63"/>
      <c r="K757" s="43"/>
      <c r="L757" s="43"/>
      <c r="M757" s="43"/>
      <c r="N757" s="43"/>
      <c r="O757" s="43"/>
      <c r="P757" s="43"/>
      <c r="Q757" s="43"/>
      <c r="R757" s="43"/>
      <c r="S757" s="43"/>
      <c r="T757" s="43"/>
      <c r="U757" s="43"/>
      <c r="V757" s="43"/>
      <c r="W757" s="43"/>
      <c r="X757" s="43"/>
      <c r="Y757" s="43"/>
      <c r="Z757" s="43"/>
    </row>
    <row r="758">
      <c r="A758" s="67"/>
      <c r="B758" s="67"/>
      <c r="C758" s="68"/>
      <c r="D758" s="70"/>
      <c r="E758" s="68"/>
      <c r="F758" s="20"/>
      <c r="G758" s="43"/>
      <c r="H758" s="43"/>
      <c r="I758" s="43"/>
      <c r="J758" s="63"/>
      <c r="K758" s="43"/>
      <c r="L758" s="43"/>
      <c r="M758" s="43"/>
      <c r="N758" s="43"/>
      <c r="O758" s="43"/>
      <c r="P758" s="43"/>
      <c r="Q758" s="43"/>
      <c r="R758" s="43"/>
      <c r="S758" s="43"/>
      <c r="T758" s="43"/>
      <c r="U758" s="43"/>
      <c r="V758" s="43"/>
      <c r="W758" s="43"/>
      <c r="X758" s="43"/>
      <c r="Y758" s="43"/>
      <c r="Z758" s="43"/>
    </row>
    <row r="759">
      <c r="A759" s="67"/>
      <c r="B759" s="67"/>
      <c r="C759" s="68"/>
      <c r="D759" s="70"/>
      <c r="E759" s="68"/>
      <c r="F759" s="20"/>
      <c r="G759" s="43"/>
      <c r="H759" s="43"/>
      <c r="I759" s="43"/>
      <c r="J759" s="63"/>
      <c r="K759" s="43"/>
      <c r="L759" s="43"/>
      <c r="M759" s="43"/>
      <c r="N759" s="43"/>
      <c r="O759" s="43"/>
      <c r="P759" s="43"/>
      <c r="Q759" s="43"/>
      <c r="R759" s="43"/>
      <c r="S759" s="43"/>
      <c r="T759" s="43"/>
      <c r="U759" s="43"/>
      <c r="V759" s="43"/>
      <c r="W759" s="43"/>
      <c r="X759" s="43"/>
      <c r="Y759" s="43"/>
      <c r="Z759" s="43"/>
    </row>
    <row r="760">
      <c r="A760" s="67"/>
      <c r="B760" s="67"/>
      <c r="C760" s="68"/>
      <c r="D760" s="70"/>
      <c r="E760" s="68"/>
      <c r="F760" s="20"/>
      <c r="G760" s="43"/>
      <c r="H760" s="43"/>
      <c r="I760" s="43"/>
      <c r="J760" s="63"/>
      <c r="K760" s="43"/>
      <c r="L760" s="43"/>
      <c r="M760" s="43"/>
      <c r="N760" s="43"/>
      <c r="O760" s="43"/>
      <c r="P760" s="43"/>
      <c r="Q760" s="43"/>
      <c r="R760" s="43"/>
      <c r="S760" s="43"/>
      <c r="T760" s="43"/>
      <c r="U760" s="43"/>
      <c r="V760" s="43"/>
      <c r="W760" s="43"/>
      <c r="X760" s="43"/>
      <c r="Y760" s="43"/>
      <c r="Z760" s="43"/>
    </row>
    <row r="761">
      <c r="A761" s="67"/>
      <c r="B761" s="67"/>
      <c r="C761" s="68"/>
      <c r="D761" s="70"/>
      <c r="E761" s="68"/>
      <c r="F761" s="20"/>
      <c r="G761" s="43"/>
      <c r="H761" s="43"/>
      <c r="I761" s="43"/>
      <c r="J761" s="63"/>
      <c r="K761" s="43"/>
      <c r="L761" s="43"/>
      <c r="M761" s="43"/>
      <c r="N761" s="43"/>
      <c r="O761" s="43"/>
      <c r="P761" s="43"/>
      <c r="Q761" s="43"/>
      <c r="R761" s="43"/>
      <c r="S761" s="43"/>
      <c r="T761" s="43"/>
      <c r="U761" s="43"/>
      <c r="V761" s="43"/>
      <c r="W761" s="43"/>
      <c r="X761" s="43"/>
      <c r="Y761" s="43"/>
      <c r="Z761" s="43"/>
    </row>
    <row r="762">
      <c r="A762" s="67"/>
      <c r="B762" s="67"/>
      <c r="C762" s="68"/>
      <c r="D762" s="70"/>
      <c r="E762" s="68"/>
      <c r="F762" s="20"/>
      <c r="G762" s="43"/>
      <c r="H762" s="43"/>
      <c r="I762" s="43"/>
      <c r="J762" s="63"/>
      <c r="K762" s="43"/>
      <c r="L762" s="43"/>
      <c r="M762" s="43"/>
      <c r="N762" s="43"/>
      <c r="O762" s="43"/>
      <c r="P762" s="43"/>
      <c r="Q762" s="43"/>
      <c r="R762" s="43"/>
      <c r="S762" s="43"/>
      <c r="T762" s="43"/>
      <c r="U762" s="43"/>
      <c r="V762" s="43"/>
      <c r="W762" s="43"/>
      <c r="X762" s="43"/>
      <c r="Y762" s="43"/>
      <c r="Z762" s="43"/>
    </row>
    <row r="763">
      <c r="A763" s="67"/>
      <c r="B763" s="67"/>
      <c r="C763" s="68"/>
      <c r="D763" s="70"/>
      <c r="E763" s="68"/>
      <c r="F763" s="20"/>
      <c r="G763" s="43"/>
      <c r="H763" s="43"/>
      <c r="I763" s="43"/>
      <c r="J763" s="63"/>
      <c r="K763" s="43"/>
      <c r="L763" s="43"/>
      <c r="M763" s="43"/>
      <c r="N763" s="43"/>
      <c r="O763" s="43"/>
      <c r="P763" s="43"/>
      <c r="Q763" s="43"/>
      <c r="R763" s="43"/>
      <c r="S763" s="43"/>
      <c r="T763" s="43"/>
      <c r="U763" s="43"/>
      <c r="V763" s="43"/>
      <c r="W763" s="43"/>
      <c r="X763" s="43"/>
      <c r="Y763" s="43"/>
      <c r="Z763" s="43"/>
    </row>
    <row r="764">
      <c r="A764" s="67"/>
      <c r="B764" s="67"/>
      <c r="C764" s="68"/>
      <c r="D764" s="70"/>
      <c r="E764" s="68"/>
      <c r="F764" s="20"/>
      <c r="G764" s="43"/>
      <c r="H764" s="43"/>
      <c r="I764" s="43"/>
      <c r="J764" s="63"/>
      <c r="K764" s="43"/>
      <c r="L764" s="43"/>
      <c r="M764" s="43"/>
      <c r="N764" s="43"/>
      <c r="O764" s="43"/>
      <c r="P764" s="43"/>
      <c r="Q764" s="43"/>
      <c r="R764" s="43"/>
      <c r="S764" s="43"/>
      <c r="T764" s="43"/>
      <c r="U764" s="43"/>
      <c r="V764" s="43"/>
      <c r="W764" s="43"/>
      <c r="X764" s="43"/>
      <c r="Y764" s="43"/>
      <c r="Z764" s="43"/>
    </row>
    <row r="765">
      <c r="A765" s="67"/>
      <c r="B765" s="67"/>
      <c r="C765" s="68"/>
      <c r="D765" s="70"/>
      <c r="E765" s="68"/>
      <c r="F765" s="20"/>
      <c r="G765" s="43"/>
      <c r="H765" s="43"/>
      <c r="I765" s="43"/>
      <c r="J765" s="63"/>
      <c r="K765" s="43"/>
      <c r="L765" s="43"/>
      <c r="M765" s="43"/>
      <c r="N765" s="43"/>
      <c r="O765" s="43"/>
      <c r="P765" s="43"/>
      <c r="Q765" s="43"/>
      <c r="R765" s="43"/>
      <c r="S765" s="43"/>
      <c r="T765" s="43"/>
      <c r="U765" s="43"/>
      <c r="V765" s="43"/>
      <c r="W765" s="43"/>
      <c r="X765" s="43"/>
      <c r="Y765" s="43"/>
      <c r="Z765" s="43"/>
    </row>
    <row r="766">
      <c r="A766" s="67"/>
      <c r="B766" s="67"/>
      <c r="C766" s="68"/>
      <c r="D766" s="70"/>
      <c r="E766" s="68"/>
      <c r="F766" s="20"/>
      <c r="G766" s="43"/>
      <c r="H766" s="43"/>
      <c r="I766" s="43"/>
      <c r="J766" s="63"/>
      <c r="K766" s="43"/>
      <c r="L766" s="43"/>
      <c r="M766" s="43"/>
      <c r="N766" s="43"/>
      <c r="O766" s="43"/>
      <c r="P766" s="43"/>
      <c r="Q766" s="43"/>
      <c r="R766" s="43"/>
      <c r="S766" s="43"/>
      <c r="T766" s="43"/>
      <c r="U766" s="43"/>
      <c r="V766" s="43"/>
      <c r="W766" s="43"/>
      <c r="X766" s="43"/>
      <c r="Y766" s="43"/>
      <c r="Z766" s="43"/>
    </row>
    <row r="767">
      <c r="A767" s="67"/>
      <c r="B767" s="67"/>
      <c r="C767" s="68"/>
      <c r="D767" s="70"/>
      <c r="E767" s="68"/>
      <c r="F767" s="20"/>
      <c r="G767" s="43"/>
      <c r="H767" s="43"/>
      <c r="I767" s="43"/>
      <c r="J767" s="63"/>
      <c r="K767" s="43"/>
      <c r="L767" s="43"/>
      <c r="M767" s="43"/>
      <c r="N767" s="43"/>
      <c r="O767" s="43"/>
      <c r="P767" s="43"/>
      <c r="Q767" s="43"/>
      <c r="R767" s="43"/>
      <c r="S767" s="43"/>
      <c r="T767" s="43"/>
      <c r="U767" s="43"/>
      <c r="V767" s="43"/>
      <c r="W767" s="43"/>
      <c r="X767" s="43"/>
      <c r="Y767" s="43"/>
      <c r="Z767" s="43"/>
    </row>
    <row r="768">
      <c r="A768" s="67"/>
      <c r="B768" s="67"/>
      <c r="C768" s="68"/>
      <c r="D768" s="70"/>
      <c r="E768" s="68"/>
      <c r="F768" s="20"/>
      <c r="G768" s="43"/>
      <c r="H768" s="43"/>
      <c r="I768" s="43"/>
      <c r="J768" s="63"/>
      <c r="K768" s="43"/>
      <c r="L768" s="43"/>
      <c r="M768" s="43"/>
      <c r="N768" s="43"/>
      <c r="O768" s="43"/>
      <c r="P768" s="43"/>
      <c r="Q768" s="43"/>
      <c r="R768" s="43"/>
      <c r="S768" s="43"/>
      <c r="T768" s="43"/>
      <c r="U768" s="43"/>
      <c r="V768" s="43"/>
      <c r="W768" s="43"/>
      <c r="X768" s="43"/>
      <c r="Y768" s="43"/>
      <c r="Z768" s="43"/>
    </row>
    <row r="769">
      <c r="A769" s="67"/>
      <c r="B769" s="67"/>
      <c r="C769" s="68"/>
      <c r="D769" s="70"/>
      <c r="E769" s="68"/>
      <c r="F769" s="20"/>
      <c r="G769" s="43"/>
      <c r="H769" s="43"/>
      <c r="I769" s="43"/>
      <c r="J769" s="63"/>
      <c r="K769" s="43"/>
      <c r="L769" s="43"/>
      <c r="M769" s="43"/>
      <c r="N769" s="43"/>
      <c r="O769" s="43"/>
      <c r="P769" s="43"/>
      <c r="Q769" s="43"/>
      <c r="R769" s="43"/>
      <c r="S769" s="43"/>
      <c r="T769" s="43"/>
      <c r="U769" s="43"/>
      <c r="V769" s="43"/>
      <c r="W769" s="43"/>
      <c r="X769" s="43"/>
      <c r="Y769" s="43"/>
      <c r="Z769" s="43"/>
    </row>
    <row r="770">
      <c r="A770" s="67"/>
      <c r="B770" s="67"/>
      <c r="C770" s="68"/>
      <c r="D770" s="70"/>
      <c r="E770" s="68"/>
      <c r="F770" s="20"/>
      <c r="G770" s="43"/>
      <c r="H770" s="43"/>
      <c r="I770" s="43"/>
      <c r="J770" s="63"/>
      <c r="K770" s="43"/>
      <c r="L770" s="43"/>
      <c r="M770" s="43"/>
      <c r="N770" s="43"/>
      <c r="O770" s="43"/>
      <c r="P770" s="43"/>
      <c r="Q770" s="43"/>
      <c r="R770" s="43"/>
      <c r="S770" s="43"/>
      <c r="T770" s="43"/>
      <c r="U770" s="43"/>
      <c r="V770" s="43"/>
      <c r="W770" s="43"/>
      <c r="X770" s="43"/>
      <c r="Y770" s="43"/>
      <c r="Z770" s="43"/>
    </row>
    <row r="771">
      <c r="A771" s="67"/>
      <c r="B771" s="67"/>
      <c r="C771" s="68"/>
      <c r="D771" s="70"/>
      <c r="E771" s="68"/>
      <c r="F771" s="20"/>
      <c r="G771" s="43"/>
      <c r="H771" s="43"/>
      <c r="I771" s="43"/>
      <c r="J771" s="63"/>
      <c r="K771" s="43"/>
      <c r="L771" s="43"/>
      <c r="M771" s="43"/>
      <c r="N771" s="43"/>
      <c r="O771" s="43"/>
      <c r="P771" s="43"/>
      <c r="Q771" s="43"/>
      <c r="R771" s="43"/>
      <c r="S771" s="43"/>
      <c r="T771" s="43"/>
      <c r="U771" s="43"/>
      <c r="V771" s="43"/>
      <c r="W771" s="43"/>
      <c r="X771" s="43"/>
      <c r="Y771" s="43"/>
      <c r="Z771" s="43"/>
    </row>
    <row r="772">
      <c r="A772" s="67"/>
      <c r="B772" s="67"/>
      <c r="C772" s="68"/>
      <c r="D772" s="70"/>
      <c r="E772" s="68"/>
      <c r="F772" s="20"/>
      <c r="G772" s="43"/>
      <c r="H772" s="43"/>
      <c r="I772" s="43"/>
      <c r="J772" s="63"/>
      <c r="K772" s="43"/>
      <c r="L772" s="43"/>
      <c r="M772" s="43"/>
      <c r="N772" s="43"/>
      <c r="O772" s="43"/>
      <c r="P772" s="43"/>
      <c r="Q772" s="43"/>
      <c r="R772" s="43"/>
      <c r="S772" s="43"/>
      <c r="T772" s="43"/>
      <c r="U772" s="43"/>
      <c r="V772" s="43"/>
      <c r="W772" s="43"/>
      <c r="X772" s="43"/>
      <c r="Y772" s="43"/>
      <c r="Z772" s="43"/>
    </row>
    <row r="773">
      <c r="A773" s="67"/>
      <c r="B773" s="67"/>
      <c r="C773" s="68"/>
      <c r="D773" s="70"/>
      <c r="E773" s="68"/>
      <c r="F773" s="20"/>
      <c r="G773" s="43"/>
      <c r="H773" s="43"/>
      <c r="I773" s="43"/>
      <c r="J773" s="63"/>
      <c r="K773" s="43"/>
      <c r="L773" s="43"/>
      <c r="M773" s="43"/>
      <c r="N773" s="43"/>
      <c r="O773" s="43"/>
      <c r="P773" s="43"/>
      <c r="Q773" s="43"/>
      <c r="R773" s="43"/>
      <c r="S773" s="43"/>
      <c r="T773" s="43"/>
      <c r="U773" s="43"/>
      <c r="V773" s="43"/>
      <c r="W773" s="43"/>
      <c r="X773" s="43"/>
      <c r="Y773" s="43"/>
      <c r="Z773" s="43"/>
    </row>
    <row r="774">
      <c r="A774" s="67"/>
      <c r="B774" s="67"/>
      <c r="C774" s="68"/>
      <c r="D774" s="70"/>
      <c r="E774" s="68"/>
      <c r="F774" s="20"/>
      <c r="G774" s="43"/>
      <c r="H774" s="43"/>
      <c r="I774" s="43"/>
      <c r="J774" s="63"/>
      <c r="K774" s="43"/>
      <c r="L774" s="43"/>
      <c r="M774" s="43"/>
      <c r="N774" s="43"/>
      <c r="O774" s="43"/>
      <c r="P774" s="43"/>
      <c r="Q774" s="43"/>
      <c r="R774" s="43"/>
      <c r="S774" s="43"/>
      <c r="T774" s="43"/>
      <c r="U774" s="43"/>
      <c r="V774" s="43"/>
      <c r="W774" s="43"/>
      <c r="X774" s="43"/>
      <c r="Y774" s="43"/>
      <c r="Z774" s="43"/>
    </row>
    <row r="775">
      <c r="A775" s="67"/>
      <c r="B775" s="67"/>
      <c r="C775" s="68"/>
      <c r="D775" s="70"/>
      <c r="E775" s="68"/>
      <c r="F775" s="20"/>
      <c r="G775" s="43"/>
      <c r="H775" s="43"/>
      <c r="I775" s="43"/>
      <c r="J775" s="63"/>
      <c r="K775" s="43"/>
      <c r="L775" s="43"/>
      <c r="M775" s="43"/>
      <c r="N775" s="43"/>
      <c r="O775" s="43"/>
      <c r="P775" s="43"/>
      <c r="Q775" s="43"/>
      <c r="R775" s="43"/>
      <c r="S775" s="43"/>
      <c r="T775" s="43"/>
      <c r="U775" s="43"/>
      <c r="V775" s="43"/>
      <c r="W775" s="43"/>
      <c r="X775" s="43"/>
      <c r="Y775" s="43"/>
      <c r="Z775" s="43"/>
    </row>
    <row r="776">
      <c r="A776" s="67"/>
      <c r="B776" s="67"/>
      <c r="C776" s="68"/>
      <c r="D776" s="70"/>
      <c r="E776" s="68"/>
      <c r="F776" s="20"/>
      <c r="G776" s="43"/>
      <c r="H776" s="43"/>
      <c r="I776" s="43"/>
      <c r="J776" s="63"/>
      <c r="K776" s="43"/>
      <c r="L776" s="43"/>
      <c r="M776" s="43"/>
      <c r="N776" s="43"/>
      <c r="O776" s="43"/>
      <c r="P776" s="43"/>
      <c r="Q776" s="43"/>
      <c r="R776" s="43"/>
      <c r="S776" s="43"/>
      <c r="T776" s="43"/>
      <c r="U776" s="43"/>
      <c r="V776" s="43"/>
      <c r="W776" s="43"/>
      <c r="X776" s="43"/>
      <c r="Y776" s="43"/>
      <c r="Z776" s="43"/>
    </row>
    <row r="777">
      <c r="A777" s="67"/>
      <c r="B777" s="67"/>
      <c r="C777" s="68"/>
      <c r="D777" s="70"/>
      <c r="E777" s="68"/>
      <c r="F777" s="20"/>
      <c r="G777" s="43"/>
      <c r="H777" s="43"/>
      <c r="I777" s="43"/>
      <c r="J777" s="63"/>
      <c r="K777" s="43"/>
      <c r="L777" s="43"/>
      <c r="M777" s="43"/>
      <c r="N777" s="43"/>
      <c r="O777" s="43"/>
      <c r="P777" s="43"/>
      <c r="Q777" s="43"/>
      <c r="R777" s="43"/>
      <c r="S777" s="43"/>
      <c r="T777" s="43"/>
      <c r="U777" s="43"/>
      <c r="V777" s="43"/>
      <c r="W777" s="43"/>
      <c r="X777" s="43"/>
      <c r="Y777" s="43"/>
      <c r="Z777" s="43"/>
    </row>
    <row r="778">
      <c r="A778" s="67"/>
      <c r="B778" s="67"/>
      <c r="C778" s="68"/>
      <c r="D778" s="70"/>
      <c r="E778" s="68"/>
      <c r="F778" s="20"/>
      <c r="G778" s="43"/>
      <c r="H778" s="43"/>
      <c r="I778" s="43"/>
      <c r="J778" s="63"/>
      <c r="K778" s="43"/>
      <c r="L778" s="43"/>
      <c r="M778" s="43"/>
      <c r="N778" s="43"/>
      <c r="O778" s="43"/>
      <c r="P778" s="43"/>
      <c r="Q778" s="43"/>
      <c r="R778" s="43"/>
      <c r="S778" s="43"/>
      <c r="T778" s="43"/>
      <c r="U778" s="43"/>
      <c r="V778" s="43"/>
      <c r="W778" s="43"/>
      <c r="X778" s="43"/>
      <c r="Y778" s="43"/>
      <c r="Z778" s="43"/>
    </row>
    <row r="779">
      <c r="A779" s="67"/>
      <c r="B779" s="67"/>
      <c r="C779" s="68"/>
      <c r="D779" s="70"/>
      <c r="E779" s="68"/>
      <c r="F779" s="20"/>
      <c r="G779" s="43"/>
      <c r="H779" s="43"/>
      <c r="I779" s="43"/>
      <c r="J779" s="63"/>
      <c r="K779" s="43"/>
      <c r="L779" s="43"/>
      <c r="M779" s="43"/>
      <c r="N779" s="43"/>
      <c r="O779" s="43"/>
      <c r="P779" s="43"/>
      <c r="Q779" s="43"/>
      <c r="R779" s="43"/>
      <c r="S779" s="43"/>
      <c r="T779" s="43"/>
      <c r="U779" s="43"/>
      <c r="V779" s="43"/>
      <c r="W779" s="43"/>
      <c r="X779" s="43"/>
      <c r="Y779" s="43"/>
      <c r="Z779" s="43"/>
    </row>
    <row r="780">
      <c r="A780" s="67"/>
      <c r="B780" s="67"/>
      <c r="C780" s="68"/>
      <c r="D780" s="70"/>
      <c r="E780" s="68"/>
      <c r="F780" s="20"/>
      <c r="G780" s="43"/>
      <c r="H780" s="43"/>
      <c r="I780" s="43"/>
      <c r="J780" s="63"/>
      <c r="K780" s="43"/>
      <c r="L780" s="43"/>
      <c r="M780" s="43"/>
      <c r="N780" s="43"/>
      <c r="O780" s="43"/>
      <c r="P780" s="43"/>
      <c r="Q780" s="43"/>
      <c r="R780" s="43"/>
      <c r="S780" s="43"/>
      <c r="T780" s="43"/>
      <c r="U780" s="43"/>
      <c r="V780" s="43"/>
      <c r="W780" s="43"/>
      <c r="X780" s="43"/>
      <c r="Y780" s="43"/>
      <c r="Z780" s="43"/>
    </row>
    <row r="781">
      <c r="A781" s="67"/>
      <c r="B781" s="67"/>
      <c r="C781" s="68"/>
      <c r="D781" s="70"/>
      <c r="E781" s="68"/>
      <c r="F781" s="20"/>
      <c r="G781" s="43"/>
      <c r="H781" s="43"/>
      <c r="I781" s="43"/>
      <c r="J781" s="63"/>
      <c r="K781" s="43"/>
      <c r="L781" s="43"/>
      <c r="M781" s="43"/>
      <c r="N781" s="43"/>
      <c r="O781" s="43"/>
      <c r="P781" s="43"/>
      <c r="Q781" s="43"/>
      <c r="R781" s="43"/>
      <c r="S781" s="43"/>
      <c r="T781" s="43"/>
      <c r="U781" s="43"/>
      <c r="V781" s="43"/>
      <c r="W781" s="43"/>
      <c r="X781" s="43"/>
      <c r="Y781" s="43"/>
      <c r="Z781" s="43"/>
    </row>
    <row r="782">
      <c r="A782" s="67"/>
      <c r="B782" s="67"/>
      <c r="C782" s="68"/>
      <c r="D782" s="70"/>
      <c r="E782" s="68"/>
      <c r="F782" s="20"/>
      <c r="G782" s="43"/>
      <c r="H782" s="43"/>
      <c r="I782" s="43"/>
      <c r="J782" s="63"/>
      <c r="K782" s="43"/>
      <c r="L782" s="43"/>
      <c r="M782" s="43"/>
      <c r="N782" s="43"/>
      <c r="O782" s="43"/>
      <c r="P782" s="43"/>
      <c r="Q782" s="43"/>
      <c r="R782" s="43"/>
      <c r="S782" s="43"/>
      <c r="T782" s="43"/>
      <c r="U782" s="43"/>
      <c r="V782" s="43"/>
      <c r="W782" s="43"/>
      <c r="X782" s="43"/>
      <c r="Y782" s="43"/>
      <c r="Z782" s="43"/>
    </row>
    <row r="783">
      <c r="A783" s="67"/>
      <c r="B783" s="67"/>
      <c r="C783" s="68"/>
      <c r="D783" s="70"/>
      <c r="E783" s="68"/>
      <c r="F783" s="20"/>
      <c r="G783" s="43"/>
      <c r="H783" s="43"/>
      <c r="I783" s="43"/>
      <c r="J783" s="63"/>
      <c r="K783" s="43"/>
      <c r="L783" s="43"/>
      <c r="M783" s="43"/>
      <c r="N783" s="43"/>
      <c r="O783" s="43"/>
      <c r="P783" s="43"/>
      <c r="Q783" s="43"/>
      <c r="R783" s="43"/>
      <c r="S783" s="43"/>
      <c r="T783" s="43"/>
      <c r="U783" s="43"/>
      <c r="V783" s="43"/>
      <c r="W783" s="43"/>
      <c r="X783" s="43"/>
      <c r="Y783" s="43"/>
      <c r="Z783" s="43"/>
    </row>
    <row r="784">
      <c r="A784" s="67"/>
      <c r="B784" s="67"/>
      <c r="C784" s="68"/>
      <c r="D784" s="70"/>
      <c r="E784" s="68"/>
      <c r="F784" s="20"/>
      <c r="G784" s="43"/>
      <c r="H784" s="43"/>
      <c r="I784" s="43"/>
      <c r="J784" s="63"/>
      <c r="K784" s="43"/>
      <c r="L784" s="43"/>
      <c r="M784" s="43"/>
      <c r="N784" s="43"/>
      <c r="O784" s="43"/>
      <c r="P784" s="43"/>
      <c r="Q784" s="43"/>
      <c r="R784" s="43"/>
      <c r="S784" s="43"/>
      <c r="T784" s="43"/>
      <c r="U784" s="43"/>
      <c r="V784" s="43"/>
      <c r="W784" s="43"/>
      <c r="X784" s="43"/>
      <c r="Y784" s="43"/>
      <c r="Z784" s="43"/>
    </row>
    <row r="785">
      <c r="A785" s="67"/>
      <c r="B785" s="67"/>
      <c r="C785" s="68"/>
      <c r="D785" s="70"/>
      <c r="E785" s="68"/>
      <c r="F785" s="20"/>
      <c r="G785" s="43"/>
      <c r="H785" s="43"/>
      <c r="I785" s="43"/>
      <c r="J785" s="63"/>
      <c r="K785" s="43"/>
      <c r="L785" s="43"/>
      <c r="M785" s="43"/>
      <c r="N785" s="43"/>
      <c r="O785" s="43"/>
      <c r="P785" s="43"/>
      <c r="Q785" s="43"/>
      <c r="R785" s="43"/>
      <c r="S785" s="43"/>
      <c r="T785" s="43"/>
      <c r="U785" s="43"/>
      <c r="V785" s="43"/>
      <c r="W785" s="43"/>
      <c r="X785" s="43"/>
      <c r="Y785" s="43"/>
      <c r="Z785" s="43"/>
    </row>
    <row r="786">
      <c r="A786" s="67"/>
      <c r="B786" s="67"/>
      <c r="C786" s="68"/>
      <c r="D786" s="70"/>
      <c r="E786" s="68"/>
      <c r="F786" s="20"/>
      <c r="G786" s="43"/>
      <c r="H786" s="43"/>
      <c r="I786" s="43"/>
      <c r="J786" s="63"/>
      <c r="K786" s="43"/>
      <c r="L786" s="43"/>
      <c r="M786" s="43"/>
      <c r="N786" s="43"/>
      <c r="O786" s="43"/>
      <c r="P786" s="43"/>
      <c r="Q786" s="43"/>
      <c r="R786" s="43"/>
      <c r="S786" s="43"/>
      <c r="T786" s="43"/>
      <c r="U786" s="43"/>
      <c r="V786" s="43"/>
      <c r="W786" s="43"/>
      <c r="X786" s="43"/>
      <c r="Y786" s="43"/>
      <c r="Z786" s="43"/>
    </row>
    <row r="787">
      <c r="A787" s="67"/>
      <c r="B787" s="67"/>
      <c r="C787" s="68"/>
      <c r="D787" s="70"/>
      <c r="E787" s="68"/>
      <c r="F787" s="20"/>
      <c r="G787" s="43"/>
      <c r="H787" s="43"/>
      <c r="I787" s="43"/>
      <c r="J787" s="63"/>
      <c r="K787" s="43"/>
      <c r="L787" s="43"/>
      <c r="M787" s="43"/>
      <c r="N787" s="43"/>
      <c r="O787" s="43"/>
      <c r="P787" s="43"/>
      <c r="Q787" s="43"/>
      <c r="R787" s="43"/>
      <c r="S787" s="43"/>
      <c r="T787" s="43"/>
      <c r="U787" s="43"/>
      <c r="V787" s="43"/>
      <c r="W787" s="43"/>
      <c r="X787" s="43"/>
      <c r="Y787" s="43"/>
      <c r="Z787" s="43"/>
    </row>
    <row r="788">
      <c r="A788" s="67"/>
      <c r="B788" s="67"/>
      <c r="C788" s="68"/>
      <c r="D788" s="70"/>
      <c r="E788" s="68"/>
      <c r="F788" s="20"/>
      <c r="G788" s="43"/>
      <c r="H788" s="43"/>
      <c r="I788" s="43"/>
      <c r="J788" s="63"/>
      <c r="K788" s="43"/>
      <c r="L788" s="43"/>
      <c r="M788" s="43"/>
      <c r="N788" s="43"/>
      <c r="O788" s="43"/>
      <c r="P788" s="43"/>
      <c r="Q788" s="43"/>
      <c r="R788" s="43"/>
      <c r="S788" s="43"/>
      <c r="T788" s="43"/>
      <c r="U788" s="43"/>
      <c r="V788" s="43"/>
      <c r="W788" s="43"/>
      <c r="X788" s="43"/>
      <c r="Y788" s="43"/>
      <c r="Z788" s="43"/>
    </row>
    <row r="789">
      <c r="A789" s="67"/>
      <c r="B789" s="67"/>
      <c r="C789" s="68"/>
      <c r="D789" s="70"/>
      <c r="E789" s="68"/>
      <c r="F789" s="20"/>
      <c r="G789" s="43"/>
      <c r="H789" s="43"/>
      <c r="I789" s="43"/>
      <c r="J789" s="63"/>
      <c r="K789" s="43"/>
      <c r="L789" s="43"/>
      <c r="M789" s="43"/>
      <c r="N789" s="43"/>
      <c r="O789" s="43"/>
      <c r="P789" s="43"/>
      <c r="Q789" s="43"/>
      <c r="R789" s="43"/>
      <c r="S789" s="43"/>
      <c r="T789" s="43"/>
      <c r="U789" s="43"/>
      <c r="V789" s="43"/>
      <c r="W789" s="43"/>
      <c r="X789" s="43"/>
      <c r="Y789" s="43"/>
      <c r="Z789" s="43"/>
    </row>
    <row r="790">
      <c r="A790" s="67"/>
      <c r="B790" s="67"/>
      <c r="C790" s="68"/>
      <c r="D790" s="70"/>
      <c r="E790" s="68"/>
      <c r="F790" s="20"/>
      <c r="G790" s="43"/>
      <c r="H790" s="43"/>
      <c r="I790" s="43"/>
      <c r="J790" s="63"/>
      <c r="K790" s="43"/>
      <c r="L790" s="43"/>
      <c r="M790" s="43"/>
      <c r="N790" s="43"/>
      <c r="O790" s="43"/>
      <c r="P790" s="43"/>
      <c r="Q790" s="43"/>
      <c r="R790" s="43"/>
      <c r="S790" s="43"/>
      <c r="T790" s="43"/>
      <c r="U790" s="43"/>
      <c r="V790" s="43"/>
      <c r="W790" s="43"/>
      <c r="X790" s="43"/>
      <c r="Y790" s="43"/>
      <c r="Z790" s="43"/>
    </row>
    <row r="791">
      <c r="A791" s="67"/>
      <c r="B791" s="67"/>
      <c r="C791" s="68"/>
      <c r="D791" s="70"/>
      <c r="E791" s="68"/>
      <c r="F791" s="20"/>
      <c r="G791" s="43"/>
      <c r="H791" s="43"/>
      <c r="I791" s="43"/>
      <c r="J791" s="63"/>
      <c r="K791" s="43"/>
      <c r="L791" s="43"/>
      <c r="M791" s="43"/>
      <c r="N791" s="43"/>
      <c r="O791" s="43"/>
      <c r="P791" s="43"/>
      <c r="Q791" s="43"/>
      <c r="R791" s="43"/>
      <c r="S791" s="43"/>
      <c r="T791" s="43"/>
      <c r="U791" s="43"/>
      <c r="V791" s="43"/>
      <c r="W791" s="43"/>
      <c r="X791" s="43"/>
      <c r="Y791" s="43"/>
      <c r="Z791" s="43"/>
    </row>
    <row r="792">
      <c r="A792" s="67"/>
      <c r="B792" s="67"/>
      <c r="C792" s="68"/>
      <c r="D792" s="70"/>
      <c r="E792" s="68"/>
      <c r="F792" s="20"/>
      <c r="G792" s="43"/>
      <c r="H792" s="43"/>
      <c r="I792" s="43"/>
      <c r="J792" s="63"/>
      <c r="K792" s="43"/>
      <c r="L792" s="43"/>
      <c r="M792" s="43"/>
      <c r="N792" s="43"/>
      <c r="O792" s="43"/>
      <c r="P792" s="43"/>
      <c r="Q792" s="43"/>
      <c r="R792" s="43"/>
      <c r="S792" s="43"/>
      <c r="T792" s="43"/>
      <c r="U792" s="43"/>
      <c r="V792" s="43"/>
      <c r="W792" s="43"/>
      <c r="X792" s="43"/>
      <c r="Y792" s="43"/>
      <c r="Z792" s="43"/>
    </row>
    <row r="793">
      <c r="A793" s="67"/>
      <c r="B793" s="67"/>
      <c r="C793" s="68"/>
      <c r="D793" s="70"/>
      <c r="E793" s="68"/>
      <c r="F793" s="20"/>
      <c r="G793" s="43"/>
      <c r="H793" s="43"/>
      <c r="I793" s="43"/>
      <c r="J793" s="63"/>
      <c r="K793" s="43"/>
      <c r="L793" s="43"/>
      <c r="M793" s="43"/>
      <c r="N793" s="43"/>
      <c r="O793" s="43"/>
      <c r="P793" s="43"/>
      <c r="Q793" s="43"/>
      <c r="R793" s="43"/>
      <c r="S793" s="43"/>
      <c r="T793" s="43"/>
      <c r="U793" s="43"/>
      <c r="V793" s="43"/>
      <c r="W793" s="43"/>
      <c r="X793" s="43"/>
      <c r="Y793" s="43"/>
      <c r="Z793" s="43"/>
    </row>
    <row r="794">
      <c r="A794" s="67"/>
      <c r="B794" s="67"/>
      <c r="C794" s="68"/>
      <c r="D794" s="70"/>
      <c r="E794" s="68"/>
      <c r="F794" s="20"/>
      <c r="G794" s="43"/>
      <c r="H794" s="43"/>
      <c r="I794" s="43"/>
      <c r="J794" s="63"/>
      <c r="K794" s="43"/>
      <c r="L794" s="43"/>
      <c r="M794" s="43"/>
      <c r="N794" s="43"/>
      <c r="O794" s="43"/>
      <c r="P794" s="43"/>
      <c r="Q794" s="43"/>
      <c r="R794" s="43"/>
      <c r="S794" s="43"/>
      <c r="T794" s="43"/>
      <c r="U794" s="43"/>
      <c r="V794" s="43"/>
      <c r="W794" s="43"/>
      <c r="X794" s="43"/>
      <c r="Y794" s="43"/>
      <c r="Z794" s="43"/>
    </row>
    <row r="795">
      <c r="A795" s="67"/>
      <c r="B795" s="67"/>
      <c r="C795" s="68"/>
      <c r="D795" s="70"/>
      <c r="E795" s="68"/>
      <c r="F795" s="20"/>
      <c r="G795" s="43"/>
      <c r="H795" s="43"/>
      <c r="I795" s="43"/>
      <c r="J795" s="63"/>
      <c r="K795" s="43"/>
      <c r="L795" s="43"/>
      <c r="M795" s="43"/>
      <c r="N795" s="43"/>
      <c r="O795" s="43"/>
      <c r="P795" s="43"/>
      <c r="Q795" s="43"/>
      <c r="R795" s="43"/>
      <c r="S795" s="43"/>
      <c r="T795" s="43"/>
      <c r="U795" s="43"/>
      <c r="V795" s="43"/>
      <c r="W795" s="43"/>
      <c r="X795" s="43"/>
      <c r="Y795" s="43"/>
      <c r="Z795" s="43"/>
    </row>
    <row r="796">
      <c r="A796" s="67"/>
      <c r="B796" s="67"/>
      <c r="C796" s="68"/>
      <c r="D796" s="70"/>
      <c r="E796" s="68"/>
      <c r="F796" s="20"/>
      <c r="G796" s="43"/>
      <c r="H796" s="43"/>
      <c r="I796" s="43"/>
      <c r="J796" s="63"/>
      <c r="K796" s="43"/>
      <c r="L796" s="43"/>
      <c r="M796" s="43"/>
      <c r="N796" s="43"/>
      <c r="O796" s="43"/>
      <c r="P796" s="43"/>
      <c r="Q796" s="43"/>
      <c r="R796" s="43"/>
      <c r="S796" s="43"/>
      <c r="T796" s="43"/>
      <c r="U796" s="43"/>
      <c r="V796" s="43"/>
      <c r="W796" s="43"/>
      <c r="X796" s="43"/>
      <c r="Y796" s="43"/>
      <c r="Z796" s="43"/>
    </row>
    <row r="797">
      <c r="A797" s="67"/>
      <c r="B797" s="67"/>
      <c r="C797" s="68"/>
      <c r="D797" s="70"/>
      <c r="E797" s="68"/>
      <c r="F797" s="20"/>
      <c r="G797" s="43"/>
      <c r="H797" s="43"/>
      <c r="I797" s="43"/>
      <c r="J797" s="63"/>
      <c r="K797" s="43"/>
      <c r="L797" s="43"/>
      <c r="M797" s="43"/>
      <c r="N797" s="43"/>
      <c r="O797" s="43"/>
      <c r="P797" s="43"/>
      <c r="Q797" s="43"/>
      <c r="R797" s="43"/>
      <c r="S797" s="43"/>
      <c r="T797" s="43"/>
      <c r="U797" s="43"/>
      <c r="V797" s="43"/>
      <c r="W797" s="43"/>
      <c r="X797" s="43"/>
      <c r="Y797" s="43"/>
      <c r="Z797" s="43"/>
    </row>
    <row r="798">
      <c r="A798" s="67"/>
      <c r="B798" s="67"/>
      <c r="C798" s="68"/>
      <c r="D798" s="70"/>
      <c r="E798" s="68"/>
      <c r="F798" s="20"/>
      <c r="G798" s="43"/>
      <c r="H798" s="43"/>
      <c r="I798" s="43"/>
      <c r="J798" s="63"/>
      <c r="K798" s="43"/>
      <c r="L798" s="43"/>
      <c r="M798" s="43"/>
      <c r="N798" s="43"/>
      <c r="O798" s="43"/>
      <c r="P798" s="43"/>
      <c r="Q798" s="43"/>
      <c r="R798" s="43"/>
      <c r="S798" s="43"/>
      <c r="T798" s="43"/>
      <c r="U798" s="43"/>
      <c r="V798" s="43"/>
      <c r="W798" s="43"/>
      <c r="X798" s="43"/>
      <c r="Y798" s="43"/>
      <c r="Z798" s="43"/>
    </row>
    <row r="799">
      <c r="A799" s="67"/>
      <c r="B799" s="67"/>
      <c r="C799" s="68"/>
      <c r="D799" s="70"/>
      <c r="E799" s="68"/>
      <c r="F799" s="20"/>
      <c r="G799" s="43"/>
      <c r="H799" s="43"/>
      <c r="I799" s="43"/>
      <c r="J799" s="63"/>
      <c r="K799" s="43"/>
      <c r="L799" s="43"/>
      <c r="M799" s="43"/>
      <c r="N799" s="43"/>
      <c r="O799" s="43"/>
      <c r="P799" s="43"/>
      <c r="Q799" s="43"/>
      <c r="R799" s="43"/>
      <c r="S799" s="43"/>
      <c r="T799" s="43"/>
      <c r="U799" s="43"/>
      <c r="V799" s="43"/>
      <c r="W799" s="43"/>
      <c r="X799" s="43"/>
      <c r="Y799" s="43"/>
      <c r="Z799" s="43"/>
    </row>
    <row r="800">
      <c r="A800" s="67"/>
      <c r="B800" s="67"/>
      <c r="C800" s="68"/>
      <c r="D800" s="70"/>
      <c r="E800" s="68"/>
      <c r="F800" s="20"/>
      <c r="G800" s="43"/>
      <c r="H800" s="43"/>
      <c r="I800" s="43"/>
      <c r="J800" s="63"/>
      <c r="K800" s="43"/>
      <c r="L800" s="43"/>
      <c r="M800" s="43"/>
      <c r="N800" s="43"/>
      <c r="O800" s="43"/>
      <c r="P800" s="43"/>
      <c r="Q800" s="43"/>
      <c r="R800" s="43"/>
      <c r="S800" s="43"/>
      <c r="T800" s="43"/>
      <c r="U800" s="43"/>
      <c r="V800" s="43"/>
      <c r="W800" s="43"/>
      <c r="X800" s="43"/>
      <c r="Y800" s="43"/>
      <c r="Z800" s="43"/>
    </row>
    <row r="801">
      <c r="A801" s="67"/>
      <c r="B801" s="67"/>
      <c r="C801" s="68"/>
      <c r="D801" s="70"/>
      <c r="E801" s="68"/>
      <c r="F801" s="20"/>
      <c r="G801" s="43"/>
      <c r="H801" s="43"/>
      <c r="I801" s="43"/>
      <c r="J801" s="63"/>
      <c r="K801" s="43"/>
      <c r="L801" s="43"/>
      <c r="M801" s="43"/>
      <c r="N801" s="43"/>
      <c r="O801" s="43"/>
      <c r="P801" s="43"/>
      <c r="Q801" s="43"/>
      <c r="R801" s="43"/>
      <c r="S801" s="43"/>
      <c r="T801" s="43"/>
      <c r="U801" s="43"/>
      <c r="V801" s="43"/>
      <c r="W801" s="43"/>
      <c r="X801" s="43"/>
      <c r="Y801" s="43"/>
      <c r="Z801" s="43"/>
    </row>
    <row r="802">
      <c r="A802" s="67"/>
      <c r="B802" s="67"/>
      <c r="C802" s="68"/>
      <c r="D802" s="70"/>
      <c r="E802" s="68"/>
      <c r="F802" s="20"/>
      <c r="G802" s="43"/>
      <c r="H802" s="43"/>
      <c r="I802" s="43"/>
      <c r="J802" s="63"/>
      <c r="K802" s="43"/>
      <c r="L802" s="43"/>
      <c r="M802" s="43"/>
      <c r="N802" s="43"/>
      <c r="O802" s="43"/>
      <c r="P802" s="43"/>
      <c r="Q802" s="43"/>
      <c r="R802" s="43"/>
      <c r="S802" s="43"/>
      <c r="T802" s="43"/>
      <c r="U802" s="43"/>
      <c r="V802" s="43"/>
      <c r="W802" s="43"/>
      <c r="X802" s="43"/>
      <c r="Y802" s="43"/>
      <c r="Z802" s="43"/>
    </row>
    <row r="803">
      <c r="A803" s="67"/>
      <c r="B803" s="67"/>
      <c r="C803" s="68"/>
      <c r="D803" s="70"/>
      <c r="E803" s="68"/>
      <c r="F803" s="20"/>
      <c r="G803" s="43"/>
      <c r="H803" s="43"/>
      <c r="I803" s="43"/>
      <c r="J803" s="63"/>
      <c r="K803" s="43"/>
      <c r="L803" s="43"/>
      <c r="M803" s="43"/>
      <c r="N803" s="43"/>
      <c r="O803" s="43"/>
      <c r="P803" s="43"/>
      <c r="Q803" s="43"/>
      <c r="R803" s="43"/>
      <c r="S803" s="43"/>
      <c r="T803" s="43"/>
      <c r="U803" s="43"/>
      <c r="V803" s="43"/>
      <c r="W803" s="43"/>
      <c r="X803" s="43"/>
      <c r="Y803" s="43"/>
      <c r="Z803" s="43"/>
    </row>
    <row r="804">
      <c r="A804" s="67"/>
      <c r="B804" s="67"/>
      <c r="C804" s="68"/>
      <c r="D804" s="70"/>
      <c r="E804" s="68"/>
      <c r="F804" s="20"/>
      <c r="G804" s="43"/>
      <c r="H804" s="43"/>
      <c r="I804" s="43"/>
      <c r="J804" s="63"/>
      <c r="K804" s="43"/>
      <c r="L804" s="43"/>
      <c r="M804" s="43"/>
      <c r="N804" s="43"/>
      <c r="O804" s="43"/>
      <c r="P804" s="43"/>
      <c r="Q804" s="43"/>
      <c r="R804" s="43"/>
      <c r="S804" s="43"/>
      <c r="T804" s="43"/>
      <c r="U804" s="43"/>
      <c r="V804" s="43"/>
      <c r="W804" s="43"/>
      <c r="X804" s="43"/>
      <c r="Y804" s="43"/>
      <c r="Z804" s="43"/>
    </row>
    <row r="805">
      <c r="A805" s="67"/>
      <c r="B805" s="67"/>
      <c r="C805" s="68"/>
      <c r="D805" s="70"/>
      <c r="E805" s="68"/>
      <c r="F805" s="20"/>
      <c r="G805" s="43"/>
      <c r="H805" s="43"/>
      <c r="I805" s="43"/>
      <c r="J805" s="63"/>
      <c r="K805" s="43"/>
      <c r="L805" s="43"/>
      <c r="M805" s="43"/>
      <c r="N805" s="43"/>
      <c r="O805" s="43"/>
      <c r="P805" s="43"/>
      <c r="Q805" s="43"/>
      <c r="R805" s="43"/>
      <c r="S805" s="43"/>
      <c r="T805" s="43"/>
      <c r="U805" s="43"/>
      <c r="V805" s="43"/>
      <c r="W805" s="43"/>
      <c r="X805" s="43"/>
      <c r="Y805" s="43"/>
      <c r="Z805" s="43"/>
    </row>
    <row r="806">
      <c r="A806" s="67"/>
      <c r="B806" s="67"/>
      <c r="C806" s="68"/>
      <c r="D806" s="70"/>
      <c r="E806" s="68"/>
      <c r="F806" s="20"/>
      <c r="G806" s="43"/>
      <c r="H806" s="43"/>
      <c r="I806" s="43"/>
      <c r="J806" s="63"/>
      <c r="K806" s="43"/>
      <c r="L806" s="43"/>
      <c r="M806" s="43"/>
      <c r="N806" s="43"/>
      <c r="O806" s="43"/>
      <c r="P806" s="43"/>
      <c r="Q806" s="43"/>
      <c r="R806" s="43"/>
      <c r="S806" s="43"/>
      <c r="T806" s="43"/>
      <c r="U806" s="43"/>
      <c r="V806" s="43"/>
      <c r="W806" s="43"/>
      <c r="X806" s="43"/>
      <c r="Y806" s="43"/>
      <c r="Z806" s="43"/>
    </row>
    <row r="807">
      <c r="A807" s="67"/>
      <c r="B807" s="67"/>
      <c r="C807" s="68"/>
      <c r="D807" s="70"/>
      <c r="E807" s="68"/>
      <c r="F807" s="20"/>
      <c r="G807" s="43"/>
      <c r="H807" s="43"/>
      <c r="I807" s="43"/>
      <c r="J807" s="63"/>
      <c r="K807" s="43"/>
      <c r="L807" s="43"/>
      <c r="M807" s="43"/>
      <c r="N807" s="43"/>
      <c r="O807" s="43"/>
      <c r="P807" s="43"/>
      <c r="Q807" s="43"/>
      <c r="R807" s="43"/>
      <c r="S807" s="43"/>
      <c r="T807" s="43"/>
      <c r="U807" s="43"/>
      <c r="V807" s="43"/>
      <c r="W807" s="43"/>
      <c r="X807" s="43"/>
      <c r="Y807" s="43"/>
      <c r="Z807" s="43"/>
    </row>
    <row r="808">
      <c r="A808" s="67"/>
      <c r="B808" s="67"/>
      <c r="C808" s="68"/>
      <c r="D808" s="70"/>
      <c r="E808" s="68"/>
      <c r="F808" s="20"/>
      <c r="G808" s="43"/>
      <c r="H808" s="43"/>
      <c r="I808" s="43"/>
      <c r="J808" s="63"/>
      <c r="K808" s="43"/>
      <c r="L808" s="43"/>
      <c r="M808" s="43"/>
      <c r="N808" s="43"/>
      <c r="O808" s="43"/>
      <c r="P808" s="43"/>
      <c r="Q808" s="43"/>
      <c r="R808" s="43"/>
      <c r="S808" s="43"/>
      <c r="T808" s="43"/>
      <c r="U808" s="43"/>
      <c r="V808" s="43"/>
      <c r="W808" s="43"/>
      <c r="X808" s="43"/>
      <c r="Y808" s="43"/>
      <c r="Z808" s="43"/>
    </row>
    <row r="809">
      <c r="A809" s="67"/>
      <c r="B809" s="67"/>
      <c r="C809" s="68"/>
      <c r="D809" s="70"/>
      <c r="E809" s="68"/>
      <c r="F809" s="20"/>
      <c r="G809" s="43"/>
      <c r="H809" s="43"/>
      <c r="I809" s="43"/>
      <c r="J809" s="63"/>
      <c r="K809" s="43"/>
      <c r="L809" s="43"/>
      <c r="M809" s="43"/>
      <c r="N809" s="43"/>
      <c r="O809" s="43"/>
      <c r="P809" s="43"/>
      <c r="Q809" s="43"/>
      <c r="R809" s="43"/>
      <c r="S809" s="43"/>
      <c r="T809" s="43"/>
      <c r="U809" s="43"/>
      <c r="V809" s="43"/>
      <c r="W809" s="43"/>
      <c r="X809" s="43"/>
      <c r="Y809" s="43"/>
      <c r="Z809" s="43"/>
    </row>
    <row r="810">
      <c r="A810" s="67"/>
      <c r="B810" s="67"/>
      <c r="C810" s="68"/>
      <c r="D810" s="70"/>
      <c r="E810" s="68"/>
      <c r="F810" s="20"/>
      <c r="G810" s="43"/>
      <c r="H810" s="43"/>
      <c r="I810" s="43"/>
      <c r="J810" s="63"/>
      <c r="K810" s="43"/>
      <c r="L810" s="43"/>
      <c r="M810" s="43"/>
      <c r="N810" s="43"/>
      <c r="O810" s="43"/>
      <c r="P810" s="43"/>
      <c r="Q810" s="43"/>
      <c r="R810" s="43"/>
      <c r="S810" s="43"/>
      <c r="T810" s="43"/>
      <c r="U810" s="43"/>
      <c r="V810" s="43"/>
      <c r="W810" s="43"/>
      <c r="X810" s="43"/>
      <c r="Y810" s="43"/>
      <c r="Z810" s="43"/>
    </row>
    <row r="811">
      <c r="A811" s="67"/>
      <c r="B811" s="67"/>
      <c r="C811" s="68"/>
      <c r="D811" s="70"/>
      <c r="E811" s="68"/>
      <c r="F811" s="20"/>
      <c r="G811" s="43"/>
      <c r="H811" s="43"/>
      <c r="I811" s="43"/>
      <c r="J811" s="63"/>
      <c r="K811" s="43"/>
      <c r="L811" s="43"/>
      <c r="M811" s="43"/>
      <c r="N811" s="43"/>
      <c r="O811" s="43"/>
      <c r="P811" s="43"/>
      <c r="Q811" s="43"/>
      <c r="R811" s="43"/>
      <c r="S811" s="43"/>
      <c r="T811" s="43"/>
      <c r="U811" s="43"/>
      <c r="V811" s="43"/>
      <c r="W811" s="43"/>
      <c r="X811" s="43"/>
      <c r="Y811" s="43"/>
      <c r="Z811" s="43"/>
    </row>
    <row r="812">
      <c r="A812" s="67"/>
      <c r="B812" s="67"/>
      <c r="C812" s="68"/>
      <c r="D812" s="70"/>
      <c r="E812" s="68"/>
      <c r="F812" s="20"/>
      <c r="G812" s="43"/>
      <c r="H812" s="43"/>
      <c r="I812" s="43"/>
      <c r="J812" s="63"/>
      <c r="K812" s="43"/>
      <c r="L812" s="43"/>
      <c r="M812" s="43"/>
      <c r="N812" s="43"/>
      <c r="O812" s="43"/>
      <c r="P812" s="43"/>
      <c r="Q812" s="43"/>
      <c r="R812" s="43"/>
      <c r="S812" s="43"/>
      <c r="T812" s="43"/>
      <c r="U812" s="43"/>
      <c r="V812" s="43"/>
      <c r="W812" s="43"/>
      <c r="X812" s="43"/>
      <c r="Y812" s="43"/>
      <c r="Z812" s="43"/>
    </row>
    <row r="813">
      <c r="A813" s="67"/>
      <c r="B813" s="67"/>
      <c r="C813" s="68"/>
      <c r="D813" s="70"/>
      <c r="E813" s="68"/>
      <c r="F813" s="20"/>
      <c r="G813" s="43"/>
      <c r="H813" s="43"/>
      <c r="I813" s="43"/>
      <c r="J813" s="63"/>
      <c r="K813" s="43"/>
      <c r="L813" s="43"/>
      <c r="M813" s="43"/>
      <c r="N813" s="43"/>
      <c r="O813" s="43"/>
      <c r="P813" s="43"/>
      <c r="Q813" s="43"/>
      <c r="R813" s="43"/>
      <c r="S813" s="43"/>
      <c r="T813" s="43"/>
      <c r="U813" s="43"/>
      <c r="V813" s="43"/>
      <c r="W813" s="43"/>
      <c r="X813" s="43"/>
      <c r="Y813" s="43"/>
      <c r="Z813" s="43"/>
    </row>
    <row r="814">
      <c r="A814" s="67"/>
      <c r="B814" s="67"/>
      <c r="C814" s="68"/>
      <c r="D814" s="70"/>
      <c r="E814" s="68"/>
      <c r="F814" s="20"/>
      <c r="G814" s="43"/>
      <c r="H814" s="43"/>
      <c r="I814" s="43"/>
      <c r="J814" s="63"/>
      <c r="K814" s="43"/>
      <c r="L814" s="43"/>
      <c r="M814" s="43"/>
      <c r="N814" s="43"/>
      <c r="O814" s="43"/>
      <c r="P814" s="43"/>
      <c r="Q814" s="43"/>
      <c r="R814" s="43"/>
      <c r="S814" s="43"/>
      <c r="T814" s="43"/>
      <c r="U814" s="43"/>
      <c r="V814" s="43"/>
      <c r="W814" s="43"/>
      <c r="X814" s="43"/>
      <c r="Y814" s="43"/>
      <c r="Z814" s="43"/>
    </row>
    <row r="815">
      <c r="A815" s="67"/>
      <c r="B815" s="67"/>
      <c r="C815" s="68"/>
      <c r="D815" s="70"/>
      <c r="E815" s="68"/>
      <c r="F815" s="20"/>
      <c r="G815" s="43"/>
      <c r="H815" s="43"/>
      <c r="I815" s="43"/>
      <c r="J815" s="63"/>
      <c r="K815" s="43"/>
      <c r="L815" s="43"/>
      <c r="M815" s="43"/>
      <c r="N815" s="43"/>
      <c r="O815" s="43"/>
      <c r="P815" s="43"/>
      <c r="Q815" s="43"/>
      <c r="R815" s="43"/>
      <c r="S815" s="43"/>
      <c r="T815" s="43"/>
      <c r="U815" s="43"/>
      <c r="V815" s="43"/>
      <c r="W815" s="43"/>
      <c r="X815" s="43"/>
      <c r="Y815" s="43"/>
      <c r="Z815" s="43"/>
    </row>
    <row r="816">
      <c r="A816" s="67"/>
      <c r="B816" s="67"/>
      <c r="C816" s="68"/>
      <c r="D816" s="70"/>
      <c r="E816" s="68"/>
      <c r="F816" s="20"/>
      <c r="G816" s="43"/>
      <c r="H816" s="43"/>
      <c r="I816" s="43"/>
      <c r="J816" s="63"/>
      <c r="K816" s="43"/>
      <c r="L816" s="43"/>
      <c r="M816" s="43"/>
      <c r="N816" s="43"/>
      <c r="O816" s="43"/>
      <c r="P816" s="43"/>
      <c r="Q816" s="43"/>
      <c r="R816" s="43"/>
      <c r="S816" s="43"/>
      <c r="T816" s="43"/>
      <c r="U816" s="43"/>
      <c r="V816" s="43"/>
      <c r="W816" s="43"/>
      <c r="X816" s="43"/>
      <c r="Y816" s="43"/>
      <c r="Z816" s="43"/>
    </row>
    <row r="817">
      <c r="A817" s="67"/>
      <c r="B817" s="67"/>
      <c r="C817" s="68"/>
      <c r="D817" s="70"/>
      <c r="E817" s="68"/>
      <c r="F817" s="20"/>
      <c r="G817" s="43"/>
      <c r="H817" s="43"/>
      <c r="I817" s="43"/>
      <c r="J817" s="63"/>
      <c r="K817" s="43"/>
      <c r="L817" s="43"/>
      <c r="M817" s="43"/>
      <c r="N817" s="43"/>
      <c r="O817" s="43"/>
      <c r="P817" s="43"/>
      <c r="Q817" s="43"/>
      <c r="R817" s="43"/>
      <c r="S817" s="43"/>
      <c r="T817" s="43"/>
      <c r="U817" s="43"/>
      <c r="V817" s="43"/>
      <c r="W817" s="43"/>
      <c r="X817" s="43"/>
      <c r="Y817" s="43"/>
      <c r="Z817" s="43"/>
    </row>
    <row r="818">
      <c r="A818" s="67"/>
      <c r="B818" s="67"/>
      <c r="C818" s="68"/>
      <c r="D818" s="70"/>
      <c r="E818" s="68"/>
      <c r="F818" s="20"/>
      <c r="G818" s="43"/>
      <c r="H818" s="43"/>
      <c r="I818" s="43"/>
      <c r="J818" s="63"/>
      <c r="K818" s="43"/>
      <c r="L818" s="43"/>
      <c r="M818" s="43"/>
      <c r="N818" s="43"/>
      <c r="O818" s="43"/>
      <c r="P818" s="43"/>
      <c r="Q818" s="43"/>
      <c r="R818" s="43"/>
      <c r="S818" s="43"/>
      <c r="T818" s="43"/>
      <c r="U818" s="43"/>
      <c r="V818" s="43"/>
      <c r="W818" s="43"/>
      <c r="X818" s="43"/>
      <c r="Y818" s="43"/>
      <c r="Z818" s="43"/>
    </row>
    <row r="819">
      <c r="A819" s="67"/>
      <c r="B819" s="67"/>
      <c r="C819" s="68"/>
      <c r="D819" s="70"/>
      <c r="E819" s="68"/>
      <c r="F819" s="20"/>
      <c r="G819" s="43"/>
      <c r="H819" s="43"/>
      <c r="I819" s="43"/>
      <c r="J819" s="63"/>
      <c r="K819" s="43"/>
      <c r="L819" s="43"/>
      <c r="M819" s="43"/>
      <c r="N819" s="43"/>
      <c r="O819" s="43"/>
      <c r="P819" s="43"/>
      <c r="Q819" s="43"/>
      <c r="R819" s="43"/>
      <c r="S819" s="43"/>
      <c r="T819" s="43"/>
      <c r="U819" s="43"/>
      <c r="V819" s="43"/>
      <c r="W819" s="43"/>
      <c r="X819" s="43"/>
      <c r="Y819" s="43"/>
      <c r="Z819" s="43"/>
    </row>
    <row r="820">
      <c r="A820" s="67"/>
      <c r="B820" s="67"/>
      <c r="C820" s="68"/>
      <c r="D820" s="70"/>
      <c r="E820" s="68"/>
      <c r="F820" s="20"/>
      <c r="G820" s="43"/>
      <c r="H820" s="43"/>
      <c r="I820" s="43"/>
      <c r="J820" s="63"/>
      <c r="K820" s="43"/>
      <c r="L820" s="43"/>
      <c r="M820" s="43"/>
      <c r="N820" s="43"/>
      <c r="O820" s="43"/>
      <c r="P820" s="43"/>
      <c r="Q820" s="43"/>
      <c r="R820" s="43"/>
      <c r="S820" s="43"/>
      <c r="T820" s="43"/>
      <c r="U820" s="43"/>
      <c r="V820" s="43"/>
      <c r="W820" s="43"/>
      <c r="X820" s="43"/>
      <c r="Y820" s="43"/>
      <c r="Z820" s="43"/>
    </row>
    <row r="821">
      <c r="A821" s="67"/>
      <c r="B821" s="67"/>
      <c r="C821" s="68"/>
      <c r="D821" s="70"/>
      <c r="E821" s="68"/>
      <c r="F821" s="20"/>
      <c r="G821" s="43"/>
      <c r="H821" s="43"/>
      <c r="I821" s="43"/>
      <c r="J821" s="63"/>
      <c r="K821" s="43"/>
      <c r="L821" s="43"/>
      <c r="M821" s="43"/>
      <c r="N821" s="43"/>
      <c r="O821" s="43"/>
      <c r="P821" s="43"/>
      <c r="Q821" s="43"/>
      <c r="R821" s="43"/>
      <c r="S821" s="43"/>
      <c r="T821" s="43"/>
      <c r="U821" s="43"/>
      <c r="V821" s="43"/>
      <c r="W821" s="43"/>
      <c r="X821" s="43"/>
      <c r="Y821" s="43"/>
      <c r="Z821" s="43"/>
    </row>
    <row r="822">
      <c r="A822" s="67"/>
      <c r="B822" s="67"/>
      <c r="C822" s="68"/>
      <c r="D822" s="70"/>
      <c r="E822" s="68"/>
      <c r="F822" s="20"/>
      <c r="G822" s="43"/>
      <c r="H822" s="43"/>
      <c r="I822" s="43"/>
      <c r="J822" s="63"/>
      <c r="K822" s="43"/>
      <c r="L822" s="43"/>
      <c r="M822" s="43"/>
      <c r="N822" s="43"/>
      <c r="O822" s="43"/>
      <c r="P822" s="43"/>
      <c r="Q822" s="43"/>
      <c r="R822" s="43"/>
      <c r="S822" s="43"/>
      <c r="T822" s="43"/>
      <c r="U822" s="43"/>
      <c r="V822" s="43"/>
      <c r="W822" s="43"/>
      <c r="X822" s="43"/>
      <c r="Y822" s="43"/>
      <c r="Z822" s="43"/>
    </row>
    <row r="823">
      <c r="A823" s="67"/>
      <c r="B823" s="67"/>
      <c r="C823" s="68"/>
      <c r="D823" s="70"/>
      <c r="E823" s="68"/>
      <c r="F823" s="20"/>
      <c r="G823" s="43"/>
      <c r="H823" s="43"/>
      <c r="I823" s="43"/>
      <c r="J823" s="63"/>
      <c r="K823" s="43"/>
      <c r="L823" s="43"/>
      <c r="M823" s="43"/>
      <c r="N823" s="43"/>
      <c r="O823" s="43"/>
      <c r="P823" s="43"/>
      <c r="Q823" s="43"/>
      <c r="R823" s="43"/>
      <c r="S823" s="43"/>
      <c r="T823" s="43"/>
      <c r="U823" s="43"/>
      <c r="V823" s="43"/>
      <c r="W823" s="43"/>
      <c r="X823" s="43"/>
      <c r="Y823" s="43"/>
      <c r="Z823" s="43"/>
    </row>
    <row r="824">
      <c r="A824" s="67"/>
      <c r="B824" s="67"/>
      <c r="C824" s="68"/>
      <c r="D824" s="70"/>
      <c r="E824" s="68"/>
      <c r="F824" s="20"/>
      <c r="G824" s="43"/>
      <c r="H824" s="43"/>
      <c r="I824" s="43"/>
      <c r="J824" s="63"/>
      <c r="K824" s="43"/>
      <c r="L824" s="43"/>
      <c r="M824" s="43"/>
      <c r="N824" s="43"/>
      <c r="O824" s="43"/>
      <c r="P824" s="43"/>
      <c r="Q824" s="43"/>
      <c r="R824" s="43"/>
      <c r="S824" s="43"/>
      <c r="T824" s="43"/>
      <c r="U824" s="43"/>
      <c r="V824" s="43"/>
      <c r="W824" s="43"/>
      <c r="X824" s="43"/>
      <c r="Y824" s="43"/>
      <c r="Z824" s="43"/>
    </row>
    <row r="825">
      <c r="A825" s="67"/>
      <c r="B825" s="67"/>
      <c r="C825" s="68"/>
      <c r="D825" s="70"/>
      <c r="E825" s="68"/>
      <c r="F825" s="20"/>
      <c r="G825" s="43"/>
      <c r="H825" s="43"/>
      <c r="I825" s="43"/>
      <c r="J825" s="63"/>
      <c r="K825" s="43"/>
      <c r="L825" s="43"/>
      <c r="M825" s="43"/>
      <c r="N825" s="43"/>
      <c r="O825" s="43"/>
      <c r="P825" s="43"/>
      <c r="Q825" s="43"/>
      <c r="R825" s="43"/>
      <c r="S825" s="43"/>
      <c r="T825" s="43"/>
      <c r="U825" s="43"/>
      <c r="V825" s="43"/>
      <c r="W825" s="43"/>
      <c r="X825" s="43"/>
      <c r="Y825" s="43"/>
      <c r="Z825" s="43"/>
    </row>
    <row r="826">
      <c r="A826" s="67"/>
      <c r="B826" s="67"/>
      <c r="C826" s="68"/>
      <c r="D826" s="70"/>
      <c r="E826" s="68"/>
      <c r="F826" s="20"/>
      <c r="G826" s="43"/>
      <c r="H826" s="43"/>
      <c r="I826" s="43"/>
      <c r="J826" s="63"/>
      <c r="K826" s="43"/>
      <c r="L826" s="43"/>
      <c r="M826" s="43"/>
      <c r="N826" s="43"/>
      <c r="O826" s="43"/>
      <c r="P826" s="43"/>
      <c r="Q826" s="43"/>
      <c r="R826" s="43"/>
      <c r="S826" s="43"/>
      <c r="T826" s="43"/>
      <c r="U826" s="43"/>
      <c r="V826" s="43"/>
      <c r="W826" s="43"/>
      <c r="X826" s="43"/>
      <c r="Y826" s="43"/>
      <c r="Z826" s="43"/>
    </row>
    <row r="827">
      <c r="A827" s="67"/>
      <c r="B827" s="67"/>
      <c r="C827" s="68"/>
      <c r="D827" s="70"/>
      <c r="E827" s="68"/>
      <c r="F827" s="20"/>
      <c r="G827" s="43"/>
      <c r="H827" s="43"/>
      <c r="I827" s="43"/>
      <c r="J827" s="63"/>
      <c r="K827" s="43"/>
      <c r="L827" s="43"/>
      <c r="M827" s="43"/>
      <c r="N827" s="43"/>
      <c r="O827" s="43"/>
      <c r="P827" s="43"/>
      <c r="Q827" s="43"/>
      <c r="R827" s="43"/>
      <c r="S827" s="43"/>
      <c r="T827" s="43"/>
      <c r="U827" s="43"/>
      <c r="V827" s="43"/>
      <c r="W827" s="43"/>
      <c r="X827" s="43"/>
      <c r="Y827" s="43"/>
      <c r="Z827" s="43"/>
    </row>
    <row r="828">
      <c r="A828" s="67"/>
      <c r="B828" s="67"/>
      <c r="C828" s="68"/>
      <c r="D828" s="70"/>
      <c r="E828" s="68"/>
      <c r="F828" s="20"/>
      <c r="G828" s="43"/>
      <c r="H828" s="43"/>
      <c r="I828" s="43"/>
      <c r="J828" s="63"/>
      <c r="K828" s="43"/>
      <c r="L828" s="43"/>
      <c r="M828" s="43"/>
      <c r="N828" s="43"/>
      <c r="O828" s="43"/>
      <c r="P828" s="43"/>
      <c r="Q828" s="43"/>
      <c r="R828" s="43"/>
      <c r="S828" s="43"/>
      <c r="T828" s="43"/>
      <c r="U828" s="43"/>
      <c r="V828" s="43"/>
      <c r="W828" s="43"/>
      <c r="X828" s="43"/>
      <c r="Y828" s="43"/>
      <c r="Z828" s="43"/>
    </row>
    <row r="829">
      <c r="A829" s="67"/>
      <c r="B829" s="67"/>
      <c r="C829" s="68"/>
      <c r="D829" s="70"/>
      <c r="E829" s="68"/>
      <c r="F829" s="20"/>
      <c r="G829" s="43"/>
      <c r="H829" s="43"/>
      <c r="I829" s="43"/>
      <c r="J829" s="63"/>
      <c r="K829" s="43"/>
      <c r="L829" s="43"/>
      <c r="M829" s="43"/>
      <c r="N829" s="43"/>
      <c r="O829" s="43"/>
      <c r="P829" s="43"/>
      <c r="Q829" s="43"/>
      <c r="R829" s="43"/>
      <c r="S829" s="43"/>
      <c r="T829" s="43"/>
      <c r="U829" s="43"/>
      <c r="V829" s="43"/>
      <c r="W829" s="43"/>
      <c r="X829" s="43"/>
      <c r="Y829" s="43"/>
      <c r="Z829" s="43"/>
    </row>
    <row r="830">
      <c r="A830" s="67"/>
      <c r="B830" s="67"/>
      <c r="C830" s="68"/>
      <c r="D830" s="70"/>
      <c r="E830" s="68"/>
      <c r="F830" s="20"/>
      <c r="G830" s="43"/>
      <c r="H830" s="43"/>
      <c r="I830" s="43"/>
      <c r="J830" s="63"/>
      <c r="K830" s="43"/>
      <c r="L830" s="43"/>
      <c r="M830" s="43"/>
      <c r="N830" s="43"/>
      <c r="O830" s="43"/>
      <c r="P830" s="43"/>
      <c r="Q830" s="43"/>
      <c r="R830" s="43"/>
      <c r="S830" s="43"/>
      <c r="T830" s="43"/>
      <c r="U830" s="43"/>
      <c r="V830" s="43"/>
      <c r="W830" s="43"/>
      <c r="X830" s="43"/>
      <c r="Y830" s="43"/>
      <c r="Z830" s="43"/>
    </row>
    <row r="831">
      <c r="A831" s="67"/>
      <c r="B831" s="67"/>
      <c r="C831" s="68"/>
      <c r="D831" s="70"/>
      <c r="E831" s="68"/>
      <c r="F831" s="20"/>
      <c r="G831" s="43"/>
      <c r="H831" s="43"/>
      <c r="I831" s="43"/>
      <c r="J831" s="63"/>
      <c r="K831" s="43"/>
      <c r="L831" s="43"/>
      <c r="M831" s="43"/>
      <c r="N831" s="43"/>
      <c r="O831" s="43"/>
      <c r="P831" s="43"/>
      <c r="Q831" s="43"/>
      <c r="R831" s="43"/>
      <c r="S831" s="43"/>
      <c r="T831" s="43"/>
      <c r="U831" s="43"/>
      <c r="V831" s="43"/>
      <c r="W831" s="43"/>
      <c r="X831" s="43"/>
      <c r="Y831" s="43"/>
      <c r="Z831" s="43"/>
    </row>
    <row r="832">
      <c r="A832" s="67"/>
      <c r="B832" s="67"/>
      <c r="C832" s="68"/>
      <c r="D832" s="70"/>
      <c r="E832" s="68"/>
      <c r="F832" s="20"/>
      <c r="G832" s="43"/>
      <c r="H832" s="43"/>
      <c r="I832" s="43"/>
      <c r="J832" s="63"/>
      <c r="K832" s="43"/>
      <c r="L832" s="43"/>
      <c r="M832" s="43"/>
      <c r="N832" s="43"/>
      <c r="O832" s="43"/>
      <c r="P832" s="43"/>
      <c r="Q832" s="43"/>
      <c r="R832" s="43"/>
      <c r="S832" s="43"/>
      <c r="T832" s="43"/>
      <c r="U832" s="43"/>
      <c r="V832" s="43"/>
      <c r="W832" s="43"/>
      <c r="X832" s="43"/>
      <c r="Y832" s="43"/>
      <c r="Z832" s="43"/>
    </row>
    <row r="833">
      <c r="A833" s="67"/>
      <c r="B833" s="67"/>
      <c r="C833" s="68"/>
      <c r="D833" s="70"/>
      <c r="E833" s="68"/>
      <c r="F833" s="20"/>
      <c r="G833" s="43"/>
      <c r="H833" s="43"/>
      <c r="I833" s="43"/>
      <c r="J833" s="63"/>
      <c r="K833" s="43"/>
      <c r="L833" s="43"/>
      <c r="M833" s="43"/>
      <c r="N833" s="43"/>
      <c r="O833" s="43"/>
      <c r="P833" s="43"/>
      <c r="Q833" s="43"/>
      <c r="R833" s="43"/>
      <c r="S833" s="43"/>
      <c r="T833" s="43"/>
      <c r="U833" s="43"/>
      <c r="V833" s="43"/>
      <c r="W833" s="43"/>
      <c r="X833" s="43"/>
      <c r="Y833" s="43"/>
      <c r="Z833" s="43"/>
    </row>
    <row r="834">
      <c r="A834" s="67"/>
      <c r="B834" s="67"/>
      <c r="C834" s="68"/>
      <c r="D834" s="70"/>
      <c r="E834" s="68"/>
      <c r="F834" s="20"/>
      <c r="G834" s="43"/>
      <c r="H834" s="43"/>
      <c r="I834" s="43"/>
      <c r="J834" s="63"/>
      <c r="K834" s="43"/>
      <c r="L834" s="43"/>
      <c r="M834" s="43"/>
      <c r="N834" s="43"/>
      <c r="O834" s="43"/>
      <c r="P834" s="43"/>
      <c r="Q834" s="43"/>
      <c r="R834" s="43"/>
      <c r="S834" s="43"/>
      <c r="T834" s="43"/>
      <c r="U834" s="43"/>
      <c r="V834" s="43"/>
      <c r="W834" s="43"/>
      <c r="X834" s="43"/>
      <c r="Y834" s="43"/>
      <c r="Z834" s="43"/>
    </row>
    <row r="835">
      <c r="A835" s="67"/>
      <c r="B835" s="67"/>
      <c r="C835" s="68"/>
      <c r="D835" s="70"/>
      <c r="E835" s="68"/>
      <c r="F835" s="20"/>
      <c r="G835" s="43"/>
      <c r="H835" s="43"/>
      <c r="I835" s="43"/>
      <c r="J835" s="63"/>
      <c r="K835" s="43"/>
      <c r="L835" s="43"/>
      <c r="M835" s="43"/>
      <c r="N835" s="43"/>
      <c r="O835" s="43"/>
      <c r="P835" s="43"/>
      <c r="Q835" s="43"/>
      <c r="R835" s="43"/>
      <c r="S835" s="43"/>
      <c r="T835" s="43"/>
      <c r="U835" s="43"/>
      <c r="V835" s="43"/>
      <c r="W835" s="43"/>
      <c r="X835" s="43"/>
      <c r="Y835" s="43"/>
      <c r="Z835" s="43"/>
    </row>
    <row r="836">
      <c r="A836" s="67"/>
      <c r="B836" s="67"/>
      <c r="C836" s="68"/>
      <c r="D836" s="70"/>
      <c r="E836" s="68"/>
      <c r="F836" s="20"/>
      <c r="G836" s="43"/>
      <c r="H836" s="43"/>
      <c r="I836" s="43"/>
      <c r="J836" s="63"/>
      <c r="K836" s="43"/>
      <c r="L836" s="43"/>
      <c r="M836" s="43"/>
      <c r="N836" s="43"/>
      <c r="O836" s="43"/>
      <c r="P836" s="43"/>
      <c r="Q836" s="43"/>
      <c r="R836" s="43"/>
      <c r="S836" s="43"/>
      <c r="T836" s="43"/>
      <c r="U836" s="43"/>
      <c r="V836" s="43"/>
      <c r="W836" s="43"/>
      <c r="X836" s="43"/>
      <c r="Y836" s="43"/>
      <c r="Z836" s="43"/>
    </row>
    <row r="837">
      <c r="A837" s="67"/>
      <c r="B837" s="67"/>
      <c r="C837" s="68"/>
      <c r="D837" s="70"/>
      <c r="E837" s="68"/>
      <c r="F837" s="20"/>
      <c r="G837" s="43"/>
      <c r="H837" s="43"/>
      <c r="I837" s="43"/>
      <c r="J837" s="63"/>
      <c r="K837" s="43"/>
      <c r="L837" s="43"/>
      <c r="M837" s="43"/>
      <c r="N837" s="43"/>
      <c r="O837" s="43"/>
      <c r="P837" s="43"/>
      <c r="Q837" s="43"/>
      <c r="R837" s="43"/>
      <c r="S837" s="43"/>
      <c r="T837" s="43"/>
      <c r="U837" s="43"/>
      <c r="V837" s="43"/>
      <c r="W837" s="43"/>
      <c r="X837" s="43"/>
      <c r="Y837" s="43"/>
      <c r="Z837" s="43"/>
    </row>
    <row r="838">
      <c r="A838" s="67"/>
      <c r="B838" s="67"/>
      <c r="C838" s="68"/>
      <c r="D838" s="70"/>
      <c r="E838" s="68"/>
      <c r="F838" s="20"/>
      <c r="G838" s="43"/>
      <c r="H838" s="43"/>
      <c r="I838" s="43"/>
      <c r="J838" s="63"/>
      <c r="K838" s="43"/>
      <c r="L838" s="43"/>
      <c r="M838" s="43"/>
      <c r="N838" s="43"/>
      <c r="O838" s="43"/>
      <c r="P838" s="43"/>
      <c r="Q838" s="43"/>
      <c r="R838" s="43"/>
      <c r="S838" s="43"/>
      <c r="T838" s="43"/>
      <c r="U838" s="43"/>
      <c r="V838" s="43"/>
      <c r="W838" s="43"/>
      <c r="X838" s="43"/>
      <c r="Y838" s="43"/>
      <c r="Z838" s="43"/>
    </row>
    <row r="839">
      <c r="A839" s="67"/>
      <c r="B839" s="67"/>
      <c r="C839" s="68"/>
      <c r="D839" s="70"/>
      <c r="E839" s="68"/>
      <c r="F839" s="20"/>
      <c r="G839" s="43"/>
      <c r="H839" s="43"/>
      <c r="I839" s="43"/>
      <c r="J839" s="63"/>
      <c r="K839" s="43"/>
      <c r="L839" s="43"/>
      <c r="M839" s="43"/>
      <c r="N839" s="43"/>
      <c r="O839" s="43"/>
      <c r="P839" s="43"/>
      <c r="Q839" s="43"/>
      <c r="R839" s="43"/>
      <c r="S839" s="43"/>
      <c r="T839" s="43"/>
      <c r="U839" s="43"/>
      <c r="V839" s="43"/>
      <c r="W839" s="43"/>
      <c r="X839" s="43"/>
      <c r="Y839" s="43"/>
      <c r="Z839" s="43"/>
    </row>
    <row r="840">
      <c r="A840" s="67"/>
      <c r="B840" s="67"/>
      <c r="C840" s="68"/>
      <c r="D840" s="70"/>
      <c r="E840" s="68"/>
      <c r="F840" s="20"/>
      <c r="G840" s="43"/>
      <c r="H840" s="43"/>
      <c r="I840" s="43"/>
      <c r="J840" s="63"/>
      <c r="K840" s="43"/>
      <c r="L840" s="43"/>
      <c r="M840" s="43"/>
      <c r="N840" s="43"/>
      <c r="O840" s="43"/>
      <c r="P840" s="43"/>
      <c r="Q840" s="43"/>
      <c r="R840" s="43"/>
      <c r="S840" s="43"/>
      <c r="T840" s="43"/>
      <c r="U840" s="43"/>
      <c r="V840" s="43"/>
      <c r="W840" s="43"/>
      <c r="X840" s="43"/>
      <c r="Y840" s="43"/>
      <c r="Z840" s="43"/>
    </row>
    <row r="841">
      <c r="A841" s="67"/>
      <c r="B841" s="67"/>
      <c r="C841" s="68"/>
      <c r="D841" s="70"/>
      <c r="E841" s="68"/>
      <c r="F841" s="20"/>
      <c r="G841" s="43"/>
      <c r="H841" s="43"/>
      <c r="I841" s="43"/>
      <c r="J841" s="63"/>
      <c r="K841" s="43"/>
      <c r="L841" s="43"/>
      <c r="M841" s="43"/>
      <c r="N841" s="43"/>
      <c r="O841" s="43"/>
      <c r="P841" s="43"/>
      <c r="Q841" s="43"/>
      <c r="R841" s="43"/>
      <c r="S841" s="43"/>
      <c r="T841" s="43"/>
      <c r="U841" s="43"/>
      <c r="V841" s="43"/>
      <c r="W841" s="43"/>
      <c r="X841" s="43"/>
      <c r="Y841" s="43"/>
      <c r="Z841" s="43"/>
    </row>
    <row r="842">
      <c r="A842" s="67"/>
      <c r="B842" s="67"/>
      <c r="C842" s="68"/>
      <c r="D842" s="70"/>
      <c r="E842" s="68"/>
      <c r="F842" s="20"/>
      <c r="G842" s="43"/>
      <c r="H842" s="43"/>
      <c r="I842" s="43"/>
      <c r="J842" s="63"/>
      <c r="K842" s="43"/>
      <c r="L842" s="43"/>
      <c r="M842" s="43"/>
      <c r="N842" s="43"/>
      <c r="O842" s="43"/>
      <c r="P842" s="43"/>
      <c r="Q842" s="43"/>
      <c r="R842" s="43"/>
      <c r="S842" s="43"/>
      <c r="T842" s="43"/>
      <c r="U842" s="43"/>
      <c r="V842" s="43"/>
      <c r="W842" s="43"/>
      <c r="X842" s="43"/>
      <c r="Y842" s="43"/>
      <c r="Z842" s="43"/>
    </row>
    <row r="843">
      <c r="A843" s="67"/>
      <c r="B843" s="67"/>
      <c r="C843" s="68"/>
      <c r="D843" s="70"/>
      <c r="E843" s="68"/>
      <c r="F843" s="20"/>
      <c r="G843" s="43"/>
      <c r="H843" s="43"/>
      <c r="I843" s="43"/>
      <c r="J843" s="63"/>
      <c r="K843" s="43"/>
      <c r="L843" s="43"/>
      <c r="M843" s="43"/>
      <c r="N843" s="43"/>
      <c r="O843" s="43"/>
      <c r="P843" s="43"/>
      <c r="Q843" s="43"/>
      <c r="R843" s="43"/>
      <c r="S843" s="43"/>
      <c r="T843" s="43"/>
      <c r="U843" s="43"/>
      <c r="V843" s="43"/>
      <c r="W843" s="43"/>
      <c r="X843" s="43"/>
      <c r="Y843" s="43"/>
      <c r="Z843" s="43"/>
    </row>
    <row r="844">
      <c r="A844" s="67"/>
      <c r="B844" s="67"/>
      <c r="C844" s="68"/>
      <c r="D844" s="70"/>
      <c r="E844" s="68"/>
      <c r="F844" s="20"/>
      <c r="G844" s="43"/>
      <c r="H844" s="43"/>
      <c r="I844" s="43"/>
      <c r="J844" s="63"/>
      <c r="K844" s="43"/>
      <c r="L844" s="43"/>
      <c r="M844" s="43"/>
      <c r="N844" s="43"/>
      <c r="O844" s="43"/>
      <c r="P844" s="43"/>
      <c r="Q844" s="43"/>
      <c r="R844" s="43"/>
      <c r="S844" s="43"/>
      <c r="T844" s="43"/>
      <c r="U844" s="43"/>
      <c r="V844" s="43"/>
      <c r="W844" s="43"/>
      <c r="X844" s="43"/>
      <c r="Y844" s="43"/>
      <c r="Z844" s="43"/>
    </row>
    <row r="845">
      <c r="A845" s="67"/>
      <c r="B845" s="67"/>
      <c r="C845" s="68"/>
      <c r="D845" s="70"/>
      <c r="E845" s="68"/>
      <c r="F845" s="20"/>
      <c r="G845" s="43"/>
      <c r="H845" s="43"/>
      <c r="I845" s="43"/>
      <c r="J845" s="63"/>
      <c r="K845" s="43"/>
      <c r="L845" s="43"/>
      <c r="M845" s="43"/>
      <c r="N845" s="43"/>
      <c r="O845" s="43"/>
      <c r="P845" s="43"/>
      <c r="Q845" s="43"/>
      <c r="R845" s="43"/>
      <c r="S845" s="43"/>
      <c r="T845" s="43"/>
      <c r="U845" s="43"/>
      <c r="V845" s="43"/>
      <c r="W845" s="43"/>
      <c r="X845" s="43"/>
      <c r="Y845" s="43"/>
      <c r="Z845" s="43"/>
    </row>
    <row r="846">
      <c r="A846" s="67"/>
      <c r="B846" s="67"/>
      <c r="C846" s="68"/>
      <c r="D846" s="70"/>
      <c r="E846" s="68"/>
      <c r="F846" s="20"/>
      <c r="G846" s="43"/>
      <c r="H846" s="43"/>
      <c r="I846" s="43"/>
      <c r="J846" s="63"/>
      <c r="K846" s="43"/>
      <c r="L846" s="43"/>
      <c r="M846" s="43"/>
      <c r="N846" s="43"/>
      <c r="O846" s="43"/>
      <c r="P846" s="43"/>
      <c r="Q846" s="43"/>
      <c r="R846" s="43"/>
      <c r="S846" s="43"/>
      <c r="T846" s="43"/>
      <c r="U846" s="43"/>
      <c r="V846" s="43"/>
      <c r="W846" s="43"/>
      <c r="X846" s="43"/>
      <c r="Y846" s="43"/>
      <c r="Z846" s="43"/>
    </row>
    <row r="847">
      <c r="A847" s="67"/>
      <c r="B847" s="67"/>
      <c r="C847" s="68"/>
      <c r="D847" s="70"/>
      <c r="E847" s="68"/>
      <c r="F847" s="20"/>
      <c r="G847" s="43"/>
      <c r="H847" s="43"/>
      <c r="I847" s="43"/>
      <c r="J847" s="63"/>
      <c r="K847" s="43"/>
      <c r="L847" s="43"/>
      <c r="M847" s="43"/>
      <c r="N847" s="43"/>
      <c r="O847" s="43"/>
      <c r="P847" s="43"/>
      <c r="Q847" s="43"/>
      <c r="R847" s="43"/>
      <c r="S847" s="43"/>
      <c r="T847" s="43"/>
      <c r="U847" s="43"/>
      <c r="V847" s="43"/>
      <c r="W847" s="43"/>
      <c r="X847" s="43"/>
      <c r="Y847" s="43"/>
      <c r="Z847" s="43"/>
    </row>
    <row r="848">
      <c r="A848" s="67"/>
      <c r="B848" s="67"/>
      <c r="C848" s="68"/>
      <c r="D848" s="70"/>
      <c r="E848" s="68"/>
      <c r="F848" s="20"/>
      <c r="G848" s="43"/>
      <c r="H848" s="43"/>
      <c r="I848" s="43"/>
      <c r="J848" s="63"/>
      <c r="K848" s="43"/>
      <c r="L848" s="43"/>
      <c r="M848" s="43"/>
      <c r="N848" s="43"/>
      <c r="O848" s="43"/>
      <c r="P848" s="43"/>
      <c r="Q848" s="43"/>
      <c r="R848" s="43"/>
      <c r="S848" s="43"/>
      <c r="T848" s="43"/>
      <c r="U848" s="43"/>
      <c r="V848" s="43"/>
      <c r="W848" s="43"/>
      <c r="X848" s="43"/>
      <c r="Y848" s="43"/>
      <c r="Z848" s="43"/>
    </row>
    <row r="849">
      <c r="A849" s="67"/>
      <c r="B849" s="67"/>
      <c r="C849" s="68"/>
      <c r="D849" s="70"/>
      <c r="E849" s="68"/>
      <c r="F849" s="20"/>
      <c r="G849" s="43"/>
      <c r="H849" s="43"/>
      <c r="I849" s="43"/>
      <c r="J849" s="63"/>
      <c r="K849" s="43"/>
      <c r="L849" s="43"/>
      <c r="M849" s="43"/>
      <c r="N849" s="43"/>
      <c r="O849" s="43"/>
      <c r="P849" s="43"/>
      <c r="Q849" s="43"/>
      <c r="R849" s="43"/>
      <c r="S849" s="43"/>
      <c r="T849" s="43"/>
      <c r="U849" s="43"/>
      <c r="V849" s="43"/>
      <c r="W849" s="43"/>
      <c r="X849" s="43"/>
      <c r="Y849" s="43"/>
      <c r="Z849" s="43"/>
    </row>
    <row r="850">
      <c r="A850" s="67"/>
      <c r="B850" s="67"/>
      <c r="C850" s="68"/>
      <c r="D850" s="70"/>
      <c r="E850" s="68"/>
      <c r="F850" s="20"/>
      <c r="G850" s="43"/>
      <c r="H850" s="43"/>
      <c r="I850" s="43"/>
      <c r="J850" s="63"/>
      <c r="K850" s="43"/>
      <c r="L850" s="43"/>
      <c r="M850" s="43"/>
      <c r="N850" s="43"/>
      <c r="O850" s="43"/>
      <c r="P850" s="43"/>
      <c r="Q850" s="43"/>
      <c r="R850" s="43"/>
      <c r="S850" s="43"/>
      <c r="T850" s="43"/>
      <c r="U850" s="43"/>
      <c r="V850" s="43"/>
      <c r="W850" s="43"/>
      <c r="X850" s="43"/>
      <c r="Y850" s="43"/>
      <c r="Z850" s="43"/>
    </row>
    <row r="851">
      <c r="A851" s="67"/>
      <c r="B851" s="67"/>
      <c r="C851" s="68"/>
      <c r="D851" s="70"/>
      <c r="E851" s="68"/>
      <c r="F851" s="20"/>
      <c r="G851" s="43"/>
      <c r="H851" s="43"/>
      <c r="I851" s="43"/>
      <c r="J851" s="63"/>
      <c r="K851" s="43"/>
      <c r="L851" s="43"/>
      <c r="M851" s="43"/>
      <c r="N851" s="43"/>
      <c r="O851" s="43"/>
      <c r="P851" s="43"/>
      <c r="Q851" s="43"/>
      <c r="R851" s="43"/>
      <c r="S851" s="43"/>
      <c r="T851" s="43"/>
      <c r="U851" s="43"/>
      <c r="V851" s="43"/>
      <c r="W851" s="43"/>
      <c r="X851" s="43"/>
      <c r="Y851" s="43"/>
      <c r="Z851" s="43"/>
    </row>
    <row r="852">
      <c r="A852" s="67"/>
      <c r="B852" s="67"/>
      <c r="C852" s="68"/>
      <c r="D852" s="70"/>
      <c r="E852" s="68"/>
      <c r="F852" s="20"/>
      <c r="G852" s="43"/>
      <c r="H852" s="43"/>
      <c r="I852" s="43"/>
      <c r="J852" s="63"/>
      <c r="K852" s="43"/>
      <c r="L852" s="43"/>
      <c r="M852" s="43"/>
      <c r="N852" s="43"/>
      <c r="O852" s="43"/>
      <c r="P852" s="43"/>
      <c r="Q852" s="43"/>
      <c r="R852" s="43"/>
      <c r="S852" s="43"/>
      <c r="T852" s="43"/>
      <c r="U852" s="43"/>
      <c r="V852" s="43"/>
      <c r="W852" s="43"/>
      <c r="X852" s="43"/>
      <c r="Y852" s="43"/>
      <c r="Z852" s="43"/>
    </row>
    <row r="853">
      <c r="A853" s="67"/>
      <c r="B853" s="67"/>
      <c r="C853" s="68"/>
      <c r="D853" s="70"/>
      <c r="E853" s="68"/>
      <c r="F853" s="20"/>
      <c r="G853" s="43"/>
      <c r="H853" s="43"/>
      <c r="I853" s="43"/>
      <c r="J853" s="63"/>
      <c r="K853" s="43"/>
      <c r="L853" s="43"/>
      <c r="M853" s="43"/>
      <c r="N853" s="43"/>
      <c r="O853" s="43"/>
      <c r="P853" s="43"/>
      <c r="Q853" s="43"/>
      <c r="R853" s="43"/>
      <c r="S853" s="43"/>
      <c r="T853" s="43"/>
      <c r="U853" s="43"/>
      <c r="V853" s="43"/>
      <c r="W853" s="43"/>
      <c r="X853" s="43"/>
      <c r="Y853" s="43"/>
      <c r="Z853" s="43"/>
    </row>
    <row r="854">
      <c r="A854" s="67"/>
      <c r="B854" s="67"/>
      <c r="C854" s="68"/>
      <c r="D854" s="70"/>
      <c r="E854" s="68"/>
      <c r="F854" s="20"/>
      <c r="G854" s="43"/>
      <c r="H854" s="43"/>
      <c r="I854" s="43"/>
      <c r="J854" s="63"/>
      <c r="K854" s="43"/>
      <c r="L854" s="43"/>
      <c r="M854" s="43"/>
      <c r="N854" s="43"/>
      <c r="O854" s="43"/>
      <c r="P854" s="43"/>
      <c r="Q854" s="43"/>
      <c r="R854" s="43"/>
      <c r="S854" s="43"/>
      <c r="T854" s="43"/>
      <c r="U854" s="43"/>
      <c r="V854" s="43"/>
      <c r="W854" s="43"/>
      <c r="X854" s="43"/>
      <c r="Y854" s="43"/>
      <c r="Z854" s="43"/>
    </row>
    <row r="855">
      <c r="A855" s="67"/>
      <c r="B855" s="67"/>
      <c r="C855" s="68"/>
      <c r="D855" s="70"/>
      <c r="E855" s="68"/>
      <c r="F855" s="20"/>
      <c r="G855" s="43"/>
      <c r="H855" s="43"/>
      <c r="I855" s="43"/>
      <c r="J855" s="63"/>
      <c r="K855" s="43"/>
      <c r="L855" s="43"/>
      <c r="M855" s="43"/>
      <c r="N855" s="43"/>
      <c r="O855" s="43"/>
      <c r="P855" s="43"/>
      <c r="Q855" s="43"/>
      <c r="R855" s="43"/>
      <c r="S855" s="43"/>
      <c r="T855" s="43"/>
      <c r="U855" s="43"/>
      <c r="V855" s="43"/>
      <c r="W855" s="43"/>
      <c r="X855" s="43"/>
      <c r="Y855" s="43"/>
      <c r="Z855" s="43"/>
    </row>
    <row r="856">
      <c r="A856" s="67"/>
      <c r="B856" s="67"/>
      <c r="C856" s="68"/>
      <c r="D856" s="70"/>
      <c r="E856" s="68"/>
      <c r="F856" s="20"/>
      <c r="G856" s="43"/>
      <c r="H856" s="43"/>
      <c r="I856" s="43"/>
      <c r="J856" s="63"/>
      <c r="K856" s="43"/>
      <c r="L856" s="43"/>
      <c r="M856" s="43"/>
      <c r="N856" s="43"/>
      <c r="O856" s="43"/>
      <c r="P856" s="43"/>
      <c r="Q856" s="43"/>
      <c r="R856" s="43"/>
      <c r="S856" s="43"/>
      <c r="T856" s="43"/>
      <c r="U856" s="43"/>
      <c r="V856" s="43"/>
      <c r="W856" s="43"/>
      <c r="X856" s="43"/>
      <c r="Y856" s="43"/>
      <c r="Z856" s="43"/>
    </row>
    <row r="857">
      <c r="A857" s="67"/>
      <c r="B857" s="67"/>
      <c r="C857" s="68"/>
      <c r="D857" s="70"/>
      <c r="E857" s="68"/>
      <c r="F857" s="20"/>
      <c r="G857" s="43"/>
      <c r="H857" s="43"/>
      <c r="I857" s="43"/>
      <c r="J857" s="63"/>
      <c r="K857" s="43"/>
      <c r="L857" s="43"/>
      <c r="M857" s="43"/>
      <c r="N857" s="43"/>
      <c r="O857" s="43"/>
      <c r="P857" s="43"/>
      <c r="Q857" s="43"/>
      <c r="R857" s="43"/>
      <c r="S857" s="43"/>
      <c r="T857" s="43"/>
      <c r="U857" s="43"/>
      <c r="V857" s="43"/>
      <c r="W857" s="43"/>
      <c r="X857" s="43"/>
      <c r="Y857" s="43"/>
      <c r="Z857" s="43"/>
    </row>
    <row r="858">
      <c r="A858" s="67"/>
      <c r="B858" s="67"/>
      <c r="C858" s="68"/>
      <c r="D858" s="70"/>
      <c r="E858" s="68"/>
      <c r="F858" s="20"/>
      <c r="G858" s="43"/>
      <c r="H858" s="43"/>
      <c r="I858" s="43"/>
      <c r="J858" s="63"/>
      <c r="K858" s="43"/>
      <c r="L858" s="43"/>
      <c r="M858" s="43"/>
      <c r="N858" s="43"/>
      <c r="O858" s="43"/>
      <c r="P858" s="43"/>
      <c r="Q858" s="43"/>
      <c r="R858" s="43"/>
      <c r="S858" s="43"/>
      <c r="T858" s="43"/>
      <c r="U858" s="43"/>
      <c r="V858" s="43"/>
      <c r="W858" s="43"/>
      <c r="X858" s="43"/>
      <c r="Y858" s="43"/>
      <c r="Z858" s="43"/>
    </row>
    <row r="859">
      <c r="A859" s="67"/>
      <c r="B859" s="67"/>
      <c r="C859" s="68"/>
      <c r="D859" s="70"/>
      <c r="E859" s="68"/>
      <c r="F859" s="20"/>
      <c r="G859" s="43"/>
      <c r="H859" s="43"/>
      <c r="I859" s="43"/>
      <c r="J859" s="63"/>
      <c r="K859" s="43"/>
      <c r="L859" s="43"/>
      <c r="M859" s="43"/>
      <c r="N859" s="43"/>
      <c r="O859" s="43"/>
      <c r="P859" s="43"/>
      <c r="Q859" s="43"/>
      <c r="R859" s="43"/>
      <c r="S859" s="43"/>
      <c r="T859" s="43"/>
      <c r="U859" s="43"/>
      <c r="V859" s="43"/>
      <c r="W859" s="43"/>
      <c r="X859" s="43"/>
      <c r="Y859" s="43"/>
      <c r="Z859" s="43"/>
    </row>
    <row r="860">
      <c r="A860" s="67"/>
      <c r="B860" s="67"/>
      <c r="C860" s="68"/>
      <c r="D860" s="70"/>
      <c r="E860" s="68"/>
      <c r="F860" s="20"/>
      <c r="G860" s="43"/>
      <c r="H860" s="43"/>
      <c r="I860" s="43"/>
      <c r="J860" s="63"/>
      <c r="K860" s="43"/>
      <c r="L860" s="43"/>
      <c r="M860" s="43"/>
      <c r="N860" s="43"/>
      <c r="O860" s="43"/>
      <c r="P860" s="43"/>
      <c r="Q860" s="43"/>
      <c r="R860" s="43"/>
      <c r="S860" s="43"/>
      <c r="T860" s="43"/>
      <c r="U860" s="43"/>
      <c r="V860" s="43"/>
      <c r="W860" s="43"/>
      <c r="X860" s="43"/>
      <c r="Y860" s="43"/>
      <c r="Z860" s="43"/>
    </row>
    <row r="861">
      <c r="A861" s="67"/>
      <c r="B861" s="67"/>
      <c r="C861" s="68"/>
      <c r="D861" s="70"/>
      <c r="E861" s="68"/>
      <c r="F861" s="20"/>
      <c r="G861" s="43"/>
      <c r="H861" s="43"/>
      <c r="I861" s="43"/>
      <c r="J861" s="63"/>
      <c r="K861" s="43"/>
      <c r="L861" s="43"/>
      <c r="M861" s="43"/>
      <c r="N861" s="43"/>
      <c r="O861" s="43"/>
      <c r="P861" s="43"/>
      <c r="Q861" s="43"/>
      <c r="R861" s="43"/>
      <c r="S861" s="43"/>
      <c r="T861" s="43"/>
      <c r="U861" s="43"/>
      <c r="V861" s="43"/>
      <c r="W861" s="43"/>
      <c r="X861" s="43"/>
      <c r="Y861" s="43"/>
      <c r="Z861" s="43"/>
    </row>
    <row r="862">
      <c r="A862" s="67"/>
      <c r="B862" s="67"/>
      <c r="C862" s="68"/>
      <c r="D862" s="70"/>
      <c r="E862" s="68"/>
      <c r="F862" s="20"/>
      <c r="G862" s="43"/>
      <c r="H862" s="43"/>
      <c r="I862" s="43"/>
      <c r="J862" s="63"/>
      <c r="K862" s="43"/>
      <c r="L862" s="43"/>
      <c r="M862" s="43"/>
      <c r="N862" s="43"/>
      <c r="O862" s="43"/>
      <c r="P862" s="43"/>
      <c r="Q862" s="43"/>
      <c r="R862" s="43"/>
      <c r="S862" s="43"/>
      <c r="T862" s="43"/>
      <c r="U862" s="43"/>
      <c r="V862" s="43"/>
      <c r="W862" s="43"/>
      <c r="X862" s="43"/>
      <c r="Y862" s="43"/>
      <c r="Z862" s="43"/>
    </row>
    <row r="863">
      <c r="A863" s="67"/>
      <c r="B863" s="67"/>
      <c r="C863" s="68"/>
      <c r="D863" s="70"/>
      <c r="E863" s="68"/>
      <c r="F863" s="20"/>
      <c r="G863" s="43"/>
      <c r="H863" s="43"/>
      <c r="I863" s="43"/>
      <c r="J863" s="63"/>
      <c r="K863" s="43"/>
      <c r="L863" s="43"/>
      <c r="M863" s="43"/>
      <c r="N863" s="43"/>
      <c r="O863" s="43"/>
      <c r="P863" s="43"/>
      <c r="Q863" s="43"/>
      <c r="R863" s="43"/>
      <c r="S863" s="43"/>
      <c r="T863" s="43"/>
      <c r="U863" s="43"/>
      <c r="V863" s="43"/>
      <c r="W863" s="43"/>
      <c r="X863" s="43"/>
      <c r="Y863" s="43"/>
      <c r="Z863" s="43"/>
    </row>
    <row r="864">
      <c r="A864" s="67"/>
      <c r="B864" s="67"/>
      <c r="C864" s="68"/>
      <c r="D864" s="70"/>
      <c r="E864" s="68"/>
      <c r="F864" s="20"/>
      <c r="G864" s="43"/>
      <c r="H864" s="43"/>
      <c r="I864" s="43"/>
      <c r="J864" s="63"/>
      <c r="K864" s="43"/>
      <c r="L864" s="43"/>
      <c r="M864" s="43"/>
      <c r="N864" s="43"/>
      <c r="O864" s="43"/>
      <c r="P864" s="43"/>
      <c r="Q864" s="43"/>
      <c r="R864" s="43"/>
      <c r="S864" s="43"/>
      <c r="T864" s="43"/>
      <c r="U864" s="43"/>
      <c r="V864" s="43"/>
      <c r="W864" s="43"/>
      <c r="X864" s="43"/>
      <c r="Y864" s="43"/>
      <c r="Z864" s="43"/>
    </row>
    <row r="865">
      <c r="A865" s="67"/>
      <c r="B865" s="67"/>
      <c r="C865" s="68"/>
      <c r="D865" s="70"/>
      <c r="E865" s="68"/>
      <c r="F865" s="20"/>
      <c r="G865" s="43"/>
      <c r="H865" s="43"/>
      <c r="I865" s="43"/>
      <c r="J865" s="63"/>
      <c r="K865" s="43"/>
      <c r="L865" s="43"/>
      <c r="M865" s="43"/>
      <c r="N865" s="43"/>
      <c r="O865" s="43"/>
      <c r="P865" s="43"/>
      <c r="Q865" s="43"/>
      <c r="R865" s="43"/>
      <c r="S865" s="43"/>
      <c r="T865" s="43"/>
      <c r="U865" s="43"/>
      <c r="V865" s="43"/>
      <c r="W865" s="43"/>
      <c r="X865" s="43"/>
      <c r="Y865" s="43"/>
      <c r="Z865" s="43"/>
    </row>
    <row r="866">
      <c r="A866" s="67"/>
      <c r="B866" s="67"/>
      <c r="C866" s="68"/>
      <c r="D866" s="70"/>
      <c r="E866" s="68"/>
      <c r="F866" s="20"/>
      <c r="G866" s="43"/>
      <c r="H866" s="43"/>
      <c r="I866" s="43"/>
      <c r="J866" s="63"/>
      <c r="K866" s="43"/>
      <c r="L866" s="43"/>
      <c r="M866" s="43"/>
      <c r="N866" s="43"/>
      <c r="O866" s="43"/>
      <c r="P866" s="43"/>
      <c r="Q866" s="43"/>
      <c r="R866" s="43"/>
      <c r="S866" s="43"/>
      <c r="T866" s="43"/>
      <c r="U866" s="43"/>
      <c r="V866" s="43"/>
      <c r="W866" s="43"/>
      <c r="X866" s="43"/>
      <c r="Y866" s="43"/>
      <c r="Z866" s="43"/>
    </row>
    <row r="867">
      <c r="A867" s="67"/>
      <c r="B867" s="67"/>
      <c r="C867" s="68"/>
      <c r="D867" s="70"/>
      <c r="E867" s="68"/>
      <c r="F867" s="20"/>
      <c r="G867" s="43"/>
      <c r="H867" s="43"/>
      <c r="I867" s="43"/>
      <c r="J867" s="63"/>
      <c r="K867" s="43"/>
      <c r="L867" s="43"/>
      <c r="M867" s="43"/>
      <c r="N867" s="43"/>
      <c r="O867" s="43"/>
      <c r="P867" s="43"/>
      <c r="Q867" s="43"/>
      <c r="R867" s="43"/>
      <c r="S867" s="43"/>
      <c r="T867" s="43"/>
      <c r="U867" s="43"/>
      <c r="V867" s="43"/>
      <c r="W867" s="43"/>
      <c r="X867" s="43"/>
      <c r="Y867" s="43"/>
      <c r="Z867" s="43"/>
    </row>
    <row r="868">
      <c r="A868" s="67"/>
      <c r="B868" s="67"/>
      <c r="C868" s="68"/>
      <c r="D868" s="70"/>
      <c r="E868" s="68"/>
      <c r="F868" s="20"/>
      <c r="G868" s="43"/>
      <c r="H868" s="43"/>
      <c r="I868" s="43"/>
      <c r="J868" s="63"/>
      <c r="K868" s="43"/>
      <c r="L868" s="43"/>
      <c r="M868" s="43"/>
      <c r="N868" s="43"/>
      <c r="O868" s="43"/>
      <c r="P868" s="43"/>
      <c r="Q868" s="43"/>
      <c r="R868" s="43"/>
      <c r="S868" s="43"/>
      <c r="T868" s="43"/>
      <c r="U868" s="43"/>
      <c r="V868" s="43"/>
      <c r="W868" s="43"/>
      <c r="X868" s="43"/>
      <c r="Y868" s="43"/>
      <c r="Z868" s="43"/>
    </row>
    <row r="869">
      <c r="A869" s="67"/>
      <c r="B869" s="67"/>
      <c r="C869" s="68"/>
      <c r="D869" s="70"/>
      <c r="E869" s="68"/>
      <c r="F869" s="20"/>
      <c r="G869" s="43"/>
      <c r="H869" s="43"/>
      <c r="I869" s="43"/>
      <c r="J869" s="63"/>
      <c r="K869" s="43"/>
      <c r="L869" s="43"/>
      <c r="M869" s="43"/>
      <c r="N869" s="43"/>
      <c r="O869" s="43"/>
      <c r="P869" s="43"/>
      <c r="Q869" s="43"/>
      <c r="R869" s="43"/>
      <c r="S869" s="43"/>
      <c r="T869" s="43"/>
      <c r="U869" s="43"/>
      <c r="V869" s="43"/>
      <c r="W869" s="43"/>
      <c r="X869" s="43"/>
      <c r="Y869" s="43"/>
      <c r="Z869" s="43"/>
    </row>
    <row r="870">
      <c r="A870" s="67"/>
      <c r="B870" s="67"/>
      <c r="C870" s="68"/>
      <c r="D870" s="70"/>
      <c r="E870" s="68"/>
      <c r="F870" s="20"/>
      <c r="G870" s="43"/>
      <c r="H870" s="43"/>
      <c r="I870" s="43"/>
      <c r="J870" s="63"/>
      <c r="K870" s="43"/>
      <c r="L870" s="43"/>
      <c r="M870" s="43"/>
      <c r="N870" s="43"/>
      <c r="O870" s="43"/>
      <c r="P870" s="43"/>
      <c r="Q870" s="43"/>
      <c r="R870" s="43"/>
      <c r="S870" s="43"/>
      <c r="T870" s="43"/>
      <c r="U870" s="43"/>
      <c r="V870" s="43"/>
      <c r="W870" s="43"/>
      <c r="X870" s="43"/>
      <c r="Y870" s="43"/>
      <c r="Z870" s="43"/>
    </row>
    <row r="871">
      <c r="A871" s="67"/>
      <c r="B871" s="67"/>
      <c r="C871" s="68"/>
      <c r="D871" s="70"/>
      <c r="E871" s="68"/>
      <c r="F871" s="20"/>
      <c r="G871" s="43"/>
      <c r="H871" s="43"/>
      <c r="I871" s="43"/>
      <c r="J871" s="63"/>
      <c r="K871" s="43"/>
      <c r="L871" s="43"/>
      <c r="M871" s="43"/>
      <c r="N871" s="43"/>
      <c r="O871" s="43"/>
      <c r="P871" s="43"/>
      <c r="Q871" s="43"/>
      <c r="R871" s="43"/>
      <c r="S871" s="43"/>
      <c r="T871" s="43"/>
      <c r="U871" s="43"/>
      <c r="V871" s="43"/>
      <c r="W871" s="43"/>
      <c r="X871" s="43"/>
      <c r="Y871" s="43"/>
      <c r="Z871" s="43"/>
    </row>
    <row r="872">
      <c r="A872" s="67"/>
      <c r="B872" s="67"/>
      <c r="C872" s="68"/>
      <c r="D872" s="70"/>
      <c r="E872" s="68"/>
      <c r="F872" s="20"/>
      <c r="G872" s="43"/>
      <c r="H872" s="43"/>
      <c r="I872" s="43"/>
      <c r="J872" s="63"/>
      <c r="K872" s="43"/>
      <c r="L872" s="43"/>
      <c r="M872" s="43"/>
      <c r="N872" s="43"/>
      <c r="O872" s="43"/>
      <c r="P872" s="43"/>
      <c r="Q872" s="43"/>
      <c r="R872" s="43"/>
      <c r="S872" s="43"/>
      <c r="T872" s="43"/>
      <c r="U872" s="43"/>
      <c r="V872" s="43"/>
      <c r="W872" s="43"/>
      <c r="X872" s="43"/>
      <c r="Y872" s="43"/>
      <c r="Z872" s="43"/>
    </row>
    <row r="873">
      <c r="A873" s="67"/>
      <c r="B873" s="67"/>
      <c r="C873" s="68"/>
      <c r="D873" s="70"/>
      <c r="E873" s="68"/>
      <c r="F873" s="20"/>
      <c r="G873" s="43"/>
      <c r="H873" s="43"/>
      <c r="I873" s="43"/>
      <c r="J873" s="63"/>
      <c r="K873" s="43"/>
      <c r="L873" s="43"/>
      <c r="M873" s="43"/>
      <c r="N873" s="43"/>
      <c r="O873" s="43"/>
      <c r="P873" s="43"/>
      <c r="Q873" s="43"/>
      <c r="R873" s="43"/>
      <c r="S873" s="43"/>
      <c r="T873" s="43"/>
      <c r="U873" s="43"/>
      <c r="V873" s="43"/>
      <c r="W873" s="43"/>
      <c r="X873" s="43"/>
      <c r="Y873" s="43"/>
      <c r="Z873" s="43"/>
    </row>
    <row r="874">
      <c r="A874" s="67"/>
      <c r="B874" s="67"/>
      <c r="C874" s="68"/>
      <c r="D874" s="70"/>
      <c r="E874" s="68"/>
      <c r="F874" s="20"/>
      <c r="G874" s="43"/>
      <c r="H874" s="43"/>
      <c r="I874" s="43"/>
      <c r="J874" s="63"/>
      <c r="K874" s="43"/>
      <c r="L874" s="43"/>
      <c r="M874" s="43"/>
      <c r="N874" s="43"/>
      <c r="O874" s="43"/>
      <c r="P874" s="43"/>
      <c r="Q874" s="43"/>
      <c r="R874" s="43"/>
      <c r="S874" s="43"/>
      <c r="T874" s="43"/>
      <c r="U874" s="43"/>
      <c r="V874" s="43"/>
      <c r="W874" s="43"/>
      <c r="X874" s="43"/>
      <c r="Y874" s="43"/>
      <c r="Z874" s="43"/>
    </row>
    <row r="875">
      <c r="A875" s="67"/>
      <c r="B875" s="67"/>
      <c r="C875" s="68"/>
      <c r="D875" s="70"/>
      <c r="E875" s="68"/>
      <c r="F875" s="20"/>
      <c r="G875" s="43"/>
      <c r="H875" s="43"/>
      <c r="I875" s="43"/>
      <c r="J875" s="63"/>
      <c r="K875" s="43"/>
      <c r="L875" s="43"/>
      <c r="M875" s="43"/>
      <c r="N875" s="43"/>
      <c r="O875" s="43"/>
      <c r="P875" s="43"/>
      <c r="Q875" s="43"/>
      <c r="R875" s="43"/>
      <c r="S875" s="43"/>
      <c r="T875" s="43"/>
      <c r="U875" s="43"/>
      <c r="V875" s="43"/>
      <c r="W875" s="43"/>
      <c r="X875" s="43"/>
      <c r="Y875" s="43"/>
      <c r="Z875" s="43"/>
    </row>
    <row r="876">
      <c r="A876" s="67"/>
      <c r="B876" s="67"/>
      <c r="C876" s="68"/>
      <c r="D876" s="70"/>
      <c r="E876" s="68"/>
      <c r="F876" s="20"/>
      <c r="G876" s="43"/>
      <c r="H876" s="43"/>
      <c r="I876" s="43"/>
      <c r="J876" s="63"/>
      <c r="K876" s="43"/>
      <c r="L876" s="43"/>
      <c r="M876" s="43"/>
      <c r="N876" s="43"/>
      <c r="O876" s="43"/>
      <c r="P876" s="43"/>
      <c r="Q876" s="43"/>
      <c r="R876" s="43"/>
      <c r="S876" s="43"/>
      <c r="T876" s="43"/>
      <c r="U876" s="43"/>
      <c r="V876" s="43"/>
      <c r="W876" s="43"/>
      <c r="X876" s="43"/>
      <c r="Y876" s="43"/>
      <c r="Z876" s="43"/>
    </row>
    <row r="877">
      <c r="A877" s="67"/>
      <c r="B877" s="67"/>
      <c r="C877" s="68"/>
      <c r="D877" s="70"/>
      <c r="E877" s="68"/>
      <c r="F877" s="20"/>
      <c r="G877" s="43"/>
      <c r="H877" s="43"/>
      <c r="I877" s="43"/>
      <c r="J877" s="63"/>
      <c r="K877" s="43"/>
      <c r="L877" s="43"/>
      <c r="M877" s="43"/>
      <c r="N877" s="43"/>
      <c r="O877" s="43"/>
      <c r="P877" s="43"/>
      <c r="Q877" s="43"/>
      <c r="R877" s="43"/>
      <c r="S877" s="43"/>
      <c r="T877" s="43"/>
      <c r="U877" s="43"/>
      <c r="V877" s="43"/>
      <c r="W877" s="43"/>
      <c r="X877" s="43"/>
      <c r="Y877" s="43"/>
      <c r="Z877" s="43"/>
    </row>
    <row r="878">
      <c r="A878" s="67"/>
      <c r="B878" s="67"/>
      <c r="C878" s="68"/>
      <c r="D878" s="70"/>
      <c r="E878" s="68"/>
      <c r="F878" s="20"/>
      <c r="G878" s="43"/>
      <c r="H878" s="43"/>
      <c r="I878" s="43"/>
      <c r="J878" s="63"/>
      <c r="K878" s="43"/>
      <c r="L878" s="43"/>
      <c r="M878" s="43"/>
      <c r="N878" s="43"/>
      <c r="O878" s="43"/>
      <c r="P878" s="43"/>
      <c r="Q878" s="43"/>
      <c r="R878" s="43"/>
      <c r="S878" s="43"/>
      <c r="T878" s="43"/>
      <c r="U878" s="43"/>
      <c r="V878" s="43"/>
      <c r="W878" s="43"/>
      <c r="X878" s="43"/>
      <c r="Y878" s="43"/>
      <c r="Z878" s="43"/>
    </row>
    <row r="879">
      <c r="A879" s="67"/>
      <c r="B879" s="67"/>
      <c r="C879" s="68"/>
      <c r="D879" s="70"/>
      <c r="E879" s="68"/>
      <c r="F879" s="20"/>
      <c r="G879" s="43"/>
      <c r="H879" s="43"/>
      <c r="I879" s="43"/>
      <c r="J879" s="63"/>
      <c r="K879" s="43"/>
      <c r="L879" s="43"/>
      <c r="M879" s="43"/>
      <c r="N879" s="43"/>
      <c r="O879" s="43"/>
      <c r="P879" s="43"/>
      <c r="Q879" s="43"/>
      <c r="R879" s="43"/>
      <c r="S879" s="43"/>
      <c r="T879" s="43"/>
      <c r="U879" s="43"/>
      <c r="V879" s="43"/>
      <c r="W879" s="43"/>
      <c r="X879" s="43"/>
      <c r="Y879" s="43"/>
      <c r="Z879" s="43"/>
    </row>
    <row r="880">
      <c r="A880" s="67"/>
      <c r="B880" s="67"/>
      <c r="C880" s="68"/>
      <c r="D880" s="70"/>
      <c r="E880" s="68"/>
      <c r="F880" s="20"/>
      <c r="G880" s="43"/>
      <c r="H880" s="43"/>
      <c r="I880" s="43"/>
      <c r="J880" s="63"/>
      <c r="K880" s="43"/>
      <c r="L880" s="43"/>
      <c r="M880" s="43"/>
      <c r="N880" s="43"/>
      <c r="O880" s="43"/>
      <c r="P880" s="43"/>
      <c r="Q880" s="43"/>
      <c r="R880" s="43"/>
      <c r="S880" s="43"/>
      <c r="T880" s="43"/>
      <c r="U880" s="43"/>
      <c r="V880" s="43"/>
      <c r="W880" s="43"/>
      <c r="X880" s="43"/>
      <c r="Y880" s="43"/>
      <c r="Z880" s="43"/>
    </row>
    <row r="881">
      <c r="A881" s="67"/>
      <c r="B881" s="67"/>
      <c r="C881" s="68"/>
      <c r="D881" s="70"/>
      <c r="E881" s="68"/>
      <c r="F881" s="20"/>
      <c r="G881" s="43"/>
      <c r="H881" s="43"/>
      <c r="I881" s="43"/>
      <c r="J881" s="63"/>
      <c r="K881" s="43"/>
      <c r="L881" s="43"/>
      <c r="M881" s="43"/>
      <c r="N881" s="43"/>
      <c r="O881" s="43"/>
      <c r="P881" s="43"/>
      <c r="Q881" s="43"/>
      <c r="R881" s="43"/>
      <c r="S881" s="43"/>
      <c r="T881" s="43"/>
      <c r="U881" s="43"/>
      <c r="V881" s="43"/>
      <c r="W881" s="43"/>
      <c r="X881" s="43"/>
      <c r="Y881" s="43"/>
      <c r="Z881" s="43"/>
    </row>
    <row r="882">
      <c r="A882" s="67"/>
      <c r="B882" s="67"/>
      <c r="C882" s="68"/>
      <c r="D882" s="70"/>
      <c r="E882" s="68"/>
      <c r="F882" s="20"/>
      <c r="G882" s="43"/>
      <c r="H882" s="43"/>
      <c r="I882" s="43"/>
      <c r="J882" s="63"/>
      <c r="K882" s="43"/>
      <c r="L882" s="43"/>
      <c r="M882" s="43"/>
      <c r="N882" s="43"/>
      <c r="O882" s="43"/>
      <c r="P882" s="43"/>
      <c r="Q882" s="43"/>
      <c r="R882" s="43"/>
      <c r="S882" s="43"/>
      <c r="T882" s="43"/>
      <c r="U882" s="43"/>
      <c r="V882" s="43"/>
      <c r="W882" s="43"/>
      <c r="X882" s="43"/>
      <c r="Y882" s="43"/>
      <c r="Z882" s="43"/>
    </row>
    <row r="883">
      <c r="A883" s="67"/>
      <c r="B883" s="67"/>
      <c r="C883" s="68"/>
      <c r="D883" s="70"/>
      <c r="E883" s="68"/>
      <c r="F883" s="20"/>
      <c r="G883" s="43"/>
      <c r="H883" s="43"/>
      <c r="I883" s="43"/>
      <c r="J883" s="63"/>
      <c r="K883" s="43"/>
      <c r="L883" s="43"/>
      <c r="M883" s="43"/>
      <c r="N883" s="43"/>
      <c r="O883" s="43"/>
      <c r="P883" s="43"/>
      <c r="Q883" s="43"/>
      <c r="R883" s="43"/>
      <c r="S883" s="43"/>
      <c r="T883" s="43"/>
      <c r="U883" s="43"/>
      <c r="V883" s="43"/>
      <c r="W883" s="43"/>
      <c r="X883" s="43"/>
      <c r="Y883" s="43"/>
      <c r="Z883" s="43"/>
    </row>
    <row r="884">
      <c r="A884" s="67"/>
      <c r="B884" s="67"/>
      <c r="C884" s="68"/>
      <c r="D884" s="70"/>
      <c r="E884" s="68"/>
      <c r="F884" s="20"/>
      <c r="G884" s="43"/>
      <c r="H884" s="43"/>
      <c r="I884" s="43"/>
      <c r="J884" s="63"/>
      <c r="K884" s="43"/>
      <c r="L884" s="43"/>
      <c r="M884" s="43"/>
      <c r="N884" s="43"/>
      <c r="O884" s="43"/>
      <c r="P884" s="43"/>
      <c r="Q884" s="43"/>
      <c r="R884" s="43"/>
      <c r="S884" s="43"/>
      <c r="T884" s="43"/>
      <c r="U884" s="43"/>
      <c r="V884" s="43"/>
      <c r="W884" s="43"/>
      <c r="X884" s="43"/>
      <c r="Y884" s="43"/>
      <c r="Z884" s="43"/>
    </row>
    <row r="885">
      <c r="A885" s="67"/>
      <c r="B885" s="67"/>
      <c r="C885" s="68"/>
      <c r="D885" s="70"/>
      <c r="E885" s="68"/>
      <c r="F885" s="20"/>
      <c r="G885" s="43"/>
      <c r="H885" s="43"/>
      <c r="I885" s="43"/>
      <c r="J885" s="63"/>
      <c r="K885" s="43"/>
      <c r="L885" s="43"/>
      <c r="M885" s="43"/>
      <c r="N885" s="43"/>
      <c r="O885" s="43"/>
      <c r="P885" s="43"/>
      <c r="Q885" s="43"/>
      <c r="R885" s="43"/>
      <c r="S885" s="43"/>
      <c r="T885" s="43"/>
      <c r="U885" s="43"/>
      <c r="V885" s="43"/>
      <c r="W885" s="43"/>
      <c r="X885" s="43"/>
      <c r="Y885" s="43"/>
      <c r="Z885" s="43"/>
    </row>
    <row r="886">
      <c r="A886" s="67"/>
      <c r="B886" s="67"/>
      <c r="C886" s="68"/>
      <c r="D886" s="70"/>
      <c r="E886" s="68"/>
      <c r="F886" s="20"/>
      <c r="G886" s="43"/>
      <c r="H886" s="43"/>
      <c r="I886" s="43"/>
      <c r="J886" s="63"/>
      <c r="K886" s="43"/>
      <c r="L886" s="43"/>
      <c r="M886" s="43"/>
      <c r="N886" s="43"/>
      <c r="O886" s="43"/>
      <c r="P886" s="43"/>
      <c r="Q886" s="43"/>
      <c r="R886" s="43"/>
      <c r="S886" s="43"/>
      <c r="T886" s="43"/>
      <c r="U886" s="43"/>
      <c r="V886" s="43"/>
      <c r="W886" s="43"/>
      <c r="X886" s="43"/>
      <c r="Y886" s="43"/>
      <c r="Z886" s="43"/>
    </row>
    <row r="887">
      <c r="A887" s="67"/>
      <c r="B887" s="67"/>
      <c r="C887" s="68"/>
      <c r="D887" s="70"/>
      <c r="E887" s="68"/>
      <c r="F887" s="20"/>
      <c r="G887" s="43"/>
      <c r="H887" s="43"/>
      <c r="I887" s="43"/>
      <c r="J887" s="63"/>
      <c r="K887" s="43"/>
      <c r="L887" s="43"/>
      <c r="M887" s="43"/>
      <c r="N887" s="43"/>
      <c r="O887" s="43"/>
      <c r="P887" s="43"/>
      <c r="Q887" s="43"/>
      <c r="R887" s="43"/>
      <c r="S887" s="43"/>
      <c r="T887" s="43"/>
      <c r="U887" s="43"/>
      <c r="V887" s="43"/>
      <c r="W887" s="43"/>
      <c r="X887" s="43"/>
      <c r="Y887" s="43"/>
      <c r="Z887" s="43"/>
    </row>
    <row r="888">
      <c r="A888" s="67"/>
      <c r="B888" s="67"/>
      <c r="C888" s="68"/>
      <c r="D888" s="70"/>
      <c r="E888" s="68"/>
      <c r="F888" s="20"/>
      <c r="G888" s="43"/>
      <c r="H888" s="43"/>
      <c r="I888" s="43"/>
      <c r="J888" s="63"/>
      <c r="K888" s="43"/>
      <c r="L888" s="43"/>
      <c r="M888" s="43"/>
      <c r="N888" s="43"/>
      <c r="O888" s="43"/>
      <c r="P888" s="43"/>
      <c r="Q888" s="43"/>
      <c r="R888" s="43"/>
      <c r="S888" s="43"/>
      <c r="T888" s="43"/>
      <c r="U888" s="43"/>
      <c r="V888" s="43"/>
      <c r="W888" s="43"/>
      <c r="X888" s="43"/>
      <c r="Y888" s="43"/>
      <c r="Z888" s="43"/>
    </row>
    <row r="889">
      <c r="A889" s="67"/>
      <c r="B889" s="67"/>
      <c r="C889" s="68"/>
      <c r="D889" s="70"/>
      <c r="E889" s="68"/>
      <c r="F889" s="20"/>
      <c r="G889" s="43"/>
      <c r="H889" s="43"/>
      <c r="I889" s="43"/>
      <c r="J889" s="63"/>
      <c r="K889" s="43"/>
      <c r="L889" s="43"/>
      <c r="M889" s="43"/>
      <c r="N889" s="43"/>
      <c r="O889" s="43"/>
      <c r="P889" s="43"/>
      <c r="Q889" s="43"/>
      <c r="R889" s="43"/>
      <c r="S889" s="43"/>
      <c r="T889" s="43"/>
      <c r="U889" s="43"/>
      <c r="V889" s="43"/>
      <c r="W889" s="43"/>
      <c r="X889" s="43"/>
      <c r="Y889" s="43"/>
      <c r="Z889" s="43"/>
    </row>
    <row r="890">
      <c r="A890" s="67"/>
      <c r="B890" s="67"/>
      <c r="C890" s="68"/>
      <c r="D890" s="70"/>
      <c r="E890" s="68"/>
      <c r="F890" s="20"/>
      <c r="G890" s="43"/>
      <c r="H890" s="43"/>
      <c r="I890" s="43"/>
      <c r="J890" s="63"/>
      <c r="K890" s="43"/>
      <c r="L890" s="43"/>
      <c r="M890" s="43"/>
      <c r="N890" s="43"/>
      <c r="O890" s="43"/>
      <c r="P890" s="43"/>
      <c r="Q890" s="43"/>
      <c r="R890" s="43"/>
      <c r="S890" s="43"/>
      <c r="T890" s="43"/>
      <c r="U890" s="43"/>
      <c r="V890" s="43"/>
      <c r="W890" s="43"/>
      <c r="X890" s="43"/>
      <c r="Y890" s="43"/>
      <c r="Z890" s="43"/>
    </row>
    <row r="891">
      <c r="A891" s="67"/>
      <c r="B891" s="67"/>
      <c r="C891" s="68"/>
      <c r="D891" s="70"/>
      <c r="E891" s="68"/>
      <c r="F891" s="20"/>
      <c r="G891" s="43"/>
      <c r="H891" s="43"/>
      <c r="I891" s="43"/>
      <c r="J891" s="63"/>
      <c r="K891" s="43"/>
      <c r="L891" s="43"/>
      <c r="M891" s="43"/>
      <c r="N891" s="43"/>
      <c r="O891" s="43"/>
      <c r="P891" s="43"/>
      <c r="Q891" s="43"/>
      <c r="R891" s="43"/>
      <c r="S891" s="43"/>
      <c r="T891" s="43"/>
      <c r="U891" s="43"/>
      <c r="V891" s="43"/>
      <c r="W891" s="43"/>
      <c r="X891" s="43"/>
      <c r="Y891" s="43"/>
      <c r="Z891" s="43"/>
    </row>
    <row r="892">
      <c r="A892" s="67"/>
      <c r="B892" s="67"/>
      <c r="C892" s="68"/>
      <c r="D892" s="70"/>
      <c r="E892" s="68"/>
      <c r="F892" s="20"/>
      <c r="G892" s="43"/>
      <c r="H892" s="43"/>
      <c r="I892" s="43"/>
      <c r="J892" s="63"/>
      <c r="K892" s="43"/>
      <c r="L892" s="43"/>
      <c r="M892" s="43"/>
      <c r="N892" s="43"/>
      <c r="O892" s="43"/>
      <c r="P892" s="43"/>
      <c r="Q892" s="43"/>
      <c r="R892" s="43"/>
      <c r="S892" s="43"/>
      <c r="T892" s="43"/>
      <c r="U892" s="43"/>
      <c r="V892" s="43"/>
      <c r="W892" s="43"/>
      <c r="X892" s="43"/>
      <c r="Y892" s="43"/>
      <c r="Z892" s="43"/>
    </row>
    <row r="893">
      <c r="A893" s="67"/>
      <c r="B893" s="67"/>
      <c r="C893" s="68"/>
      <c r="D893" s="70"/>
      <c r="E893" s="68"/>
      <c r="F893" s="20"/>
      <c r="G893" s="43"/>
      <c r="H893" s="43"/>
      <c r="I893" s="43"/>
      <c r="J893" s="63"/>
      <c r="K893" s="43"/>
      <c r="L893" s="43"/>
      <c r="M893" s="43"/>
      <c r="N893" s="43"/>
      <c r="O893" s="43"/>
      <c r="P893" s="43"/>
      <c r="Q893" s="43"/>
      <c r="R893" s="43"/>
      <c r="S893" s="43"/>
      <c r="T893" s="43"/>
      <c r="U893" s="43"/>
      <c r="V893" s="43"/>
      <c r="W893" s="43"/>
      <c r="X893" s="43"/>
      <c r="Y893" s="43"/>
      <c r="Z893" s="43"/>
    </row>
    <row r="894">
      <c r="A894" s="67"/>
      <c r="B894" s="67"/>
      <c r="C894" s="68"/>
      <c r="D894" s="70"/>
      <c r="E894" s="68"/>
      <c r="F894" s="20"/>
      <c r="G894" s="43"/>
      <c r="H894" s="43"/>
      <c r="I894" s="43"/>
      <c r="J894" s="63"/>
      <c r="K894" s="43"/>
      <c r="L894" s="43"/>
      <c r="M894" s="43"/>
      <c r="N894" s="43"/>
      <c r="O894" s="43"/>
      <c r="P894" s="43"/>
      <c r="Q894" s="43"/>
      <c r="R894" s="43"/>
      <c r="S894" s="43"/>
      <c r="T894" s="43"/>
      <c r="U894" s="43"/>
      <c r="V894" s="43"/>
      <c r="W894" s="43"/>
      <c r="X894" s="43"/>
      <c r="Y894" s="43"/>
      <c r="Z894" s="43"/>
    </row>
    <row r="895">
      <c r="A895" s="67"/>
      <c r="B895" s="67"/>
      <c r="C895" s="68"/>
      <c r="D895" s="70"/>
      <c r="E895" s="68"/>
      <c r="F895" s="20"/>
      <c r="G895" s="43"/>
      <c r="H895" s="43"/>
      <c r="I895" s="43"/>
      <c r="J895" s="63"/>
      <c r="K895" s="43"/>
      <c r="L895" s="43"/>
      <c r="M895" s="43"/>
      <c r="N895" s="43"/>
      <c r="O895" s="43"/>
      <c r="P895" s="43"/>
      <c r="Q895" s="43"/>
      <c r="R895" s="43"/>
      <c r="S895" s="43"/>
      <c r="T895" s="43"/>
      <c r="U895" s="43"/>
      <c r="V895" s="43"/>
      <c r="W895" s="43"/>
      <c r="X895" s="43"/>
      <c r="Y895" s="43"/>
      <c r="Z895" s="43"/>
    </row>
    <row r="896">
      <c r="A896" s="67"/>
      <c r="B896" s="67"/>
      <c r="C896" s="68"/>
      <c r="D896" s="70"/>
      <c r="E896" s="68"/>
      <c r="F896" s="20"/>
      <c r="G896" s="43"/>
      <c r="H896" s="43"/>
      <c r="I896" s="43"/>
      <c r="J896" s="63"/>
      <c r="K896" s="43"/>
      <c r="L896" s="43"/>
      <c r="M896" s="43"/>
      <c r="N896" s="43"/>
      <c r="O896" s="43"/>
      <c r="P896" s="43"/>
      <c r="Q896" s="43"/>
      <c r="R896" s="43"/>
      <c r="S896" s="43"/>
      <c r="T896" s="43"/>
      <c r="U896" s="43"/>
      <c r="V896" s="43"/>
      <c r="W896" s="43"/>
      <c r="X896" s="43"/>
      <c r="Y896" s="43"/>
      <c r="Z896" s="43"/>
    </row>
    <row r="897">
      <c r="A897" s="67"/>
      <c r="B897" s="67"/>
      <c r="C897" s="68"/>
      <c r="D897" s="70"/>
      <c r="E897" s="68"/>
      <c r="F897" s="20"/>
      <c r="G897" s="43"/>
      <c r="H897" s="43"/>
      <c r="I897" s="43"/>
      <c r="J897" s="63"/>
      <c r="K897" s="43"/>
      <c r="L897" s="43"/>
      <c r="M897" s="43"/>
      <c r="N897" s="43"/>
      <c r="O897" s="43"/>
      <c r="P897" s="43"/>
      <c r="Q897" s="43"/>
      <c r="R897" s="43"/>
      <c r="S897" s="43"/>
      <c r="T897" s="43"/>
      <c r="U897" s="43"/>
      <c r="V897" s="43"/>
      <c r="W897" s="43"/>
      <c r="X897" s="43"/>
      <c r="Y897" s="43"/>
      <c r="Z897" s="43"/>
    </row>
    <row r="898">
      <c r="A898" s="67"/>
      <c r="B898" s="67"/>
      <c r="C898" s="68"/>
      <c r="D898" s="70"/>
      <c r="E898" s="68"/>
      <c r="F898" s="20"/>
      <c r="G898" s="43"/>
      <c r="H898" s="43"/>
      <c r="I898" s="43"/>
      <c r="J898" s="63"/>
      <c r="K898" s="43"/>
      <c r="L898" s="43"/>
      <c r="M898" s="43"/>
      <c r="N898" s="43"/>
      <c r="O898" s="43"/>
      <c r="P898" s="43"/>
      <c r="Q898" s="43"/>
      <c r="R898" s="43"/>
      <c r="S898" s="43"/>
      <c r="T898" s="43"/>
      <c r="U898" s="43"/>
      <c r="V898" s="43"/>
      <c r="W898" s="43"/>
      <c r="X898" s="43"/>
      <c r="Y898" s="43"/>
      <c r="Z898" s="43"/>
    </row>
    <row r="899">
      <c r="A899" s="67"/>
      <c r="B899" s="67"/>
      <c r="C899" s="68"/>
      <c r="D899" s="70"/>
      <c r="E899" s="68"/>
      <c r="F899" s="20"/>
      <c r="G899" s="43"/>
      <c r="H899" s="43"/>
      <c r="I899" s="43"/>
      <c r="J899" s="63"/>
      <c r="K899" s="43"/>
      <c r="L899" s="43"/>
      <c r="M899" s="43"/>
      <c r="N899" s="43"/>
      <c r="O899" s="43"/>
      <c r="P899" s="43"/>
      <c r="Q899" s="43"/>
      <c r="R899" s="43"/>
      <c r="S899" s="43"/>
      <c r="T899" s="43"/>
      <c r="U899" s="43"/>
      <c r="V899" s="43"/>
      <c r="W899" s="43"/>
      <c r="X899" s="43"/>
      <c r="Y899" s="43"/>
      <c r="Z899" s="43"/>
    </row>
    <row r="900">
      <c r="A900" s="67"/>
      <c r="B900" s="67"/>
      <c r="C900" s="68"/>
      <c r="D900" s="70"/>
      <c r="E900" s="68"/>
      <c r="F900" s="20"/>
      <c r="G900" s="43"/>
      <c r="H900" s="43"/>
      <c r="I900" s="43"/>
      <c r="J900" s="63"/>
      <c r="K900" s="43"/>
      <c r="L900" s="43"/>
      <c r="M900" s="43"/>
      <c r="N900" s="43"/>
      <c r="O900" s="43"/>
      <c r="P900" s="43"/>
      <c r="Q900" s="43"/>
      <c r="R900" s="43"/>
      <c r="S900" s="43"/>
      <c r="T900" s="43"/>
      <c r="U900" s="43"/>
      <c r="V900" s="43"/>
      <c r="W900" s="43"/>
      <c r="X900" s="43"/>
      <c r="Y900" s="43"/>
      <c r="Z900" s="43"/>
    </row>
    <row r="901">
      <c r="A901" s="67"/>
      <c r="B901" s="67"/>
      <c r="C901" s="68"/>
      <c r="D901" s="70"/>
      <c r="E901" s="68"/>
      <c r="F901" s="20"/>
      <c r="G901" s="43"/>
      <c r="H901" s="43"/>
      <c r="I901" s="43"/>
      <c r="J901" s="63"/>
      <c r="K901" s="43"/>
      <c r="L901" s="43"/>
      <c r="M901" s="43"/>
      <c r="N901" s="43"/>
      <c r="O901" s="43"/>
      <c r="P901" s="43"/>
      <c r="Q901" s="43"/>
      <c r="R901" s="43"/>
      <c r="S901" s="43"/>
      <c r="T901" s="43"/>
      <c r="U901" s="43"/>
      <c r="V901" s="43"/>
      <c r="W901" s="43"/>
      <c r="X901" s="43"/>
      <c r="Y901" s="43"/>
      <c r="Z901" s="43"/>
    </row>
    <row r="902">
      <c r="A902" s="67"/>
      <c r="B902" s="67"/>
      <c r="C902" s="68"/>
      <c r="D902" s="70"/>
      <c r="E902" s="68"/>
      <c r="F902" s="20"/>
      <c r="G902" s="43"/>
      <c r="H902" s="43"/>
      <c r="I902" s="43"/>
      <c r="J902" s="63"/>
      <c r="K902" s="43"/>
      <c r="L902" s="43"/>
      <c r="M902" s="43"/>
      <c r="N902" s="43"/>
      <c r="O902" s="43"/>
      <c r="P902" s="43"/>
      <c r="Q902" s="43"/>
      <c r="R902" s="43"/>
      <c r="S902" s="43"/>
      <c r="T902" s="43"/>
      <c r="U902" s="43"/>
      <c r="V902" s="43"/>
      <c r="W902" s="43"/>
      <c r="X902" s="43"/>
      <c r="Y902" s="43"/>
      <c r="Z902" s="43"/>
    </row>
    <row r="903">
      <c r="A903" s="67"/>
      <c r="B903" s="67"/>
      <c r="C903" s="68"/>
      <c r="D903" s="70"/>
      <c r="E903" s="68"/>
      <c r="F903" s="20"/>
      <c r="G903" s="43"/>
      <c r="H903" s="43"/>
      <c r="I903" s="43"/>
      <c r="J903" s="63"/>
      <c r="K903" s="43"/>
      <c r="L903" s="43"/>
      <c r="M903" s="43"/>
      <c r="N903" s="43"/>
      <c r="O903" s="43"/>
      <c r="P903" s="43"/>
      <c r="Q903" s="43"/>
      <c r="R903" s="43"/>
      <c r="S903" s="43"/>
      <c r="T903" s="43"/>
      <c r="U903" s="43"/>
      <c r="V903" s="43"/>
      <c r="W903" s="43"/>
      <c r="X903" s="43"/>
      <c r="Y903" s="43"/>
      <c r="Z903" s="43"/>
    </row>
    <row r="904">
      <c r="A904" s="67"/>
      <c r="B904" s="67"/>
      <c r="C904" s="68"/>
      <c r="D904" s="70"/>
      <c r="E904" s="68"/>
      <c r="F904" s="20"/>
      <c r="G904" s="43"/>
      <c r="H904" s="43"/>
      <c r="I904" s="43"/>
      <c r="J904" s="63"/>
      <c r="K904" s="43"/>
      <c r="L904" s="43"/>
      <c r="M904" s="43"/>
      <c r="N904" s="43"/>
      <c r="O904" s="43"/>
      <c r="P904" s="43"/>
      <c r="Q904" s="43"/>
      <c r="R904" s="43"/>
      <c r="S904" s="43"/>
      <c r="T904" s="43"/>
      <c r="U904" s="43"/>
      <c r="V904" s="43"/>
      <c r="W904" s="43"/>
      <c r="X904" s="43"/>
      <c r="Y904" s="43"/>
      <c r="Z904" s="43"/>
    </row>
    <row r="905">
      <c r="A905" s="67"/>
      <c r="B905" s="67"/>
      <c r="C905" s="68"/>
      <c r="D905" s="70"/>
      <c r="E905" s="68"/>
      <c r="F905" s="20"/>
      <c r="G905" s="43"/>
      <c r="H905" s="43"/>
      <c r="I905" s="43"/>
      <c r="J905" s="63"/>
      <c r="K905" s="43"/>
      <c r="L905" s="43"/>
      <c r="M905" s="43"/>
      <c r="N905" s="43"/>
      <c r="O905" s="43"/>
      <c r="P905" s="43"/>
      <c r="Q905" s="43"/>
      <c r="R905" s="43"/>
      <c r="S905" s="43"/>
      <c r="T905" s="43"/>
      <c r="U905" s="43"/>
      <c r="V905" s="43"/>
      <c r="W905" s="43"/>
      <c r="X905" s="43"/>
      <c r="Y905" s="43"/>
      <c r="Z905" s="43"/>
    </row>
    <row r="906">
      <c r="A906" s="67"/>
      <c r="B906" s="67"/>
      <c r="C906" s="68"/>
      <c r="D906" s="70"/>
      <c r="E906" s="68"/>
      <c r="F906" s="20"/>
      <c r="G906" s="43"/>
      <c r="H906" s="43"/>
      <c r="I906" s="43"/>
      <c r="J906" s="63"/>
      <c r="K906" s="43"/>
      <c r="L906" s="43"/>
      <c r="M906" s="43"/>
      <c r="N906" s="43"/>
      <c r="O906" s="43"/>
      <c r="P906" s="43"/>
      <c r="Q906" s="43"/>
      <c r="R906" s="43"/>
      <c r="S906" s="43"/>
      <c r="T906" s="43"/>
      <c r="U906" s="43"/>
      <c r="V906" s="43"/>
      <c r="W906" s="43"/>
      <c r="X906" s="43"/>
      <c r="Y906" s="43"/>
      <c r="Z906" s="43"/>
    </row>
    <row r="907">
      <c r="A907" s="67"/>
      <c r="B907" s="67"/>
      <c r="C907" s="68"/>
      <c r="D907" s="70"/>
      <c r="E907" s="68"/>
      <c r="F907" s="20"/>
      <c r="G907" s="43"/>
      <c r="H907" s="43"/>
      <c r="I907" s="43"/>
      <c r="J907" s="63"/>
      <c r="K907" s="43"/>
      <c r="L907" s="43"/>
      <c r="M907" s="43"/>
      <c r="N907" s="43"/>
      <c r="O907" s="43"/>
      <c r="P907" s="43"/>
      <c r="Q907" s="43"/>
      <c r="R907" s="43"/>
      <c r="S907" s="43"/>
      <c r="T907" s="43"/>
      <c r="U907" s="43"/>
      <c r="V907" s="43"/>
      <c r="W907" s="43"/>
      <c r="X907" s="43"/>
      <c r="Y907" s="43"/>
      <c r="Z907" s="43"/>
    </row>
    <row r="908">
      <c r="A908" s="67"/>
      <c r="B908" s="67"/>
      <c r="C908" s="68"/>
      <c r="D908" s="70"/>
      <c r="E908" s="68"/>
      <c r="F908" s="20"/>
      <c r="G908" s="43"/>
      <c r="H908" s="43"/>
      <c r="I908" s="43"/>
      <c r="J908" s="63"/>
      <c r="K908" s="43"/>
      <c r="L908" s="43"/>
      <c r="M908" s="43"/>
      <c r="N908" s="43"/>
      <c r="O908" s="43"/>
      <c r="P908" s="43"/>
      <c r="Q908" s="43"/>
      <c r="R908" s="43"/>
      <c r="S908" s="43"/>
      <c r="T908" s="43"/>
      <c r="U908" s="43"/>
      <c r="V908" s="43"/>
      <c r="W908" s="43"/>
      <c r="X908" s="43"/>
      <c r="Y908" s="43"/>
      <c r="Z908" s="43"/>
    </row>
    <row r="909">
      <c r="A909" s="67"/>
      <c r="B909" s="67"/>
      <c r="C909" s="68"/>
      <c r="D909" s="70"/>
      <c r="E909" s="68"/>
      <c r="F909" s="20"/>
      <c r="G909" s="43"/>
      <c r="H909" s="43"/>
      <c r="I909" s="43"/>
      <c r="J909" s="63"/>
      <c r="K909" s="43"/>
      <c r="L909" s="43"/>
      <c r="M909" s="43"/>
      <c r="N909" s="43"/>
      <c r="O909" s="43"/>
      <c r="P909" s="43"/>
      <c r="Q909" s="43"/>
      <c r="R909" s="43"/>
      <c r="S909" s="43"/>
      <c r="T909" s="43"/>
      <c r="U909" s="43"/>
      <c r="V909" s="43"/>
      <c r="W909" s="43"/>
      <c r="X909" s="43"/>
      <c r="Y909" s="43"/>
      <c r="Z909" s="43"/>
    </row>
    <row r="910">
      <c r="A910" s="67"/>
      <c r="B910" s="67"/>
      <c r="C910" s="68"/>
      <c r="D910" s="70"/>
      <c r="E910" s="68"/>
      <c r="F910" s="20"/>
      <c r="G910" s="43"/>
      <c r="H910" s="43"/>
      <c r="I910" s="43"/>
      <c r="J910" s="63"/>
      <c r="K910" s="43"/>
      <c r="L910" s="43"/>
      <c r="M910" s="43"/>
      <c r="N910" s="43"/>
      <c r="O910" s="43"/>
      <c r="P910" s="43"/>
      <c r="Q910" s="43"/>
      <c r="R910" s="43"/>
      <c r="S910" s="43"/>
      <c r="T910" s="43"/>
      <c r="U910" s="43"/>
      <c r="V910" s="43"/>
      <c r="W910" s="43"/>
      <c r="X910" s="43"/>
      <c r="Y910" s="43"/>
      <c r="Z910" s="43"/>
    </row>
    <row r="911">
      <c r="A911" s="67"/>
      <c r="B911" s="67"/>
      <c r="C911" s="68"/>
      <c r="D911" s="70"/>
      <c r="E911" s="68"/>
      <c r="F911" s="20"/>
      <c r="G911" s="43"/>
      <c r="H911" s="43"/>
      <c r="I911" s="43"/>
      <c r="J911" s="63"/>
      <c r="K911" s="43"/>
      <c r="L911" s="43"/>
      <c r="M911" s="43"/>
      <c r="N911" s="43"/>
      <c r="O911" s="43"/>
      <c r="P911" s="43"/>
      <c r="Q911" s="43"/>
      <c r="R911" s="43"/>
      <c r="S911" s="43"/>
      <c r="T911" s="43"/>
      <c r="U911" s="43"/>
      <c r="V911" s="43"/>
      <c r="W911" s="43"/>
      <c r="X911" s="43"/>
      <c r="Y911" s="43"/>
      <c r="Z911" s="43"/>
    </row>
    <row r="912">
      <c r="A912" s="67"/>
      <c r="B912" s="67"/>
      <c r="C912" s="68"/>
      <c r="D912" s="70"/>
      <c r="E912" s="68"/>
      <c r="F912" s="20"/>
      <c r="G912" s="43"/>
      <c r="H912" s="43"/>
      <c r="I912" s="43"/>
      <c r="J912" s="63"/>
      <c r="K912" s="43"/>
      <c r="L912" s="43"/>
      <c r="M912" s="43"/>
      <c r="N912" s="43"/>
      <c r="O912" s="43"/>
      <c r="P912" s="43"/>
      <c r="Q912" s="43"/>
      <c r="R912" s="43"/>
      <c r="S912" s="43"/>
      <c r="T912" s="43"/>
      <c r="U912" s="43"/>
      <c r="V912" s="43"/>
      <c r="W912" s="43"/>
      <c r="X912" s="43"/>
      <c r="Y912" s="43"/>
      <c r="Z912" s="43"/>
    </row>
    <row r="913">
      <c r="A913" s="67"/>
      <c r="B913" s="67"/>
      <c r="C913" s="68"/>
      <c r="D913" s="70"/>
      <c r="E913" s="68"/>
      <c r="F913" s="20"/>
      <c r="G913" s="43"/>
      <c r="H913" s="43"/>
      <c r="I913" s="43"/>
      <c r="J913" s="63"/>
      <c r="K913" s="43"/>
      <c r="L913" s="43"/>
      <c r="M913" s="43"/>
      <c r="N913" s="43"/>
      <c r="O913" s="43"/>
      <c r="P913" s="43"/>
      <c r="Q913" s="43"/>
      <c r="R913" s="43"/>
      <c r="S913" s="43"/>
      <c r="T913" s="43"/>
      <c r="U913" s="43"/>
      <c r="V913" s="43"/>
      <c r="W913" s="43"/>
      <c r="X913" s="43"/>
      <c r="Y913" s="43"/>
      <c r="Z913" s="43"/>
    </row>
    <row r="914">
      <c r="A914" s="67"/>
      <c r="B914" s="67"/>
      <c r="C914" s="68"/>
      <c r="D914" s="70"/>
      <c r="E914" s="68"/>
      <c r="F914" s="20"/>
      <c r="G914" s="43"/>
      <c r="H914" s="43"/>
      <c r="I914" s="43"/>
      <c r="J914" s="63"/>
      <c r="K914" s="43"/>
      <c r="L914" s="43"/>
      <c r="M914" s="43"/>
      <c r="N914" s="43"/>
      <c r="O914" s="43"/>
      <c r="P914" s="43"/>
      <c r="Q914" s="43"/>
      <c r="R914" s="43"/>
      <c r="S914" s="43"/>
      <c r="T914" s="43"/>
      <c r="U914" s="43"/>
      <c r="V914" s="43"/>
      <c r="W914" s="43"/>
      <c r="X914" s="43"/>
      <c r="Y914" s="43"/>
      <c r="Z914" s="43"/>
    </row>
    <row r="915">
      <c r="A915" s="67"/>
      <c r="B915" s="67"/>
      <c r="C915" s="68"/>
      <c r="D915" s="70"/>
      <c r="E915" s="68"/>
      <c r="F915" s="20"/>
      <c r="G915" s="43"/>
      <c r="H915" s="43"/>
      <c r="I915" s="43"/>
      <c r="J915" s="63"/>
      <c r="K915" s="43"/>
      <c r="L915" s="43"/>
      <c r="M915" s="43"/>
      <c r="N915" s="43"/>
      <c r="O915" s="43"/>
      <c r="P915" s="43"/>
      <c r="Q915" s="43"/>
      <c r="R915" s="43"/>
      <c r="S915" s="43"/>
      <c r="T915" s="43"/>
      <c r="U915" s="43"/>
      <c r="V915" s="43"/>
      <c r="W915" s="43"/>
      <c r="X915" s="43"/>
      <c r="Y915" s="43"/>
      <c r="Z915" s="43"/>
    </row>
    <row r="916">
      <c r="A916" s="67"/>
      <c r="B916" s="67"/>
      <c r="C916" s="68"/>
      <c r="D916" s="70"/>
      <c r="E916" s="68"/>
      <c r="F916" s="20"/>
      <c r="G916" s="43"/>
      <c r="H916" s="43"/>
      <c r="I916" s="43"/>
      <c r="J916" s="63"/>
      <c r="K916" s="43"/>
      <c r="L916" s="43"/>
      <c r="M916" s="43"/>
      <c r="N916" s="43"/>
      <c r="O916" s="43"/>
      <c r="P916" s="43"/>
      <c r="Q916" s="43"/>
      <c r="R916" s="43"/>
      <c r="S916" s="43"/>
      <c r="T916" s="43"/>
      <c r="U916" s="43"/>
      <c r="V916" s="43"/>
      <c r="W916" s="43"/>
      <c r="X916" s="43"/>
      <c r="Y916" s="43"/>
      <c r="Z916" s="43"/>
    </row>
    <row r="917">
      <c r="A917" s="67"/>
      <c r="B917" s="67"/>
      <c r="C917" s="68"/>
      <c r="D917" s="70"/>
      <c r="E917" s="68"/>
      <c r="F917" s="20"/>
      <c r="G917" s="43"/>
      <c r="H917" s="43"/>
      <c r="I917" s="43"/>
      <c r="J917" s="63"/>
      <c r="K917" s="43"/>
      <c r="L917" s="43"/>
      <c r="M917" s="43"/>
      <c r="N917" s="43"/>
      <c r="O917" s="43"/>
      <c r="P917" s="43"/>
      <c r="Q917" s="43"/>
      <c r="R917" s="43"/>
      <c r="S917" s="43"/>
      <c r="T917" s="43"/>
      <c r="U917" s="43"/>
      <c r="V917" s="43"/>
      <c r="W917" s="43"/>
      <c r="X917" s="43"/>
      <c r="Y917" s="43"/>
      <c r="Z917" s="43"/>
    </row>
    <row r="918">
      <c r="A918" s="67"/>
      <c r="B918" s="67"/>
      <c r="C918" s="68"/>
      <c r="D918" s="70"/>
      <c r="E918" s="68"/>
      <c r="F918" s="20"/>
      <c r="G918" s="43"/>
      <c r="H918" s="43"/>
      <c r="I918" s="43"/>
      <c r="J918" s="63"/>
      <c r="K918" s="43"/>
      <c r="L918" s="43"/>
      <c r="M918" s="43"/>
      <c r="N918" s="43"/>
      <c r="O918" s="43"/>
      <c r="P918" s="43"/>
      <c r="Q918" s="43"/>
      <c r="R918" s="43"/>
      <c r="S918" s="43"/>
      <c r="T918" s="43"/>
      <c r="U918" s="43"/>
      <c r="V918" s="43"/>
      <c r="W918" s="43"/>
      <c r="X918" s="43"/>
      <c r="Y918" s="43"/>
      <c r="Z918" s="43"/>
    </row>
    <row r="919">
      <c r="A919" s="67"/>
      <c r="B919" s="67"/>
      <c r="C919" s="68"/>
      <c r="D919" s="70"/>
      <c r="E919" s="68"/>
      <c r="F919" s="20"/>
      <c r="G919" s="43"/>
      <c r="H919" s="43"/>
      <c r="I919" s="43"/>
      <c r="J919" s="63"/>
      <c r="K919" s="43"/>
      <c r="L919" s="43"/>
      <c r="M919" s="43"/>
      <c r="N919" s="43"/>
      <c r="O919" s="43"/>
      <c r="P919" s="43"/>
      <c r="Q919" s="43"/>
      <c r="R919" s="43"/>
      <c r="S919" s="43"/>
      <c r="T919" s="43"/>
      <c r="U919" s="43"/>
      <c r="V919" s="43"/>
      <c r="W919" s="43"/>
      <c r="X919" s="43"/>
      <c r="Y919" s="43"/>
      <c r="Z919" s="43"/>
    </row>
    <row r="920">
      <c r="A920" s="67"/>
      <c r="B920" s="67"/>
      <c r="C920" s="68"/>
      <c r="D920" s="70"/>
      <c r="E920" s="68"/>
      <c r="F920" s="20"/>
      <c r="G920" s="43"/>
      <c r="H920" s="43"/>
      <c r="I920" s="43"/>
      <c r="J920" s="63"/>
      <c r="K920" s="43"/>
      <c r="L920" s="43"/>
      <c r="M920" s="43"/>
      <c r="N920" s="43"/>
      <c r="O920" s="43"/>
      <c r="P920" s="43"/>
      <c r="Q920" s="43"/>
      <c r="R920" s="43"/>
      <c r="S920" s="43"/>
      <c r="T920" s="43"/>
      <c r="U920" s="43"/>
      <c r="V920" s="43"/>
      <c r="W920" s="43"/>
      <c r="X920" s="43"/>
      <c r="Y920" s="43"/>
      <c r="Z920" s="43"/>
    </row>
    <row r="921">
      <c r="A921" s="67"/>
      <c r="B921" s="67"/>
      <c r="C921" s="68"/>
      <c r="D921" s="70"/>
      <c r="E921" s="68"/>
      <c r="F921" s="20"/>
      <c r="G921" s="43"/>
      <c r="H921" s="43"/>
      <c r="I921" s="43"/>
      <c r="J921" s="63"/>
      <c r="K921" s="43"/>
      <c r="L921" s="43"/>
      <c r="M921" s="43"/>
      <c r="N921" s="43"/>
      <c r="O921" s="43"/>
      <c r="P921" s="43"/>
      <c r="Q921" s="43"/>
      <c r="R921" s="43"/>
      <c r="S921" s="43"/>
      <c r="T921" s="43"/>
      <c r="U921" s="43"/>
      <c r="V921" s="43"/>
      <c r="W921" s="43"/>
      <c r="X921" s="43"/>
      <c r="Y921" s="43"/>
      <c r="Z921" s="43"/>
    </row>
    <row r="922">
      <c r="A922" s="67"/>
      <c r="B922" s="67"/>
      <c r="C922" s="68"/>
      <c r="D922" s="70"/>
      <c r="E922" s="68"/>
      <c r="F922" s="20"/>
      <c r="G922" s="43"/>
      <c r="H922" s="43"/>
      <c r="I922" s="43"/>
      <c r="J922" s="63"/>
      <c r="K922" s="43"/>
      <c r="L922" s="43"/>
      <c r="M922" s="43"/>
      <c r="N922" s="43"/>
      <c r="O922" s="43"/>
      <c r="P922" s="43"/>
      <c r="Q922" s="43"/>
      <c r="R922" s="43"/>
      <c r="S922" s="43"/>
      <c r="T922" s="43"/>
      <c r="U922" s="43"/>
      <c r="V922" s="43"/>
      <c r="W922" s="43"/>
      <c r="X922" s="43"/>
      <c r="Y922" s="43"/>
      <c r="Z922" s="43"/>
    </row>
    <row r="923">
      <c r="A923" s="67"/>
      <c r="B923" s="67"/>
      <c r="C923" s="68"/>
      <c r="D923" s="70"/>
      <c r="E923" s="68"/>
      <c r="F923" s="20"/>
      <c r="G923" s="43"/>
      <c r="H923" s="43"/>
      <c r="I923" s="43"/>
      <c r="J923" s="63"/>
      <c r="K923" s="43"/>
      <c r="L923" s="43"/>
      <c r="M923" s="43"/>
      <c r="N923" s="43"/>
      <c r="O923" s="43"/>
      <c r="P923" s="43"/>
      <c r="Q923" s="43"/>
      <c r="R923" s="43"/>
      <c r="S923" s="43"/>
      <c r="T923" s="43"/>
      <c r="U923" s="43"/>
      <c r="V923" s="43"/>
      <c r="W923" s="43"/>
      <c r="X923" s="43"/>
      <c r="Y923" s="43"/>
      <c r="Z923" s="43"/>
    </row>
    <row r="924">
      <c r="A924" s="67"/>
      <c r="B924" s="67"/>
      <c r="C924" s="68"/>
      <c r="D924" s="70"/>
      <c r="E924" s="68"/>
      <c r="F924" s="20"/>
      <c r="G924" s="43"/>
      <c r="H924" s="43"/>
      <c r="I924" s="43"/>
      <c r="J924" s="63"/>
      <c r="K924" s="43"/>
      <c r="L924" s="43"/>
      <c r="M924" s="43"/>
      <c r="N924" s="43"/>
      <c r="O924" s="43"/>
      <c r="P924" s="43"/>
      <c r="Q924" s="43"/>
      <c r="R924" s="43"/>
      <c r="S924" s="43"/>
      <c r="T924" s="43"/>
      <c r="U924" s="43"/>
      <c r="V924" s="43"/>
      <c r="W924" s="43"/>
      <c r="X924" s="43"/>
      <c r="Y924" s="43"/>
      <c r="Z924" s="43"/>
    </row>
    <row r="925">
      <c r="A925" s="67"/>
      <c r="B925" s="67"/>
      <c r="C925" s="68"/>
      <c r="D925" s="70"/>
      <c r="E925" s="68"/>
      <c r="F925" s="20"/>
      <c r="G925" s="43"/>
      <c r="H925" s="43"/>
      <c r="I925" s="43"/>
      <c r="J925" s="63"/>
      <c r="K925" s="43"/>
      <c r="L925" s="43"/>
      <c r="M925" s="43"/>
      <c r="N925" s="43"/>
      <c r="O925" s="43"/>
      <c r="P925" s="43"/>
      <c r="Q925" s="43"/>
      <c r="R925" s="43"/>
      <c r="S925" s="43"/>
      <c r="T925" s="43"/>
      <c r="U925" s="43"/>
      <c r="V925" s="43"/>
      <c r="W925" s="43"/>
      <c r="X925" s="43"/>
      <c r="Y925" s="43"/>
      <c r="Z925" s="43"/>
    </row>
    <row r="926">
      <c r="A926" s="67"/>
      <c r="B926" s="67"/>
      <c r="C926" s="68"/>
      <c r="D926" s="70"/>
      <c r="E926" s="68"/>
      <c r="F926" s="20"/>
      <c r="G926" s="43"/>
      <c r="H926" s="43"/>
      <c r="I926" s="43"/>
      <c r="J926" s="63"/>
      <c r="K926" s="43"/>
      <c r="L926" s="43"/>
      <c r="M926" s="43"/>
      <c r="N926" s="43"/>
      <c r="O926" s="43"/>
      <c r="P926" s="43"/>
      <c r="Q926" s="43"/>
      <c r="R926" s="43"/>
      <c r="S926" s="43"/>
      <c r="T926" s="43"/>
      <c r="U926" s="43"/>
      <c r="V926" s="43"/>
      <c r="W926" s="43"/>
      <c r="X926" s="43"/>
      <c r="Y926" s="43"/>
      <c r="Z926" s="43"/>
    </row>
    <row r="927">
      <c r="A927" s="67"/>
      <c r="B927" s="67"/>
      <c r="C927" s="68"/>
      <c r="D927" s="70"/>
      <c r="E927" s="68"/>
      <c r="F927" s="20"/>
      <c r="G927" s="43"/>
      <c r="H927" s="43"/>
      <c r="I927" s="43"/>
      <c r="J927" s="63"/>
      <c r="K927" s="43"/>
      <c r="L927" s="43"/>
      <c r="M927" s="43"/>
      <c r="N927" s="43"/>
      <c r="O927" s="43"/>
      <c r="P927" s="43"/>
      <c r="Q927" s="43"/>
      <c r="R927" s="43"/>
      <c r="S927" s="43"/>
      <c r="T927" s="43"/>
      <c r="U927" s="43"/>
      <c r="V927" s="43"/>
      <c r="W927" s="43"/>
      <c r="X927" s="43"/>
      <c r="Y927" s="43"/>
      <c r="Z927" s="43"/>
    </row>
    <row r="928">
      <c r="A928" s="67"/>
      <c r="B928" s="67"/>
      <c r="C928" s="68"/>
      <c r="D928" s="70"/>
      <c r="E928" s="68"/>
      <c r="F928" s="20"/>
      <c r="G928" s="43"/>
      <c r="H928" s="43"/>
      <c r="I928" s="43"/>
      <c r="J928" s="63"/>
      <c r="K928" s="43"/>
      <c r="L928" s="43"/>
      <c r="M928" s="43"/>
      <c r="N928" s="43"/>
      <c r="O928" s="43"/>
      <c r="P928" s="43"/>
      <c r="Q928" s="43"/>
      <c r="R928" s="43"/>
      <c r="S928" s="43"/>
      <c r="T928" s="43"/>
      <c r="U928" s="43"/>
      <c r="V928" s="43"/>
      <c r="W928" s="43"/>
      <c r="X928" s="43"/>
      <c r="Y928" s="43"/>
      <c r="Z928" s="43"/>
    </row>
    <row r="929">
      <c r="A929" s="67"/>
      <c r="B929" s="67"/>
      <c r="C929" s="68"/>
      <c r="D929" s="70"/>
      <c r="E929" s="68"/>
      <c r="F929" s="20"/>
      <c r="G929" s="43"/>
      <c r="H929" s="43"/>
      <c r="I929" s="43"/>
      <c r="J929" s="63"/>
      <c r="K929" s="43"/>
      <c r="L929" s="43"/>
      <c r="M929" s="43"/>
      <c r="N929" s="43"/>
      <c r="O929" s="43"/>
      <c r="P929" s="43"/>
      <c r="Q929" s="43"/>
      <c r="R929" s="43"/>
      <c r="S929" s="43"/>
      <c r="T929" s="43"/>
      <c r="U929" s="43"/>
      <c r="V929" s="43"/>
      <c r="W929" s="43"/>
      <c r="X929" s="43"/>
      <c r="Y929" s="43"/>
      <c r="Z929" s="43"/>
    </row>
    <row r="930">
      <c r="A930" s="67"/>
      <c r="B930" s="67"/>
      <c r="C930" s="68"/>
      <c r="D930" s="70"/>
      <c r="E930" s="68"/>
      <c r="F930" s="20"/>
      <c r="G930" s="43"/>
      <c r="H930" s="43"/>
      <c r="I930" s="43"/>
      <c r="J930" s="63"/>
      <c r="K930" s="43"/>
      <c r="L930" s="43"/>
      <c r="M930" s="43"/>
      <c r="N930" s="43"/>
      <c r="O930" s="43"/>
      <c r="P930" s="43"/>
      <c r="Q930" s="43"/>
      <c r="R930" s="43"/>
      <c r="S930" s="43"/>
      <c r="T930" s="43"/>
      <c r="U930" s="43"/>
      <c r="V930" s="43"/>
      <c r="W930" s="43"/>
      <c r="X930" s="43"/>
      <c r="Y930" s="43"/>
      <c r="Z930" s="43"/>
    </row>
    <row r="931">
      <c r="A931" s="67"/>
      <c r="B931" s="67"/>
      <c r="C931" s="68"/>
      <c r="D931" s="70"/>
      <c r="E931" s="68"/>
      <c r="F931" s="20"/>
      <c r="G931" s="43"/>
      <c r="H931" s="43"/>
      <c r="I931" s="43"/>
      <c r="J931" s="63"/>
      <c r="K931" s="43"/>
      <c r="L931" s="43"/>
      <c r="M931" s="43"/>
      <c r="N931" s="43"/>
      <c r="O931" s="43"/>
      <c r="P931" s="43"/>
      <c r="Q931" s="43"/>
      <c r="R931" s="43"/>
      <c r="S931" s="43"/>
      <c r="T931" s="43"/>
      <c r="U931" s="43"/>
      <c r="V931" s="43"/>
      <c r="W931" s="43"/>
      <c r="X931" s="43"/>
      <c r="Y931" s="43"/>
      <c r="Z931" s="43"/>
    </row>
    <row r="932">
      <c r="A932" s="67"/>
      <c r="B932" s="67"/>
      <c r="C932" s="68"/>
      <c r="D932" s="70"/>
      <c r="E932" s="68"/>
      <c r="F932" s="20"/>
      <c r="G932" s="43"/>
      <c r="H932" s="43"/>
      <c r="I932" s="43"/>
      <c r="J932" s="63"/>
      <c r="K932" s="43"/>
      <c r="L932" s="43"/>
      <c r="M932" s="43"/>
      <c r="N932" s="43"/>
      <c r="O932" s="43"/>
      <c r="P932" s="43"/>
      <c r="Q932" s="43"/>
      <c r="R932" s="43"/>
      <c r="S932" s="43"/>
      <c r="T932" s="43"/>
      <c r="U932" s="43"/>
      <c r="V932" s="43"/>
      <c r="W932" s="43"/>
      <c r="X932" s="43"/>
      <c r="Y932" s="43"/>
      <c r="Z932" s="43"/>
    </row>
    <row r="933">
      <c r="A933" s="67"/>
      <c r="B933" s="67"/>
      <c r="C933" s="68"/>
      <c r="D933" s="70"/>
      <c r="E933" s="68"/>
      <c r="F933" s="20"/>
      <c r="G933" s="43"/>
      <c r="H933" s="43"/>
      <c r="I933" s="43"/>
      <c r="J933" s="63"/>
      <c r="K933" s="43"/>
      <c r="L933" s="43"/>
      <c r="M933" s="43"/>
      <c r="N933" s="43"/>
      <c r="O933" s="43"/>
      <c r="P933" s="43"/>
      <c r="Q933" s="43"/>
      <c r="R933" s="43"/>
      <c r="S933" s="43"/>
      <c r="T933" s="43"/>
      <c r="U933" s="43"/>
      <c r="V933" s="43"/>
      <c r="W933" s="43"/>
      <c r="X933" s="43"/>
      <c r="Y933" s="43"/>
      <c r="Z933" s="43"/>
    </row>
    <row r="934">
      <c r="A934" s="67"/>
      <c r="B934" s="67"/>
      <c r="C934" s="68"/>
      <c r="D934" s="70"/>
      <c r="E934" s="68"/>
      <c r="F934" s="20"/>
      <c r="G934" s="43"/>
      <c r="H934" s="43"/>
      <c r="I934" s="43"/>
      <c r="J934" s="63"/>
      <c r="K934" s="43"/>
      <c r="L934" s="43"/>
      <c r="M934" s="43"/>
      <c r="N934" s="43"/>
      <c r="O934" s="43"/>
      <c r="P934" s="43"/>
      <c r="Q934" s="43"/>
      <c r="R934" s="43"/>
      <c r="S934" s="43"/>
      <c r="T934" s="43"/>
      <c r="U934" s="43"/>
      <c r="V934" s="43"/>
      <c r="W934" s="43"/>
      <c r="X934" s="43"/>
      <c r="Y934" s="43"/>
      <c r="Z934" s="43"/>
    </row>
    <row r="935">
      <c r="A935" s="67"/>
      <c r="B935" s="67"/>
      <c r="C935" s="68"/>
      <c r="D935" s="70"/>
      <c r="E935" s="68"/>
      <c r="F935" s="20"/>
      <c r="G935" s="43"/>
      <c r="H935" s="43"/>
      <c r="I935" s="43"/>
      <c r="J935" s="63"/>
      <c r="K935" s="43"/>
      <c r="L935" s="43"/>
      <c r="M935" s="43"/>
      <c r="N935" s="43"/>
      <c r="O935" s="43"/>
      <c r="P935" s="43"/>
      <c r="Q935" s="43"/>
      <c r="R935" s="43"/>
      <c r="S935" s="43"/>
      <c r="T935" s="43"/>
      <c r="U935" s="43"/>
      <c r="V935" s="43"/>
      <c r="W935" s="43"/>
      <c r="X935" s="43"/>
      <c r="Y935" s="43"/>
      <c r="Z935" s="43"/>
    </row>
    <row r="936">
      <c r="A936" s="67"/>
      <c r="B936" s="67"/>
      <c r="C936" s="68"/>
      <c r="D936" s="70"/>
      <c r="E936" s="68"/>
      <c r="F936" s="20"/>
      <c r="G936" s="43"/>
      <c r="H936" s="43"/>
      <c r="I936" s="43"/>
      <c r="J936" s="63"/>
      <c r="K936" s="43"/>
      <c r="L936" s="43"/>
      <c r="M936" s="43"/>
      <c r="N936" s="43"/>
      <c r="O936" s="43"/>
      <c r="P936" s="43"/>
      <c r="Q936" s="43"/>
      <c r="R936" s="43"/>
      <c r="S936" s="43"/>
      <c r="T936" s="43"/>
      <c r="U936" s="43"/>
      <c r="V936" s="43"/>
      <c r="W936" s="43"/>
      <c r="X936" s="43"/>
      <c r="Y936" s="43"/>
      <c r="Z936" s="43"/>
    </row>
    <row r="937">
      <c r="A937" s="67"/>
      <c r="B937" s="67"/>
      <c r="C937" s="68"/>
      <c r="D937" s="70"/>
      <c r="E937" s="68"/>
      <c r="F937" s="20"/>
      <c r="G937" s="43"/>
      <c r="H937" s="43"/>
      <c r="I937" s="43"/>
      <c r="J937" s="63"/>
      <c r="K937" s="43"/>
      <c r="L937" s="43"/>
      <c r="M937" s="43"/>
      <c r="N937" s="43"/>
      <c r="O937" s="43"/>
      <c r="P937" s="43"/>
      <c r="Q937" s="43"/>
      <c r="R937" s="43"/>
      <c r="S937" s="43"/>
      <c r="T937" s="43"/>
      <c r="U937" s="43"/>
      <c r="V937" s="43"/>
      <c r="W937" s="43"/>
      <c r="X937" s="43"/>
      <c r="Y937" s="43"/>
      <c r="Z937" s="43"/>
    </row>
    <row r="938">
      <c r="A938" s="67"/>
      <c r="B938" s="67"/>
      <c r="C938" s="68"/>
      <c r="D938" s="70"/>
      <c r="E938" s="68"/>
      <c r="F938" s="20"/>
      <c r="G938" s="43"/>
      <c r="H938" s="43"/>
      <c r="I938" s="43"/>
      <c r="J938" s="63"/>
      <c r="K938" s="43"/>
      <c r="L938" s="43"/>
      <c r="M938" s="43"/>
      <c r="N938" s="43"/>
      <c r="O938" s="43"/>
      <c r="P938" s="43"/>
      <c r="Q938" s="43"/>
      <c r="R938" s="43"/>
      <c r="S938" s="43"/>
      <c r="T938" s="43"/>
      <c r="U938" s="43"/>
      <c r="V938" s="43"/>
      <c r="W938" s="43"/>
      <c r="X938" s="43"/>
      <c r="Y938" s="43"/>
      <c r="Z938" s="43"/>
    </row>
    <row r="939">
      <c r="A939" s="67"/>
      <c r="B939" s="67"/>
      <c r="C939" s="68"/>
      <c r="D939" s="70"/>
      <c r="E939" s="68"/>
      <c r="F939" s="20"/>
      <c r="G939" s="43"/>
      <c r="H939" s="43"/>
      <c r="I939" s="43"/>
      <c r="J939" s="63"/>
      <c r="K939" s="43"/>
      <c r="L939" s="43"/>
      <c r="M939" s="43"/>
      <c r="N939" s="43"/>
      <c r="O939" s="43"/>
      <c r="P939" s="43"/>
      <c r="Q939" s="43"/>
      <c r="R939" s="43"/>
      <c r="S939" s="43"/>
      <c r="T939" s="43"/>
      <c r="U939" s="43"/>
      <c r="V939" s="43"/>
      <c r="W939" s="43"/>
      <c r="X939" s="43"/>
      <c r="Y939" s="43"/>
      <c r="Z939" s="43"/>
    </row>
    <row r="940">
      <c r="A940" s="67"/>
      <c r="B940" s="67"/>
      <c r="C940" s="68"/>
      <c r="D940" s="70"/>
      <c r="E940" s="68"/>
      <c r="F940" s="20"/>
      <c r="G940" s="43"/>
      <c r="H940" s="43"/>
      <c r="I940" s="43"/>
      <c r="J940" s="63"/>
      <c r="K940" s="43"/>
      <c r="L940" s="43"/>
      <c r="M940" s="43"/>
      <c r="N940" s="43"/>
      <c r="O940" s="43"/>
      <c r="P940" s="43"/>
      <c r="Q940" s="43"/>
      <c r="R940" s="43"/>
      <c r="S940" s="43"/>
      <c r="T940" s="43"/>
      <c r="U940" s="43"/>
      <c r="V940" s="43"/>
      <c r="W940" s="43"/>
      <c r="X940" s="43"/>
      <c r="Y940" s="43"/>
      <c r="Z940" s="43"/>
    </row>
    <row r="941">
      <c r="A941" s="67"/>
      <c r="B941" s="67"/>
      <c r="C941" s="68"/>
      <c r="D941" s="70"/>
      <c r="E941" s="68"/>
      <c r="F941" s="20"/>
      <c r="G941" s="43"/>
      <c r="H941" s="43"/>
      <c r="I941" s="43"/>
      <c r="J941" s="63"/>
      <c r="K941" s="43"/>
      <c r="L941" s="43"/>
      <c r="M941" s="43"/>
      <c r="N941" s="43"/>
      <c r="O941" s="43"/>
      <c r="P941" s="43"/>
      <c r="Q941" s="43"/>
      <c r="R941" s="43"/>
      <c r="S941" s="43"/>
      <c r="T941" s="43"/>
      <c r="U941" s="43"/>
      <c r="V941" s="43"/>
      <c r="W941" s="43"/>
      <c r="X941" s="43"/>
      <c r="Y941" s="43"/>
      <c r="Z941" s="43"/>
    </row>
    <row r="942">
      <c r="A942" s="67"/>
      <c r="B942" s="67"/>
      <c r="C942" s="68"/>
      <c r="D942" s="70"/>
      <c r="E942" s="68"/>
      <c r="F942" s="20"/>
      <c r="G942" s="43"/>
      <c r="H942" s="43"/>
      <c r="I942" s="43"/>
      <c r="J942" s="63"/>
      <c r="K942" s="43"/>
      <c r="L942" s="43"/>
      <c r="M942" s="43"/>
      <c r="N942" s="43"/>
      <c r="O942" s="43"/>
      <c r="P942" s="43"/>
      <c r="Q942" s="43"/>
      <c r="R942" s="43"/>
      <c r="S942" s="43"/>
      <c r="T942" s="43"/>
      <c r="U942" s="43"/>
      <c r="V942" s="43"/>
      <c r="W942" s="43"/>
      <c r="X942" s="43"/>
      <c r="Y942" s="43"/>
      <c r="Z942" s="43"/>
    </row>
    <row r="943">
      <c r="A943" s="67"/>
      <c r="B943" s="67"/>
      <c r="C943" s="68"/>
      <c r="D943" s="70"/>
      <c r="E943" s="68"/>
      <c r="F943" s="20"/>
      <c r="G943" s="43"/>
      <c r="H943" s="43"/>
      <c r="I943" s="43"/>
      <c r="J943" s="63"/>
      <c r="K943" s="43"/>
      <c r="L943" s="43"/>
      <c r="M943" s="43"/>
      <c r="N943" s="43"/>
      <c r="O943" s="43"/>
      <c r="P943" s="43"/>
      <c r="Q943" s="43"/>
      <c r="R943" s="43"/>
      <c r="S943" s="43"/>
      <c r="T943" s="43"/>
      <c r="U943" s="43"/>
      <c r="V943" s="43"/>
      <c r="W943" s="43"/>
      <c r="X943" s="43"/>
      <c r="Y943" s="43"/>
      <c r="Z943" s="43"/>
    </row>
    <row r="944">
      <c r="A944" s="67"/>
      <c r="B944" s="67"/>
      <c r="C944" s="68"/>
      <c r="D944" s="70"/>
      <c r="E944" s="68"/>
      <c r="F944" s="20"/>
      <c r="G944" s="43"/>
      <c r="H944" s="43"/>
      <c r="I944" s="43"/>
      <c r="J944" s="63"/>
      <c r="K944" s="43"/>
      <c r="L944" s="43"/>
      <c r="M944" s="43"/>
      <c r="N944" s="43"/>
      <c r="O944" s="43"/>
      <c r="P944" s="43"/>
      <c r="Q944" s="43"/>
      <c r="R944" s="43"/>
      <c r="S944" s="43"/>
      <c r="T944" s="43"/>
      <c r="U944" s="43"/>
      <c r="V944" s="43"/>
      <c r="W944" s="43"/>
      <c r="X944" s="43"/>
      <c r="Y944" s="43"/>
      <c r="Z944" s="43"/>
    </row>
    <row r="945">
      <c r="A945" s="67"/>
      <c r="B945" s="67"/>
      <c r="C945" s="68"/>
      <c r="D945" s="70"/>
      <c r="E945" s="68"/>
      <c r="F945" s="20"/>
      <c r="G945" s="43"/>
      <c r="H945" s="43"/>
      <c r="I945" s="43"/>
      <c r="J945" s="63"/>
      <c r="K945" s="43"/>
      <c r="L945" s="43"/>
      <c r="M945" s="43"/>
      <c r="N945" s="43"/>
      <c r="O945" s="43"/>
      <c r="P945" s="43"/>
      <c r="Q945" s="43"/>
      <c r="R945" s="43"/>
      <c r="S945" s="43"/>
      <c r="T945" s="43"/>
      <c r="U945" s="43"/>
      <c r="V945" s="43"/>
      <c r="W945" s="43"/>
      <c r="X945" s="43"/>
      <c r="Y945" s="43"/>
      <c r="Z945" s="43"/>
    </row>
    <row r="946">
      <c r="A946" s="67"/>
      <c r="B946" s="67"/>
      <c r="C946" s="68"/>
      <c r="D946" s="70"/>
      <c r="E946" s="68"/>
      <c r="F946" s="20"/>
      <c r="G946" s="43"/>
      <c r="H946" s="43"/>
      <c r="I946" s="43"/>
      <c r="J946" s="63"/>
      <c r="K946" s="43"/>
      <c r="L946" s="43"/>
      <c r="M946" s="43"/>
      <c r="N946" s="43"/>
      <c r="O946" s="43"/>
      <c r="P946" s="43"/>
      <c r="Q946" s="43"/>
      <c r="R946" s="43"/>
      <c r="S946" s="43"/>
      <c r="T946" s="43"/>
      <c r="U946" s="43"/>
      <c r="V946" s="43"/>
      <c r="W946" s="43"/>
      <c r="X946" s="43"/>
      <c r="Y946" s="43"/>
      <c r="Z946" s="43"/>
    </row>
    <row r="947">
      <c r="A947" s="67"/>
      <c r="B947" s="67"/>
      <c r="C947" s="68"/>
      <c r="D947" s="70"/>
      <c r="E947" s="68"/>
      <c r="F947" s="20"/>
      <c r="G947" s="43"/>
      <c r="H947" s="43"/>
      <c r="I947" s="43"/>
      <c r="J947" s="63"/>
      <c r="K947" s="43"/>
      <c r="L947" s="43"/>
      <c r="M947" s="43"/>
      <c r="N947" s="43"/>
      <c r="O947" s="43"/>
      <c r="P947" s="43"/>
      <c r="Q947" s="43"/>
      <c r="R947" s="43"/>
      <c r="S947" s="43"/>
      <c r="T947" s="43"/>
      <c r="U947" s="43"/>
      <c r="V947" s="43"/>
      <c r="W947" s="43"/>
      <c r="X947" s="43"/>
      <c r="Y947" s="43"/>
      <c r="Z947" s="43"/>
    </row>
    <row r="948">
      <c r="A948" s="67"/>
      <c r="B948" s="67"/>
      <c r="C948" s="68"/>
      <c r="D948" s="70"/>
      <c r="E948" s="68"/>
      <c r="F948" s="20"/>
      <c r="G948" s="43"/>
      <c r="H948" s="43"/>
      <c r="I948" s="43"/>
      <c r="J948" s="63"/>
      <c r="K948" s="43"/>
      <c r="L948" s="43"/>
      <c r="M948" s="43"/>
      <c r="N948" s="43"/>
      <c r="O948" s="43"/>
      <c r="P948" s="43"/>
      <c r="Q948" s="43"/>
      <c r="R948" s="43"/>
      <c r="S948" s="43"/>
      <c r="T948" s="43"/>
      <c r="U948" s="43"/>
      <c r="V948" s="43"/>
      <c r="W948" s="43"/>
      <c r="X948" s="43"/>
      <c r="Y948" s="43"/>
      <c r="Z948" s="43"/>
    </row>
    <row r="949">
      <c r="A949" s="67"/>
      <c r="B949" s="67"/>
      <c r="C949" s="68"/>
      <c r="D949" s="70"/>
      <c r="E949" s="68"/>
      <c r="F949" s="20"/>
      <c r="G949" s="43"/>
      <c r="H949" s="43"/>
      <c r="I949" s="43"/>
      <c r="J949" s="63"/>
      <c r="K949" s="43"/>
      <c r="L949" s="43"/>
      <c r="M949" s="43"/>
      <c r="N949" s="43"/>
      <c r="O949" s="43"/>
      <c r="P949" s="43"/>
      <c r="Q949" s="43"/>
      <c r="R949" s="43"/>
      <c r="S949" s="43"/>
      <c r="T949" s="43"/>
      <c r="U949" s="43"/>
      <c r="V949" s="43"/>
      <c r="W949" s="43"/>
      <c r="X949" s="43"/>
      <c r="Y949" s="43"/>
      <c r="Z949" s="43"/>
    </row>
    <row r="950">
      <c r="A950" s="67"/>
      <c r="B950" s="67"/>
      <c r="C950" s="68"/>
      <c r="D950" s="70"/>
      <c r="E950" s="68"/>
      <c r="F950" s="20"/>
      <c r="G950" s="43"/>
      <c r="H950" s="43"/>
      <c r="I950" s="43"/>
      <c r="J950" s="63"/>
      <c r="K950" s="43"/>
      <c r="L950" s="43"/>
      <c r="M950" s="43"/>
      <c r="N950" s="43"/>
      <c r="O950" s="43"/>
      <c r="P950" s="43"/>
      <c r="Q950" s="43"/>
      <c r="R950" s="43"/>
      <c r="S950" s="43"/>
      <c r="T950" s="43"/>
      <c r="U950" s="43"/>
      <c r="V950" s="43"/>
      <c r="W950" s="43"/>
      <c r="X950" s="43"/>
      <c r="Y950" s="43"/>
      <c r="Z950" s="43"/>
    </row>
    <row r="951">
      <c r="A951" s="67"/>
      <c r="B951" s="67"/>
      <c r="C951" s="68"/>
      <c r="D951" s="70"/>
      <c r="E951" s="68"/>
      <c r="F951" s="20"/>
      <c r="G951" s="43"/>
      <c r="H951" s="43"/>
      <c r="I951" s="43"/>
      <c r="J951" s="63"/>
      <c r="K951" s="43"/>
      <c r="L951" s="43"/>
      <c r="M951" s="43"/>
      <c r="N951" s="43"/>
      <c r="O951" s="43"/>
      <c r="P951" s="43"/>
      <c r="Q951" s="43"/>
      <c r="R951" s="43"/>
      <c r="S951" s="43"/>
      <c r="T951" s="43"/>
      <c r="U951" s="43"/>
      <c r="V951" s="43"/>
      <c r="W951" s="43"/>
      <c r="X951" s="43"/>
      <c r="Y951" s="43"/>
      <c r="Z951" s="43"/>
    </row>
    <row r="952">
      <c r="A952" s="67"/>
      <c r="B952" s="67"/>
      <c r="C952" s="68"/>
      <c r="D952" s="70"/>
      <c r="E952" s="68"/>
      <c r="F952" s="20"/>
      <c r="G952" s="43"/>
      <c r="H952" s="43"/>
      <c r="I952" s="43"/>
      <c r="J952" s="63"/>
      <c r="K952" s="43"/>
      <c r="L952" s="43"/>
      <c r="M952" s="43"/>
      <c r="N952" s="43"/>
      <c r="O952" s="43"/>
      <c r="P952" s="43"/>
      <c r="Q952" s="43"/>
      <c r="R952" s="43"/>
      <c r="S952" s="43"/>
      <c r="T952" s="43"/>
      <c r="U952" s="43"/>
      <c r="V952" s="43"/>
      <c r="W952" s="43"/>
      <c r="X952" s="43"/>
      <c r="Y952" s="43"/>
      <c r="Z952" s="43"/>
    </row>
    <row r="953">
      <c r="A953" s="67"/>
      <c r="B953" s="67"/>
      <c r="C953" s="68"/>
      <c r="D953" s="70"/>
      <c r="E953" s="68"/>
      <c r="F953" s="20"/>
      <c r="G953" s="43"/>
      <c r="H953" s="43"/>
      <c r="I953" s="43"/>
      <c r="J953" s="63"/>
      <c r="K953" s="43"/>
      <c r="L953" s="43"/>
      <c r="M953" s="43"/>
      <c r="N953" s="43"/>
      <c r="O953" s="43"/>
      <c r="P953" s="43"/>
      <c r="Q953" s="43"/>
      <c r="R953" s="43"/>
      <c r="S953" s="43"/>
      <c r="T953" s="43"/>
      <c r="U953" s="43"/>
      <c r="V953" s="43"/>
      <c r="W953" s="43"/>
      <c r="X953" s="43"/>
      <c r="Y953" s="43"/>
      <c r="Z953" s="43"/>
    </row>
    <row r="954">
      <c r="A954" s="67"/>
      <c r="B954" s="67"/>
      <c r="C954" s="68"/>
      <c r="D954" s="70"/>
      <c r="E954" s="68"/>
      <c r="F954" s="20"/>
      <c r="G954" s="43"/>
      <c r="H954" s="43"/>
      <c r="I954" s="43"/>
      <c r="J954" s="63"/>
      <c r="K954" s="43"/>
      <c r="L954" s="43"/>
      <c r="M954" s="43"/>
      <c r="N954" s="43"/>
      <c r="O954" s="43"/>
      <c r="P954" s="43"/>
      <c r="Q954" s="43"/>
      <c r="R954" s="43"/>
      <c r="S954" s="43"/>
      <c r="T954" s="43"/>
      <c r="U954" s="43"/>
      <c r="V954" s="43"/>
      <c r="W954" s="43"/>
      <c r="X954" s="43"/>
      <c r="Y954" s="43"/>
      <c r="Z954" s="43"/>
    </row>
    <row r="955">
      <c r="A955" s="67"/>
      <c r="B955" s="67"/>
      <c r="C955" s="68"/>
      <c r="D955" s="70"/>
      <c r="E955" s="68"/>
      <c r="F955" s="20"/>
      <c r="G955" s="43"/>
      <c r="H955" s="43"/>
      <c r="I955" s="43"/>
      <c r="J955" s="63"/>
      <c r="K955" s="43"/>
      <c r="L955" s="43"/>
      <c r="M955" s="43"/>
      <c r="N955" s="43"/>
      <c r="O955" s="43"/>
      <c r="P955" s="43"/>
      <c r="Q955" s="43"/>
      <c r="R955" s="43"/>
      <c r="S955" s="43"/>
      <c r="T955" s="43"/>
      <c r="U955" s="43"/>
      <c r="V955" s="43"/>
      <c r="W955" s="43"/>
      <c r="X955" s="43"/>
      <c r="Y955" s="43"/>
      <c r="Z955" s="43"/>
    </row>
    <row r="956">
      <c r="A956" s="67"/>
      <c r="B956" s="67"/>
      <c r="C956" s="68"/>
      <c r="D956" s="70"/>
      <c r="E956" s="68"/>
      <c r="F956" s="20"/>
      <c r="G956" s="43"/>
      <c r="H956" s="43"/>
      <c r="I956" s="43"/>
      <c r="J956" s="63"/>
      <c r="K956" s="43"/>
      <c r="L956" s="43"/>
      <c r="M956" s="43"/>
      <c r="N956" s="43"/>
      <c r="O956" s="43"/>
      <c r="P956" s="43"/>
      <c r="Q956" s="43"/>
      <c r="R956" s="43"/>
      <c r="S956" s="43"/>
      <c r="T956" s="43"/>
      <c r="U956" s="43"/>
      <c r="V956" s="43"/>
      <c r="W956" s="43"/>
      <c r="X956" s="43"/>
      <c r="Y956" s="43"/>
      <c r="Z956" s="43"/>
    </row>
    <row r="957">
      <c r="A957" s="67"/>
      <c r="B957" s="67"/>
      <c r="C957" s="68"/>
      <c r="D957" s="70"/>
      <c r="E957" s="68"/>
      <c r="F957" s="20"/>
      <c r="G957" s="43"/>
      <c r="H957" s="43"/>
      <c r="I957" s="43"/>
      <c r="J957" s="63"/>
      <c r="K957" s="43"/>
      <c r="L957" s="43"/>
      <c r="M957" s="43"/>
      <c r="N957" s="43"/>
      <c r="O957" s="43"/>
      <c r="P957" s="43"/>
      <c r="Q957" s="43"/>
      <c r="R957" s="43"/>
      <c r="S957" s="43"/>
      <c r="T957" s="43"/>
      <c r="U957" s="43"/>
      <c r="V957" s="43"/>
      <c r="W957" s="43"/>
      <c r="X957" s="43"/>
      <c r="Y957" s="43"/>
      <c r="Z957" s="43"/>
    </row>
    <row r="958">
      <c r="A958" s="67"/>
      <c r="B958" s="67"/>
      <c r="C958" s="68"/>
      <c r="D958" s="70"/>
      <c r="E958" s="68"/>
      <c r="F958" s="20"/>
      <c r="G958" s="43"/>
      <c r="H958" s="43"/>
      <c r="I958" s="43"/>
      <c r="J958" s="63"/>
      <c r="K958" s="43"/>
      <c r="L958" s="43"/>
      <c r="M958" s="43"/>
      <c r="N958" s="43"/>
      <c r="O958" s="43"/>
      <c r="P958" s="43"/>
      <c r="Q958" s="43"/>
      <c r="R958" s="43"/>
      <c r="S958" s="43"/>
      <c r="T958" s="43"/>
      <c r="U958" s="43"/>
      <c r="V958" s="43"/>
      <c r="W958" s="43"/>
      <c r="X958" s="43"/>
      <c r="Y958" s="43"/>
      <c r="Z958" s="43"/>
    </row>
    <row r="959">
      <c r="A959" s="67"/>
      <c r="B959" s="67"/>
      <c r="C959" s="68"/>
      <c r="D959" s="70"/>
      <c r="E959" s="68"/>
      <c r="F959" s="20"/>
      <c r="G959" s="43"/>
      <c r="H959" s="43"/>
      <c r="I959" s="43"/>
      <c r="J959" s="63"/>
      <c r="K959" s="43"/>
      <c r="L959" s="43"/>
      <c r="M959" s="43"/>
      <c r="N959" s="43"/>
      <c r="O959" s="43"/>
      <c r="P959" s="43"/>
      <c r="Q959" s="43"/>
      <c r="R959" s="43"/>
      <c r="S959" s="43"/>
      <c r="T959" s="43"/>
      <c r="U959" s="43"/>
      <c r="V959" s="43"/>
      <c r="W959" s="43"/>
      <c r="X959" s="43"/>
      <c r="Y959" s="43"/>
      <c r="Z959" s="43"/>
    </row>
    <row r="960">
      <c r="A960" s="67"/>
      <c r="B960" s="67"/>
      <c r="C960" s="68"/>
      <c r="D960" s="70"/>
      <c r="E960" s="68"/>
      <c r="F960" s="20"/>
      <c r="G960" s="43"/>
      <c r="H960" s="43"/>
      <c r="I960" s="43"/>
      <c r="J960" s="63"/>
      <c r="K960" s="43"/>
      <c r="L960" s="43"/>
      <c r="M960" s="43"/>
      <c r="N960" s="43"/>
      <c r="O960" s="43"/>
      <c r="P960" s="43"/>
      <c r="Q960" s="43"/>
      <c r="R960" s="43"/>
      <c r="S960" s="43"/>
      <c r="T960" s="43"/>
      <c r="U960" s="43"/>
      <c r="V960" s="43"/>
      <c r="W960" s="43"/>
      <c r="X960" s="43"/>
      <c r="Y960" s="43"/>
      <c r="Z960" s="43"/>
    </row>
    <row r="961">
      <c r="A961" s="67"/>
      <c r="B961" s="67"/>
      <c r="C961" s="68"/>
      <c r="D961" s="70"/>
      <c r="E961" s="68"/>
      <c r="F961" s="20"/>
      <c r="G961" s="43"/>
      <c r="H961" s="43"/>
      <c r="I961" s="43"/>
      <c r="J961" s="63"/>
      <c r="K961" s="43"/>
      <c r="L961" s="43"/>
      <c r="M961" s="43"/>
      <c r="N961" s="43"/>
      <c r="O961" s="43"/>
      <c r="P961" s="43"/>
      <c r="Q961" s="43"/>
      <c r="R961" s="43"/>
      <c r="S961" s="43"/>
      <c r="T961" s="43"/>
      <c r="U961" s="43"/>
      <c r="V961" s="43"/>
      <c r="W961" s="43"/>
      <c r="X961" s="43"/>
      <c r="Y961" s="43"/>
      <c r="Z961" s="43"/>
    </row>
    <row r="962">
      <c r="A962" s="67"/>
      <c r="B962" s="67"/>
      <c r="C962" s="68"/>
      <c r="D962" s="70"/>
      <c r="E962" s="68"/>
      <c r="F962" s="20"/>
      <c r="G962" s="43"/>
      <c r="H962" s="43"/>
      <c r="I962" s="43"/>
      <c r="J962" s="63"/>
      <c r="K962" s="43"/>
      <c r="L962" s="43"/>
      <c r="M962" s="43"/>
      <c r="N962" s="43"/>
      <c r="O962" s="43"/>
      <c r="P962" s="43"/>
      <c r="Q962" s="43"/>
      <c r="R962" s="43"/>
      <c r="S962" s="43"/>
      <c r="T962" s="43"/>
      <c r="U962" s="43"/>
      <c r="V962" s="43"/>
      <c r="W962" s="43"/>
      <c r="X962" s="43"/>
      <c r="Y962" s="43"/>
      <c r="Z962" s="43"/>
    </row>
    <row r="963">
      <c r="A963" s="67"/>
      <c r="B963" s="67"/>
      <c r="C963" s="68"/>
      <c r="D963" s="70"/>
      <c r="E963" s="68"/>
      <c r="F963" s="20"/>
      <c r="G963" s="43"/>
      <c r="H963" s="43"/>
      <c r="I963" s="43"/>
      <c r="J963" s="63"/>
      <c r="K963" s="43"/>
      <c r="L963" s="43"/>
      <c r="M963" s="43"/>
      <c r="N963" s="43"/>
      <c r="O963" s="43"/>
      <c r="P963" s="43"/>
      <c r="Q963" s="43"/>
      <c r="R963" s="43"/>
      <c r="S963" s="43"/>
      <c r="T963" s="43"/>
      <c r="U963" s="43"/>
      <c r="V963" s="43"/>
      <c r="W963" s="43"/>
      <c r="X963" s="43"/>
      <c r="Y963" s="43"/>
      <c r="Z963" s="43"/>
    </row>
    <row r="964">
      <c r="A964" s="67"/>
      <c r="B964" s="67"/>
      <c r="C964" s="68"/>
      <c r="D964" s="70"/>
      <c r="E964" s="68"/>
      <c r="F964" s="20"/>
      <c r="G964" s="43"/>
      <c r="H964" s="43"/>
      <c r="I964" s="43"/>
      <c r="J964" s="63"/>
      <c r="K964" s="43"/>
      <c r="L964" s="43"/>
      <c r="M964" s="43"/>
      <c r="N964" s="43"/>
      <c r="O964" s="43"/>
      <c r="P964" s="43"/>
      <c r="Q964" s="43"/>
      <c r="R964" s="43"/>
      <c r="S964" s="43"/>
      <c r="T964" s="43"/>
      <c r="U964" s="43"/>
      <c r="V964" s="43"/>
      <c r="W964" s="43"/>
      <c r="X964" s="43"/>
      <c r="Y964" s="43"/>
      <c r="Z964" s="43"/>
    </row>
    <row r="965">
      <c r="A965" s="67"/>
      <c r="B965" s="67"/>
      <c r="C965" s="68"/>
      <c r="D965" s="70"/>
      <c r="E965" s="68"/>
      <c r="F965" s="20"/>
      <c r="G965" s="43"/>
      <c r="H965" s="43"/>
      <c r="I965" s="43"/>
      <c r="J965" s="63"/>
      <c r="K965" s="43"/>
      <c r="L965" s="43"/>
      <c r="M965" s="43"/>
      <c r="N965" s="43"/>
      <c r="O965" s="43"/>
      <c r="P965" s="43"/>
      <c r="Q965" s="43"/>
      <c r="R965" s="43"/>
      <c r="S965" s="43"/>
      <c r="T965" s="43"/>
      <c r="U965" s="43"/>
      <c r="V965" s="43"/>
      <c r="W965" s="43"/>
      <c r="X965" s="43"/>
      <c r="Y965" s="43"/>
      <c r="Z965" s="43"/>
    </row>
    <row r="966">
      <c r="A966" s="67"/>
      <c r="B966" s="67"/>
      <c r="C966" s="68"/>
      <c r="D966" s="70"/>
      <c r="E966" s="68"/>
      <c r="F966" s="20"/>
      <c r="G966" s="43"/>
      <c r="H966" s="43"/>
      <c r="I966" s="43"/>
      <c r="J966" s="63"/>
      <c r="K966" s="43"/>
      <c r="L966" s="43"/>
      <c r="M966" s="43"/>
      <c r="N966" s="43"/>
      <c r="O966" s="43"/>
      <c r="P966" s="43"/>
      <c r="Q966" s="43"/>
      <c r="R966" s="43"/>
      <c r="S966" s="43"/>
      <c r="T966" s="43"/>
      <c r="U966" s="43"/>
      <c r="V966" s="43"/>
      <c r="W966" s="43"/>
      <c r="X966" s="43"/>
      <c r="Y966" s="43"/>
      <c r="Z966" s="43"/>
    </row>
    <row r="967">
      <c r="A967" s="67"/>
      <c r="B967" s="67"/>
      <c r="C967" s="68"/>
      <c r="D967" s="70"/>
      <c r="E967" s="68"/>
      <c r="F967" s="20"/>
      <c r="G967" s="43"/>
      <c r="H967" s="43"/>
      <c r="I967" s="43"/>
      <c r="J967" s="63"/>
      <c r="K967" s="43"/>
      <c r="L967" s="43"/>
      <c r="M967" s="43"/>
      <c r="N967" s="43"/>
      <c r="O967" s="43"/>
      <c r="P967" s="43"/>
      <c r="Q967" s="43"/>
      <c r="R967" s="43"/>
      <c r="S967" s="43"/>
      <c r="T967" s="43"/>
      <c r="U967" s="43"/>
      <c r="V967" s="43"/>
      <c r="W967" s="43"/>
      <c r="X967" s="43"/>
      <c r="Y967" s="43"/>
      <c r="Z967" s="43"/>
    </row>
    <row r="968">
      <c r="A968" s="67"/>
      <c r="B968" s="67"/>
      <c r="C968" s="68"/>
      <c r="D968" s="70"/>
      <c r="E968" s="68"/>
      <c r="F968" s="20"/>
      <c r="G968" s="43"/>
      <c r="H968" s="43"/>
      <c r="I968" s="43"/>
      <c r="J968" s="63"/>
      <c r="K968" s="43"/>
      <c r="L968" s="43"/>
      <c r="M968" s="43"/>
      <c r="N968" s="43"/>
      <c r="O968" s="43"/>
      <c r="P968" s="43"/>
      <c r="Q968" s="43"/>
      <c r="R968" s="43"/>
      <c r="S968" s="43"/>
      <c r="T968" s="43"/>
      <c r="U968" s="43"/>
      <c r="V968" s="43"/>
      <c r="W968" s="43"/>
      <c r="X968" s="43"/>
      <c r="Y968" s="43"/>
      <c r="Z968" s="43"/>
    </row>
    <row r="969">
      <c r="A969" s="67"/>
      <c r="B969" s="67"/>
      <c r="C969" s="68"/>
      <c r="D969" s="70"/>
      <c r="E969" s="68"/>
      <c r="F969" s="20"/>
      <c r="G969" s="43"/>
      <c r="H969" s="43"/>
      <c r="I969" s="43"/>
      <c r="J969" s="63"/>
      <c r="K969" s="43"/>
      <c r="L969" s="43"/>
      <c r="M969" s="43"/>
      <c r="N969" s="43"/>
      <c r="O969" s="43"/>
      <c r="P969" s="43"/>
      <c r="Q969" s="43"/>
      <c r="R969" s="43"/>
      <c r="S969" s="43"/>
      <c r="T969" s="43"/>
      <c r="U969" s="43"/>
      <c r="V969" s="43"/>
      <c r="W969" s="43"/>
      <c r="X969" s="43"/>
      <c r="Y969" s="43"/>
      <c r="Z969" s="43"/>
    </row>
    <row r="970">
      <c r="A970" s="67"/>
      <c r="B970" s="67"/>
      <c r="C970" s="68"/>
      <c r="D970" s="70"/>
      <c r="E970" s="68"/>
      <c r="F970" s="20"/>
      <c r="G970" s="43"/>
      <c r="H970" s="43"/>
      <c r="I970" s="43"/>
      <c r="J970" s="63"/>
      <c r="K970" s="43"/>
      <c r="L970" s="43"/>
      <c r="M970" s="43"/>
      <c r="N970" s="43"/>
      <c r="O970" s="43"/>
      <c r="P970" s="43"/>
      <c r="Q970" s="43"/>
      <c r="R970" s="43"/>
      <c r="S970" s="43"/>
      <c r="T970" s="43"/>
      <c r="U970" s="43"/>
      <c r="V970" s="43"/>
      <c r="W970" s="43"/>
      <c r="X970" s="43"/>
      <c r="Y970" s="43"/>
      <c r="Z970" s="43"/>
    </row>
    <row r="971">
      <c r="A971" s="67"/>
      <c r="B971" s="67"/>
      <c r="C971" s="68"/>
      <c r="D971" s="70"/>
      <c r="E971" s="68"/>
      <c r="F971" s="20"/>
      <c r="G971" s="43"/>
      <c r="H971" s="43"/>
      <c r="I971" s="43"/>
      <c r="J971" s="63"/>
      <c r="K971" s="43"/>
      <c r="L971" s="43"/>
      <c r="M971" s="43"/>
      <c r="N971" s="43"/>
      <c r="O971" s="43"/>
      <c r="P971" s="43"/>
      <c r="Q971" s="43"/>
      <c r="R971" s="43"/>
      <c r="S971" s="43"/>
      <c r="T971" s="43"/>
      <c r="U971" s="43"/>
      <c r="V971" s="43"/>
      <c r="W971" s="43"/>
      <c r="X971" s="43"/>
      <c r="Y971" s="43"/>
      <c r="Z971" s="43"/>
    </row>
    <row r="972">
      <c r="A972" s="67"/>
      <c r="B972" s="67"/>
      <c r="C972" s="68"/>
      <c r="D972" s="70"/>
      <c r="E972" s="68"/>
      <c r="F972" s="20"/>
      <c r="G972" s="43"/>
      <c r="H972" s="43"/>
      <c r="I972" s="43"/>
      <c r="J972" s="63"/>
      <c r="K972" s="43"/>
      <c r="L972" s="43"/>
      <c r="M972" s="43"/>
      <c r="N972" s="43"/>
      <c r="O972" s="43"/>
      <c r="P972" s="43"/>
      <c r="Q972" s="43"/>
      <c r="R972" s="43"/>
      <c r="S972" s="43"/>
      <c r="T972" s="43"/>
      <c r="U972" s="43"/>
      <c r="V972" s="43"/>
      <c r="W972" s="43"/>
      <c r="X972" s="43"/>
      <c r="Y972" s="43"/>
      <c r="Z972" s="43"/>
    </row>
    <row r="973">
      <c r="A973" s="67"/>
      <c r="B973" s="67"/>
      <c r="C973" s="68"/>
      <c r="D973" s="70"/>
      <c r="E973" s="68"/>
      <c r="F973" s="20"/>
      <c r="G973" s="43"/>
      <c r="H973" s="43"/>
      <c r="I973" s="43"/>
      <c r="J973" s="63"/>
      <c r="K973" s="43"/>
      <c r="L973" s="43"/>
      <c r="M973" s="43"/>
      <c r="N973" s="43"/>
      <c r="O973" s="43"/>
      <c r="P973" s="43"/>
      <c r="Q973" s="43"/>
      <c r="R973" s="43"/>
      <c r="S973" s="43"/>
      <c r="T973" s="43"/>
      <c r="U973" s="43"/>
      <c r="V973" s="43"/>
      <c r="W973" s="43"/>
      <c r="X973" s="43"/>
      <c r="Y973" s="43"/>
      <c r="Z973" s="43"/>
    </row>
    <row r="974">
      <c r="A974" s="67"/>
      <c r="B974" s="67"/>
      <c r="C974" s="68"/>
      <c r="D974" s="70"/>
      <c r="E974" s="68"/>
      <c r="F974" s="20"/>
      <c r="G974" s="43"/>
      <c r="H974" s="43"/>
      <c r="I974" s="43"/>
      <c r="J974" s="63"/>
      <c r="K974" s="43"/>
      <c r="L974" s="43"/>
      <c r="M974" s="43"/>
      <c r="N974" s="43"/>
      <c r="O974" s="43"/>
      <c r="P974" s="43"/>
      <c r="Q974" s="43"/>
      <c r="R974" s="43"/>
      <c r="S974" s="43"/>
      <c r="T974" s="43"/>
      <c r="U974" s="43"/>
      <c r="V974" s="43"/>
      <c r="W974" s="43"/>
      <c r="X974" s="43"/>
      <c r="Y974" s="43"/>
      <c r="Z974" s="43"/>
    </row>
    <row r="975">
      <c r="A975" s="67"/>
      <c r="B975" s="67"/>
      <c r="C975" s="68"/>
      <c r="D975" s="70"/>
      <c r="E975" s="68"/>
      <c r="F975" s="20"/>
      <c r="G975" s="43"/>
      <c r="H975" s="43"/>
      <c r="I975" s="43"/>
      <c r="J975" s="63"/>
      <c r="K975" s="43"/>
      <c r="L975" s="43"/>
      <c r="M975" s="43"/>
      <c r="N975" s="43"/>
      <c r="O975" s="43"/>
      <c r="P975" s="43"/>
      <c r="Q975" s="43"/>
      <c r="R975" s="43"/>
      <c r="S975" s="43"/>
      <c r="T975" s="43"/>
      <c r="U975" s="43"/>
      <c r="V975" s="43"/>
      <c r="W975" s="43"/>
      <c r="X975" s="43"/>
      <c r="Y975" s="43"/>
      <c r="Z975" s="43"/>
    </row>
    <row r="976">
      <c r="A976" s="67"/>
      <c r="B976" s="67"/>
      <c r="C976" s="68"/>
      <c r="D976" s="70"/>
      <c r="E976" s="68"/>
      <c r="F976" s="20"/>
      <c r="G976" s="43"/>
      <c r="H976" s="43"/>
      <c r="I976" s="43"/>
      <c r="J976" s="63"/>
      <c r="K976" s="43"/>
      <c r="L976" s="43"/>
      <c r="M976" s="43"/>
      <c r="N976" s="43"/>
      <c r="O976" s="43"/>
      <c r="P976" s="43"/>
      <c r="Q976" s="43"/>
      <c r="R976" s="43"/>
      <c r="S976" s="43"/>
      <c r="T976" s="43"/>
      <c r="U976" s="43"/>
      <c r="V976" s="43"/>
      <c r="W976" s="43"/>
      <c r="X976" s="43"/>
      <c r="Y976" s="43"/>
      <c r="Z976" s="43"/>
    </row>
    <row r="977">
      <c r="A977" s="67"/>
      <c r="B977" s="67"/>
      <c r="C977" s="68"/>
      <c r="D977" s="70"/>
      <c r="E977" s="68"/>
      <c r="F977" s="20"/>
      <c r="G977" s="43"/>
      <c r="H977" s="43"/>
      <c r="I977" s="43"/>
      <c r="J977" s="63"/>
      <c r="K977" s="43"/>
      <c r="L977" s="43"/>
      <c r="M977" s="43"/>
      <c r="N977" s="43"/>
      <c r="O977" s="43"/>
      <c r="P977" s="43"/>
      <c r="Q977" s="43"/>
      <c r="R977" s="43"/>
      <c r="S977" s="43"/>
      <c r="T977" s="43"/>
      <c r="U977" s="43"/>
      <c r="V977" s="43"/>
      <c r="W977" s="43"/>
      <c r="X977" s="43"/>
      <c r="Y977" s="43"/>
      <c r="Z977" s="43"/>
    </row>
    <row r="978">
      <c r="A978" s="67"/>
      <c r="B978" s="67"/>
      <c r="C978" s="68"/>
      <c r="D978" s="70"/>
      <c r="E978" s="68"/>
      <c r="F978" s="20"/>
      <c r="G978" s="43"/>
      <c r="H978" s="43"/>
      <c r="I978" s="43"/>
      <c r="J978" s="63"/>
      <c r="K978" s="43"/>
      <c r="L978" s="43"/>
      <c r="M978" s="43"/>
      <c r="N978" s="43"/>
      <c r="O978" s="43"/>
      <c r="P978" s="43"/>
      <c r="Q978" s="43"/>
      <c r="R978" s="43"/>
      <c r="S978" s="43"/>
      <c r="T978" s="43"/>
      <c r="U978" s="43"/>
      <c r="V978" s="43"/>
      <c r="W978" s="43"/>
      <c r="X978" s="43"/>
      <c r="Y978" s="43"/>
      <c r="Z978" s="43"/>
    </row>
    <row r="979">
      <c r="A979" s="67"/>
      <c r="B979" s="67"/>
      <c r="C979" s="68"/>
      <c r="D979" s="70"/>
      <c r="E979" s="68"/>
      <c r="F979" s="20"/>
      <c r="G979" s="43"/>
      <c r="H979" s="43"/>
      <c r="I979" s="43"/>
      <c r="J979" s="63"/>
      <c r="K979" s="43"/>
      <c r="L979" s="43"/>
      <c r="M979" s="43"/>
      <c r="N979" s="43"/>
      <c r="O979" s="43"/>
      <c r="P979" s="43"/>
      <c r="Q979" s="43"/>
      <c r="R979" s="43"/>
      <c r="S979" s="43"/>
      <c r="T979" s="43"/>
      <c r="U979" s="43"/>
      <c r="V979" s="43"/>
      <c r="W979" s="43"/>
      <c r="X979" s="43"/>
      <c r="Y979" s="43"/>
      <c r="Z979" s="43"/>
    </row>
    <row r="980">
      <c r="A980" s="67"/>
      <c r="B980" s="67"/>
      <c r="C980" s="68"/>
      <c r="D980" s="70"/>
      <c r="E980" s="68"/>
      <c r="F980" s="20"/>
      <c r="G980" s="43"/>
      <c r="H980" s="43"/>
      <c r="I980" s="43"/>
      <c r="J980" s="63"/>
      <c r="K980" s="43"/>
      <c r="L980" s="43"/>
      <c r="M980" s="43"/>
      <c r="N980" s="43"/>
      <c r="O980" s="43"/>
      <c r="P980" s="43"/>
      <c r="Q980" s="43"/>
      <c r="R980" s="43"/>
      <c r="S980" s="43"/>
      <c r="T980" s="43"/>
      <c r="U980" s="43"/>
      <c r="V980" s="43"/>
      <c r="W980" s="43"/>
      <c r="X980" s="43"/>
      <c r="Y980" s="43"/>
      <c r="Z980" s="43"/>
    </row>
    <row r="981">
      <c r="A981" s="67"/>
      <c r="B981" s="67"/>
      <c r="C981" s="68"/>
      <c r="D981" s="70"/>
      <c r="E981" s="68"/>
      <c r="F981" s="20"/>
      <c r="G981" s="43"/>
      <c r="H981" s="43"/>
      <c r="I981" s="43"/>
      <c r="J981" s="63"/>
      <c r="K981" s="43"/>
      <c r="L981" s="43"/>
      <c r="M981" s="43"/>
      <c r="N981" s="43"/>
      <c r="O981" s="43"/>
      <c r="P981" s="43"/>
      <c r="Q981" s="43"/>
      <c r="R981" s="43"/>
      <c r="S981" s="43"/>
      <c r="T981" s="43"/>
      <c r="U981" s="43"/>
      <c r="V981" s="43"/>
      <c r="W981" s="43"/>
      <c r="X981" s="43"/>
      <c r="Y981" s="43"/>
      <c r="Z981" s="43"/>
    </row>
    <row r="982">
      <c r="A982" s="67"/>
      <c r="B982" s="67"/>
      <c r="C982" s="68"/>
      <c r="D982" s="70"/>
      <c r="E982" s="68"/>
      <c r="F982" s="20"/>
      <c r="G982" s="43"/>
      <c r="H982" s="43"/>
      <c r="I982" s="43"/>
      <c r="J982" s="63"/>
      <c r="K982" s="43"/>
      <c r="L982" s="43"/>
      <c r="M982" s="43"/>
      <c r="N982" s="43"/>
      <c r="O982" s="43"/>
      <c r="P982" s="43"/>
      <c r="Q982" s="43"/>
      <c r="R982" s="43"/>
      <c r="S982" s="43"/>
      <c r="T982" s="43"/>
      <c r="U982" s="43"/>
      <c r="V982" s="43"/>
      <c r="W982" s="43"/>
      <c r="X982" s="43"/>
      <c r="Y982" s="43"/>
      <c r="Z982" s="43"/>
    </row>
    <row r="983">
      <c r="A983" s="67"/>
      <c r="B983" s="67"/>
      <c r="C983" s="68"/>
      <c r="D983" s="70"/>
      <c r="E983" s="68"/>
      <c r="F983" s="20"/>
      <c r="G983" s="43"/>
      <c r="H983" s="43"/>
      <c r="I983" s="43"/>
      <c r="J983" s="63"/>
      <c r="K983" s="43"/>
      <c r="L983" s="43"/>
      <c r="M983" s="43"/>
      <c r="N983" s="43"/>
      <c r="O983" s="43"/>
      <c r="P983" s="43"/>
      <c r="Q983" s="43"/>
      <c r="R983" s="43"/>
      <c r="S983" s="43"/>
      <c r="T983" s="43"/>
      <c r="U983" s="43"/>
      <c r="V983" s="43"/>
      <c r="W983" s="43"/>
      <c r="X983" s="43"/>
      <c r="Y983" s="43"/>
      <c r="Z983" s="43"/>
    </row>
    <row r="984">
      <c r="A984" s="67"/>
      <c r="B984" s="67"/>
      <c r="C984" s="68"/>
      <c r="D984" s="70"/>
      <c r="E984" s="68"/>
      <c r="F984" s="20"/>
      <c r="G984" s="43"/>
      <c r="H984" s="43"/>
      <c r="I984" s="43"/>
      <c r="J984" s="63"/>
      <c r="K984" s="43"/>
      <c r="L984" s="43"/>
      <c r="M984" s="43"/>
      <c r="N984" s="43"/>
      <c r="O984" s="43"/>
      <c r="P984" s="43"/>
      <c r="Q984" s="43"/>
      <c r="R984" s="43"/>
      <c r="S984" s="43"/>
      <c r="T984" s="43"/>
      <c r="U984" s="43"/>
      <c r="V984" s="43"/>
      <c r="W984" s="43"/>
      <c r="X984" s="43"/>
      <c r="Y984" s="43"/>
      <c r="Z984" s="4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62.63"/>
    <col customWidth="1" min="3" max="3" width="16.25"/>
    <col customWidth="1" min="4" max="4" width="62.63"/>
    <col customWidth="1" min="5" max="5" width="10.38"/>
    <col customWidth="1" min="6" max="6" width="11.63"/>
    <col customWidth="1" min="7" max="7" width="31.88"/>
    <col customWidth="1" min="8" max="8" width="11.88"/>
    <col customWidth="1" min="9" max="9" width="17.5"/>
  </cols>
  <sheetData>
    <row r="1" ht="15.75" customHeight="1">
      <c r="A1" s="26" t="s">
        <v>0</v>
      </c>
      <c r="B1" s="28" t="s">
        <v>3272</v>
      </c>
      <c r="C1" s="27" t="s">
        <v>1</v>
      </c>
      <c r="D1" s="29" t="s">
        <v>3273</v>
      </c>
      <c r="E1" s="30" t="s">
        <v>3274</v>
      </c>
      <c r="F1" s="30" t="s">
        <v>3275</v>
      </c>
      <c r="G1" s="31" t="s">
        <v>7</v>
      </c>
      <c r="H1" s="32" t="s">
        <v>3276</v>
      </c>
      <c r="I1" s="33"/>
      <c r="J1" s="34"/>
      <c r="K1" s="34"/>
      <c r="L1" s="34"/>
      <c r="M1" s="34"/>
      <c r="N1" s="34"/>
      <c r="O1" s="34"/>
      <c r="P1" s="34"/>
      <c r="Q1" s="34"/>
      <c r="R1" s="34"/>
      <c r="S1" s="34"/>
      <c r="T1" s="34"/>
      <c r="U1" s="34"/>
      <c r="V1" s="34"/>
      <c r="W1" s="34"/>
      <c r="X1" s="34"/>
      <c r="Y1" s="34"/>
      <c r="Z1" s="34"/>
    </row>
    <row r="2" ht="15.75" customHeight="1">
      <c r="A2" s="35" t="s">
        <v>3172</v>
      </c>
      <c r="B2" s="37" t="s">
        <v>3277</v>
      </c>
      <c r="C2" s="36">
        <v>1.0</v>
      </c>
      <c r="D2" s="38" t="s">
        <v>3278</v>
      </c>
      <c r="E2" s="39" t="s">
        <v>3279</v>
      </c>
      <c r="F2" s="39" t="s">
        <v>3280</v>
      </c>
      <c r="G2" s="40" t="s">
        <v>3281</v>
      </c>
      <c r="H2" s="41" t="s">
        <v>3282</v>
      </c>
      <c r="I2" s="42"/>
    </row>
    <row r="3" ht="15.75" customHeight="1">
      <c r="A3" s="35" t="s">
        <v>3237</v>
      </c>
      <c r="B3" s="37" t="s">
        <v>3283</v>
      </c>
      <c r="C3" s="36">
        <v>2.0</v>
      </c>
      <c r="D3" s="38" t="s">
        <v>3284</v>
      </c>
      <c r="E3" s="39" t="s">
        <v>3285</v>
      </c>
      <c r="F3" s="39" t="s">
        <v>3286</v>
      </c>
      <c r="G3" s="40" t="s">
        <v>3281</v>
      </c>
      <c r="H3" s="41" t="s">
        <v>3287</v>
      </c>
      <c r="I3" s="42"/>
    </row>
    <row r="4" ht="15.75" customHeight="1">
      <c r="A4" s="35" t="s">
        <v>3260</v>
      </c>
      <c r="B4" s="37" t="s">
        <v>3288</v>
      </c>
      <c r="C4" s="36">
        <v>1.0</v>
      </c>
      <c r="D4" s="38" t="s">
        <v>3289</v>
      </c>
      <c r="E4" s="39" t="s">
        <v>3290</v>
      </c>
      <c r="F4" s="39" t="s">
        <v>3291</v>
      </c>
      <c r="G4" s="40" t="s">
        <v>3281</v>
      </c>
      <c r="H4" s="41" t="s">
        <v>3292</v>
      </c>
      <c r="I4" s="42"/>
    </row>
    <row r="5" ht="15.75" customHeight="1">
      <c r="A5" s="35" t="s">
        <v>3263</v>
      </c>
      <c r="B5" s="37" t="s">
        <v>3293</v>
      </c>
      <c r="C5" s="36">
        <v>1.0</v>
      </c>
      <c r="D5" s="38" t="s">
        <v>3294</v>
      </c>
      <c r="E5" s="39" t="s">
        <v>3295</v>
      </c>
      <c r="F5" s="39" t="s">
        <v>3296</v>
      </c>
      <c r="G5" s="40" t="s">
        <v>3281</v>
      </c>
      <c r="H5" s="41" t="s">
        <v>3297</v>
      </c>
      <c r="I5" s="42"/>
    </row>
    <row r="6" ht="15.75" customHeight="1">
      <c r="A6" s="35" t="s">
        <v>3242</v>
      </c>
      <c r="B6" s="37" t="s">
        <v>3298</v>
      </c>
      <c r="C6" s="36">
        <v>1.0</v>
      </c>
      <c r="D6" s="38" t="s">
        <v>3299</v>
      </c>
      <c r="E6" s="39" t="s">
        <v>3300</v>
      </c>
      <c r="F6" s="39" t="s">
        <v>3301</v>
      </c>
      <c r="G6" s="40" t="s">
        <v>3281</v>
      </c>
      <c r="H6" s="41" t="s">
        <v>3302</v>
      </c>
      <c r="I6" s="42"/>
    </row>
    <row r="7" ht="15.75" customHeight="1">
      <c r="A7" s="35" t="s">
        <v>3265</v>
      </c>
      <c r="B7" s="37" t="s">
        <v>3303</v>
      </c>
      <c r="C7" s="36">
        <v>1.0</v>
      </c>
      <c r="D7" s="38" t="s">
        <v>3304</v>
      </c>
      <c r="E7" s="39" t="s">
        <v>3305</v>
      </c>
      <c r="F7" s="39" t="s">
        <v>3306</v>
      </c>
      <c r="G7" s="40" t="s">
        <v>3281</v>
      </c>
      <c r="H7" s="41" t="s">
        <v>3307</v>
      </c>
      <c r="I7" s="42"/>
    </row>
    <row r="8" ht="15.75" customHeight="1">
      <c r="A8" s="35" t="s">
        <v>3185</v>
      </c>
      <c r="B8" s="37" t="s">
        <v>3308</v>
      </c>
      <c r="C8" s="36">
        <v>1.0</v>
      </c>
      <c r="D8" s="38" t="s">
        <v>3309</v>
      </c>
      <c r="E8" s="39" t="s">
        <v>3310</v>
      </c>
      <c r="F8" s="39" t="s">
        <v>3311</v>
      </c>
      <c r="G8" s="40" t="s">
        <v>3281</v>
      </c>
      <c r="H8" s="41" t="s">
        <v>3312</v>
      </c>
      <c r="I8" s="42"/>
    </row>
    <row r="9" ht="15.75" customHeight="1">
      <c r="A9" s="35" t="s">
        <v>3253</v>
      </c>
      <c r="B9" s="44" t="s">
        <v>3313</v>
      </c>
      <c r="C9" s="36">
        <v>1.0</v>
      </c>
      <c r="D9" s="38" t="s">
        <v>3314</v>
      </c>
      <c r="E9" s="39" t="s">
        <v>3315</v>
      </c>
      <c r="F9" s="39" t="s">
        <v>3316</v>
      </c>
      <c r="G9" s="40" t="s">
        <v>3281</v>
      </c>
      <c r="H9" s="41" t="s">
        <v>3317</v>
      </c>
      <c r="I9" s="42"/>
    </row>
    <row r="10" ht="15.75" customHeight="1">
      <c r="A10" s="35" t="s">
        <v>3268</v>
      </c>
      <c r="B10" s="44" t="s">
        <v>3318</v>
      </c>
      <c r="C10" s="36">
        <v>1.0</v>
      </c>
      <c r="D10" s="38" t="s">
        <v>3319</v>
      </c>
      <c r="E10" s="39" t="s">
        <v>3320</v>
      </c>
      <c r="F10" s="39" t="s">
        <v>3321</v>
      </c>
      <c r="G10" s="40" t="s">
        <v>3281</v>
      </c>
      <c r="H10" s="41" t="s">
        <v>3322</v>
      </c>
      <c r="I10" s="42"/>
    </row>
    <row r="11" ht="15.75" customHeight="1">
      <c r="A11" s="35" t="s">
        <v>3230</v>
      </c>
      <c r="B11" s="44" t="s">
        <v>3323</v>
      </c>
      <c r="C11" s="36">
        <v>1.0</v>
      </c>
      <c r="D11" s="38" t="s">
        <v>3324</v>
      </c>
      <c r="E11" s="39" t="s">
        <v>3325</v>
      </c>
      <c r="F11" s="39" t="s">
        <v>3326</v>
      </c>
      <c r="G11" s="40" t="s">
        <v>3281</v>
      </c>
      <c r="H11" s="41" t="s">
        <v>3327</v>
      </c>
      <c r="I11" s="42"/>
    </row>
    <row r="12" ht="15.75" customHeight="1">
      <c r="A12" s="35" t="s">
        <v>3226</v>
      </c>
      <c r="B12" s="44" t="s">
        <v>3328</v>
      </c>
      <c r="C12" s="36">
        <v>1.0</v>
      </c>
      <c r="D12" s="38" t="s">
        <v>3329</v>
      </c>
      <c r="E12" s="39" t="s">
        <v>3330</v>
      </c>
      <c r="F12" s="39" t="s">
        <v>3331</v>
      </c>
      <c r="G12" s="40" t="s">
        <v>3281</v>
      </c>
      <c r="H12" s="41" t="s">
        <v>3332</v>
      </c>
      <c r="I12" s="42"/>
    </row>
    <row r="13" ht="15.75" customHeight="1">
      <c r="A13" s="35" t="s">
        <v>3213</v>
      </c>
      <c r="B13" s="44" t="s">
        <v>3333</v>
      </c>
      <c r="C13" s="36">
        <v>2.0</v>
      </c>
      <c r="D13" s="38" t="s">
        <v>3334</v>
      </c>
      <c r="E13" s="39" t="s">
        <v>3335</v>
      </c>
      <c r="F13" s="39" t="s">
        <v>3336</v>
      </c>
      <c r="G13" s="40" t="s">
        <v>3281</v>
      </c>
      <c r="H13" s="41" t="s">
        <v>3337</v>
      </c>
      <c r="I13" s="42"/>
    </row>
    <row r="14" ht="15.75" customHeight="1">
      <c r="A14" s="35" t="s">
        <v>3270</v>
      </c>
      <c r="B14" s="37" t="s">
        <v>3338</v>
      </c>
      <c r="C14" s="36">
        <v>3.0</v>
      </c>
      <c r="D14" s="38" t="s">
        <v>3339</v>
      </c>
      <c r="E14" s="39" t="s">
        <v>3340</v>
      </c>
      <c r="F14" s="39" t="s">
        <v>3341</v>
      </c>
      <c r="G14" s="40" t="s">
        <v>3281</v>
      </c>
      <c r="H14" s="41" t="s">
        <v>3342</v>
      </c>
      <c r="I14" s="42"/>
    </row>
    <row r="15" ht="15.75" customHeight="1">
      <c r="A15" s="35" t="s">
        <v>3179</v>
      </c>
      <c r="B15" s="40" t="s">
        <v>3343</v>
      </c>
      <c r="C15" s="36">
        <v>1.0</v>
      </c>
      <c r="D15" s="45" t="s">
        <v>3344</v>
      </c>
      <c r="E15" s="39" t="s">
        <v>3345</v>
      </c>
      <c r="F15" s="39" t="s">
        <v>3346</v>
      </c>
      <c r="G15" s="40" t="s">
        <v>3281</v>
      </c>
      <c r="H15" s="46" t="s">
        <v>3347</v>
      </c>
      <c r="I15" s="42"/>
    </row>
    <row r="16" ht="15.75" customHeight="1">
      <c r="A16" s="35" t="s">
        <v>3240</v>
      </c>
      <c r="B16" s="40" t="s">
        <v>3348</v>
      </c>
      <c r="C16" s="36">
        <v>2.0</v>
      </c>
      <c r="D16" s="38" t="s">
        <v>3349</v>
      </c>
      <c r="E16" s="39" t="s">
        <v>3305</v>
      </c>
      <c r="F16" s="39" t="s">
        <v>3306</v>
      </c>
      <c r="G16" s="40" t="s">
        <v>3281</v>
      </c>
      <c r="H16" s="46" t="s">
        <v>3350</v>
      </c>
      <c r="I16" s="42"/>
    </row>
    <row r="17" ht="15.75" customHeight="1">
      <c r="A17" s="35" t="s">
        <v>3261</v>
      </c>
      <c r="B17" s="40" t="s">
        <v>3351</v>
      </c>
      <c r="C17" s="36">
        <v>4.0</v>
      </c>
      <c r="D17" s="38" t="s">
        <v>3352</v>
      </c>
      <c r="E17" s="39" t="s">
        <v>3353</v>
      </c>
      <c r="F17" s="39" t="s">
        <v>3354</v>
      </c>
      <c r="G17" s="40" t="s">
        <v>3355</v>
      </c>
      <c r="H17" s="46" t="s">
        <v>3356</v>
      </c>
      <c r="I17" s="42"/>
    </row>
    <row r="18" ht="15.75" customHeight="1">
      <c r="A18" s="35" t="s">
        <v>3264</v>
      </c>
      <c r="B18" s="40" t="s">
        <v>3357</v>
      </c>
      <c r="C18" s="36">
        <v>4.0</v>
      </c>
      <c r="D18" s="38" t="s">
        <v>3358</v>
      </c>
      <c r="E18" s="39" t="s">
        <v>3353</v>
      </c>
      <c r="F18" s="39" t="s">
        <v>3354</v>
      </c>
      <c r="G18" s="40" t="s">
        <v>3359</v>
      </c>
      <c r="H18" s="46" t="s">
        <v>3360</v>
      </c>
      <c r="I18" s="42"/>
    </row>
    <row r="19" ht="15.75" customHeight="1">
      <c r="A19" s="35" t="s">
        <v>3250</v>
      </c>
      <c r="B19" s="40" t="s">
        <v>3361</v>
      </c>
      <c r="C19" s="36">
        <v>4.0</v>
      </c>
      <c r="D19" s="38" t="s">
        <v>3362</v>
      </c>
      <c r="E19" s="39" t="s">
        <v>3363</v>
      </c>
      <c r="F19" s="39" t="s">
        <v>3364</v>
      </c>
      <c r="G19" s="40" t="s">
        <v>3365</v>
      </c>
      <c r="H19" s="46" t="s">
        <v>3366</v>
      </c>
      <c r="I19" s="42"/>
    </row>
    <row r="20" ht="15.75" customHeight="1">
      <c r="A20" s="35" t="s">
        <v>3217</v>
      </c>
      <c r="B20" s="40" t="s">
        <v>3367</v>
      </c>
      <c r="C20" s="36">
        <v>5.0</v>
      </c>
      <c r="D20" s="38" t="s">
        <v>3368</v>
      </c>
      <c r="E20" s="39" t="s">
        <v>3363</v>
      </c>
      <c r="F20" s="39" t="s">
        <v>3364</v>
      </c>
      <c r="G20" s="40" t="s">
        <v>3369</v>
      </c>
      <c r="H20" s="46" t="s">
        <v>3370</v>
      </c>
      <c r="I20" s="42"/>
    </row>
    <row r="21" ht="15.75" customHeight="1">
      <c r="A21" s="35" t="s">
        <v>3209</v>
      </c>
      <c r="B21" s="40" t="s">
        <v>3371</v>
      </c>
      <c r="C21" s="36">
        <v>4.0</v>
      </c>
      <c r="D21" s="38" t="s">
        <v>3372</v>
      </c>
      <c r="E21" s="39" t="s">
        <v>3353</v>
      </c>
      <c r="F21" s="39" t="s">
        <v>3354</v>
      </c>
      <c r="G21" s="40" t="s">
        <v>3373</v>
      </c>
      <c r="H21" s="46" t="s">
        <v>3374</v>
      </c>
      <c r="I21" s="42"/>
    </row>
    <row r="22" ht="15.75" customHeight="1">
      <c r="A22" s="35" t="s">
        <v>3246</v>
      </c>
      <c r="B22" s="40" t="s">
        <v>3375</v>
      </c>
      <c r="C22" s="36">
        <v>4.0</v>
      </c>
      <c r="D22" s="38" t="s">
        <v>3376</v>
      </c>
      <c r="E22" s="39" t="s">
        <v>3377</v>
      </c>
      <c r="F22" s="39" t="s">
        <v>3378</v>
      </c>
      <c r="G22" s="40" t="s">
        <v>3379</v>
      </c>
      <c r="H22" s="46" t="s">
        <v>3350</v>
      </c>
      <c r="I22" s="42"/>
    </row>
    <row r="23" ht="15.75" customHeight="1">
      <c r="A23" s="35" t="s">
        <v>3195</v>
      </c>
      <c r="B23" s="40" t="s">
        <v>3380</v>
      </c>
      <c r="C23" s="36">
        <v>4.0</v>
      </c>
      <c r="D23" s="38" t="s">
        <v>3381</v>
      </c>
      <c r="E23" s="39" t="s">
        <v>3363</v>
      </c>
      <c r="F23" s="39" t="s">
        <v>3364</v>
      </c>
      <c r="G23" s="40" t="s">
        <v>3382</v>
      </c>
      <c r="H23" s="46" t="s">
        <v>3366</v>
      </c>
      <c r="I23" s="42"/>
    </row>
    <row r="24" ht="15.75" customHeight="1">
      <c r="A24" s="35" t="s">
        <v>3187</v>
      </c>
      <c r="B24" s="40" t="s">
        <v>3383</v>
      </c>
      <c r="C24" s="36">
        <v>4.0</v>
      </c>
      <c r="D24" s="38" t="s">
        <v>3384</v>
      </c>
      <c r="E24" s="39" t="s">
        <v>3353</v>
      </c>
      <c r="F24" s="39" t="s">
        <v>3354</v>
      </c>
      <c r="G24" s="40" t="s">
        <v>3385</v>
      </c>
      <c r="H24" s="46" t="s">
        <v>3360</v>
      </c>
      <c r="I24" s="42"/>
    </row>
    <row r="25" ht="15.75" customHeight="1">
      <c r="A25" s="35" t="s">
        <v>3208</v>
      </c>
      <c r="B25" s="40" t="s">
        <v>3386</v>
      </c>
      <c r="C25" s="36">
        <v>4.0</v>
      </c>
      <c r="D25" s="38" t="s">
        <v>3387</v>
      </c>
      <c r="E25" s="47" t="s">
        <v>3388</v>
      </c>
      <c r="F25" s="48" t="s">
        <v>3389</v>
      </c>
      <c r="G25" s="40" t="s">
        <v>3390</v>
      </c>
      <c r="H25" s="46" t="s">
        <v>3391</v>
      </c>
      <c r="I25" s="42"/>
    </row>
    <row r="26" ht="15.75" customHeight="1">
      <c r="A26" s="35" t="s">
        <v>3202</v>
      </c>
      <c r="B26" s="40" t="s">
        <v>3392</v>
      </c>
      <c r="C26" s="36">
        <v>4.0</v>
      </c>
      <c r="D26" s="38" t="s">
        <v>3393</v>
      </c>
      <c r="E26" s="48" t="s">
        <v>3394</v>
      </c>
      <c r="F26" s="48" t="s">
        <v>3395</v>
      </c>
      <c r="G26" s="40" t="s">
        <v>3396</v>
      </c>
      <c r="H26" s="46" t="s">
        <v>3307</v>
      </c>
      <c r="I26" s="42"/>
    </row>
    <row r="27" ht="15.75" customHeight="1">
      <c r="A27" s="35" t="s">
        <v>3191</v>
      </c>
      <c r="B27" s="40" t="s">
        <v>3397</v>
      </c>
      <c r="C27" s="36">
        <v>5.0</v>
      </c>
      <c r="D27" s="38" t="s">
        <v>3398</v>
      </c>
      <c r="E27" s="48" t="s">
        <v>3399</v>
      </c>
      <c r="F27" s="48" t="s">
        <v>3400</v>
      </c>
      <c r="G27" s="40" t="s">
        <v>3401</v>
      </c>
      <c r="H27" s="46" t="s">
        <v>3370</v>
      </c>
      <c r="I27" s="42"/>
    </row>
    <row r="28" ht="15.75" customHeight="1">
      <c r="A28" s="35" t="s">
        <v>3243</v>
      </c>
      <c r="B28" s="40" t="s">
        <v>3402</v>
      </c>
      <c r="C28" s="36">
        <v>4.0</v>
      </c>
      <c r="D28" s="38" t="s">
        <v>3403</v>
      </c>
      <c r="E28" s="48" t="s">
        <v>3404</v>
      </c>
      <c r="F28" s="48" t="s">
        <v>3405</v>
      </c>
      <c r="G28" s="40" t="s">
        <v>3406</v>
      </c>
      <c r="H28" s="46" t="s">
        <v>3407</v>
      </c>
      <c r="I28" s="42"/>
    </row>
    <row r="29" ht="15.75" customHeight="1">
      <c r="A29" s="35" t="s">
        <v>3218</v>
      </c>
      <c r="B29" s="40" t="s">
        <v>3408</v>
      </c>
      <c r="C29" s="36">
        <v>5.0</v>
      </c>
      <c r="D29" s="38" t="s">
        <v>3409</v>
      </c>
      <c r="E29" s="48" t="s">
        <v>3410</v>
      </c>
      <c r="F29" s="48" t="s">
        <v>3411</v>
      </c>
      <c r="G29" s="40" t="s">
        <v>3412</v>
      </c>
      <c r="H29" s="46" t="s">
        <v>3413</v>
      </c>
      <c r="I29" s="42"/>
    </row>
    <row r="30" ht="15.75" customHeight="1">
      <c r="A30" s="35" t="s">
        <v>3177</v>
      </c>
      <c r="B30" s="40" t="s">
        <v>3414</v>
      </c>
      <c r="C30" s="36">
        <v>5.0</v>
      </c>
      <c r="D30" s="38" t="s">
        <v>3415</v>
      </c>
      <c r="E30" s="48" t="s">
        <v>3416</v>
      </c>
      <c r="F30" s="48" t="s">
        <v>3417</v>
      </c>
      <c r="G30" s="40" t="s">
        <v>3418</v>
      </c>
      <c r="H30" s="46" t="s">
        <v>3370</v>
      </c>
      <c r="I30" s="42"/>
    </row>
    <row r="31" ht="15.75" customHeight="1">
      <c r="A31" s="35" t="s">
        <v>3201</v>
      </c>
      <c r="B31" s="40" t="s">
        <v>3419</v>
      </c>
      <c r="C31" s="36">
        <v>5.0</v>
      </c>
      <c r="D31" s="38" t="s">
        <v>3420</v>
      </c>
      <c r="E31" s="48" t="s">
        <v>3421</v>
      </c>
      <c r="F31" s="48" t="s">
        <v>3422</v>
      </c>
      <c r="G31" s="40" t="s">
        <v>3373</v>
      </c>
      <c r="H31" s="46" t="s">
        <v>3370</v>
      </c>
      <c r="I31" s="42"/>
    </row>
    <row r="32" ht="15.75" customHeight="1">
      <c r="A32" s="35" t="s">
        <v>3175</v>
      </c>
      <c r="B32" s="40" t="s">
        <v>3423</v>
      </c>
      <c r="C32" s="36">
        <v>5.0</v>
      </c>
      <c r="D32" s="38" t="s">
        <v>3424</v>
      </c>
      <c r="E32" s="48" t="s">
        <v>3425</v>
      </c>
      <c r="F32" s="48" t="s">
        <v>3426</v>
      </c>
      <c r="G32" s="40" t="s">
        <v>3406</v>
      </c>
      <c r="H32" s="46" t="s">
        <v>3370</v>
      </c>
      <c r="I32" s="42"/>
    </row>
    <row r="33" ht="15.75" customHeight="1">
      <c r="A33" s="35" t="s">
        <v>3248</v>
      </c>
      <c r="B33" s="40" t="s">
        <v>3427</v>
      </c>
      <c r="C33" s="36">
        <v>3.0</v>
      </c>
      <c r="D33" s="38" t="s">
        <v>3428</v>
      </c>
      <c r="E33" s="48" t="s">
        <v>3429</v>
      </c>
      <c r="F33" s="48" t="s">
        <v>3430</v>
      </c>
      <c r="G33" s="49" t="s">
        <v>3412</v>
      </c>
      <c r="H33" s="46" t="s">
        <v>3431</v>
      </c>
      <c r="I33" s="42"/>
    </row>
    <row r="34" ht="15.75" customHeight="1">
      <c r="A34" s="35" t="s">
        <v>3267</v>
      </c>
      <c r="B34" s="40" t="s">
        <v>3432</v>
      </c>
      <c r="C34" s="36">
        <v>3.0</v>
      </c>
      <c r="D34" s="38" t="s">
        <v>3433</v>
      </c>
      <c r="E34" s="48" t="s">
        <v>3434</v>
      </c>
      <c r="F34" s="48" t="s">
        <v>3435</v>
      </c>
      <c r="G34" s="49">
        <v>45179.0</v>
      </c>
      <c r="H34" s="46" t="s">
        <v>3436</v>
      </c>
      <c r="I34" s="42"/>
    </row>
    <row r="35" ht="15.75" customHeight="1">
      <c r="A35" s="35" t="s">
        <v>3266</v>
      </c>
      <c r="B35" s="40" t="s">
        <v>3437</v>
      </c>
      <c r="C35" s="36">
        <v>3.0</v>
      </c>
      <c r="D35" s="38" t="s">
        <v>3438</v>
      </c>
      <c r="E35" s="48" t="s">
        <v>3439</v>
      </c>
      <c r="F35" s="48" t="s">
        <v>3440</v>
      </c>
      <c r="G35" s="49">
        <v>45193.0</v>
      </c>
      <c r="H35" s="50" t="s">
        <v>3441</v>
      </c>
      <c r="I35" s="42"/>
    </row>
    <row r="36" ht="15.75" customHeight="1">
      <c r="A36" s="35" t="s">
        <v>3199</v>
      </c>
      <c r="B36" s="37" t="s">
        <v>3442</v>
      </c>
      <c r="C36" s="36">
        <v>3.0</v>
      </c>
      <c r="D36" s="51" t="s">
        <v>3443</v>
      </c>
      <c r="E36" s="48" t="s">
        <v>3444</v>
      </c>
      <c r="F36" s="48" t="s">
        <v>3445</v>
      </c>
      <c r="G36" s="49">
        <v>45186.0</v>
      </c>
      <c r="H36" s="50" t="s">
        <v>3446</v>
      </c>
      <c r="I36" s="50"/>
    </row>
    <row r="37" ht="15.75" customHeight="1">
      <c r="A37" s="35" t="s">
        <v>3216</v>
      </c>
      <c r="B37" s="37" t="s">
        <v>3447</v>
      </c>
      <c r="C37" s="36">
        <v>6.0</v>
      </c>
      <c r="D37" s="52" t="s">
        <v>3448</v>
      </c>
      <c r="E37" s="53" t="s">
        <v>3449</v>
      </c>
      <c r="F37" s="53" t="s">
        <v>3449</v>
      </c>
      <c r="G37" s="40" t="s">
        <v>3450</v>
      </c>
      <c r="H37" s="50" t="s">
        <v>3446</v>
      </c>
      <c r="I37" s="50"/>
    </row>
    <row r="38" ht="15.75" customHeight="1">
      <c r="A38" s="71" t="s">
        <v>3258</v>
      </c>
      <c r="B38" s="72" t="s">
        <v>3451</v>
      </c>
      <c r="C38" s="73">
        <v>6.0</v>
      </c>
      <c r="D38" s="74" t="s">
        <v>3452</v>
      </c>
      <c r="E38" s="75" t="s">
        <v>3453</v>
      </c>
      <c r="F38" s="75" t="s">
        <v>3454</v>
      </c>
      <c r="G38" s="76" t="s">
        <v>3455</v>
      </c>
      <c r="H38" s="77" t="s">
        <v>3456</v>
      </c>
      <c r="I38" s="77"/>
      <c r="J38" s="78"/>
      <c r="K38" s="78"/>
      <c r="L38" s="78"/>
      <c r="M38" s="78"/>
      <c r="N38" s="78"/>
      <c r="O38" s="78"/>
      <c r="P38" s="78"/>
      <c r="Q38" s="78"/>
      <c r="R38" s="78"/>
      <c r="S38" s="78"/>
      <c r="T38" s="78"/>
      <c r="U38" s="78"/>
      <c r="V38" s="78"/>
      <c r="W38" s="78"/>
      <c r="X38" s="78"/>
      <c r="Y38" s="78"/>
      <c r="Z38" s="78"/>
    </row>
    <row r="39" ht="15.75" customHeight="1">
      <c r="A39" s="35" t="s">
        <v>3236</v>
      </c>
      <c r="B39" s="37" t="s">
        <v>3457</v>
      </c>
      <c r="C39" s="36">
        <v>6.0</v>
      </c>
      <c r="D39" s="51" t="s">
        <v>3458</v>
      </c>
      <c r="E39" s="48" t="s">
        <v>3449</v>
      </c>
      <c r="F39" s="48" t="s">
        <v>3449</v>
      </c>
      <c r="G39" s="40" t="s">
        <v>3459</v>
      </c>
      <c r="H39" s="50" t="s">
        <v>3460</v>
      </c>
      <c r="I39" s="50"/>
    </row>
    <row r="40" ht="15.75" customHeight="1">
      <c r="A40" s="35" t="s">
        <v>3228</v>
      </c>
      <c r="B40" s="37" t="s">
        <v>3461</v>
      </c>
      <c r="C40" s="36">
        <v>6.0</v>
      </c>
      <c r="D40" s="51" t="s">
        <v>3462</v>
      </c>
      <c r="E40" s="53" t="s">
        <v>3449</v>
      </c>
      <c r="F40" s="53" t="s">
        <v>3449</v>
      </c>
      <c r="G40" s="40" t="s">
        <v>3463</v>
      </c>
      <c r="H40" s="50" t="s">
        <v>3464</v>
      </c>
      <c r="I40" s="50"/>
    </row>
    <row r="41" ht="15.75" customHeight="1">
      <c r="A41" s="71" t="s">
        <v>3189</v>
      </c>
      <c r="B41" s="72" t="s">
        <v>3465</v>
      </c>
      <c r="C41" s="73">
        <v>6.0</v>
      </c>
      <c r="D41" s="79" t="s">
        <v>3466</v>
      </c>
      <c r="E41" s="75" t="s">
        <v>3467</v>
      </c>
      <c r="F41" s="75" t="s">
        <v>3468</v>
      </c>
      <c r="G41" s="80" t="s">
        <v>3469</v>
      </c>
      <c r="H41" s="77" t="s">
        <v>3470</v>
      </c>
      <c r="I41" s="77"/>
      <c r="J41" s="78"/>
      <c r="K41" s="78"/>
      <c r="L41" s="78"/>
      <c r="M41" s="78"/>
      <c r="N41" s="78"/>
      <c r="O41" s="78"/>
      <c r="P41" s="78"/>
      <c r="Q41" s="78"/>
      <c r="R41" s="78"/>
      <c r="S41" s="78"/>
      <c r="T41" s="78"/>
      <c r="U41" s="78"/>
      <c r="V41" s="78"/>
      <c r="W41" s="78"/>
      <c r="X41" s="78"/>
      <c r="Y41" s="78"/>
      <c r="Z41" s="78"/>
    </row>
    <row r="42" ht="15.75" customHeight="1">
      <c r="A42" s="35" t="s">
        <v>3220</v>
      </c>
      <c r="B42" s="44" t="s">
        <v>3471</v>
      </c>
      <c r="C42" s="36">
        <v>6.0</v>
      </c>
      <c r="D42" s="52" t="s">
        <v>3472</v>
      </c>
      <c r="E42" s="48" t="s">
        <v>3449</v>
      </c>
      <c r="F42" s="48" t="s">
        <v>3449</v>
      </c>
      <c r="G42" s="49">
        <v>45256.0</v>
      </c>
      <c r="H42" s="50" t="s">
        <v>3473</v>
      </c>
      <c r="I42" s="50"/>
    </row>
    <row r="43" ht="15.75" customHeight="1">
      <c r="A43" s="35" t="s">
        <v>3166</v>
      </c>
      <c r="B43" s="44" t="s">
        <v>3474</v>
      </c>
      <c r="C43" s="36">
        <v>6.0</v>
      </c>
      <c r="D43" s="52" t="s">
        <v>3475</v>
      </c>
      <c r="E43" s="48" t="s">
        <v>3449</v>
      </c>
      <c r="F43" s="48" t="s">
        <v>3449</v>
      </c>
      <c r="G43" s="40" t="s">
        <v>3463</v>
      </c>
      <c r="H43" s="50" t="s">
        <v>3476</v>
      </c>
      <c r="I43" s="50"/>
    </row>
    <row r="44" ht="15.75" customHeight="1">
      <c r="A44" s="35" t="s">
        <v>3252</v>
      </c>
      <c r="B44" s="37" t="s">
        <v>3477</v>
      </c>
      <c r="C44" s="36">
        <v>6.0</v>
      </c>
      <c r="D44" s="51" t="s">
        <v>3478</v>
      </c>
      <c r="E44" s="48" t="s">
        <v>3449</v>
      </c>
      <c r="F44" s="48" t="s">
        <v>3449</v>
      </c>
      <c r="G44" s="40" t="s">
        <v>3479</v>
      </c>
      <c r="H44" s="50" t="s">
        <v>3480</v>
      </c>
      <c r="I44" s="50"/>
    </row>
    <row r="45" ht="15.75" customHeight="1">
      <c r="A45" s="35" t="s">
        <v>3206</v>
      </c>
      <c r="B45" s="44" t="s">
        <v>3481</v>
      </c>
      <c r="C45" s="36">
        <v>6.0</v>
      </c>
      <c r="D45" s="52" t="s">
        <v>3482</v>
      </c>
      <c r="E45" s="48" t="s">
        <v>3449</v>
      </c>
      <c r="F45" s="48" t="s">
        <v>3449</v>
      </c>
      <c r="G45" s="49" t="s">
        <v>3483</v>
      </c>
      <c r="H45" s="50" t="s">
        <v>3484</v>
      </c>
      <c r="I45" s="50"/>
    </row>
    <row r="46" ht="15.75" customHeight="1">
      <c r="A46" s="35" t="s">
        <v>3247</v>
      </c>
      <c r="B46" s="44" t="s">
        <v>3485</v>
      </c>
      <c r="C46" s="36">
        <v>6.0</v>
      </c>
      <c r="D46" s="52" t="s">
        <v>3486</v>
      </c>
      <c r="E46" s="48" t="s">
        <v>3487</v>
      </c>
      <c r="F46" s="48" t="s">
        <v>3488</v>
      </c>
      <c r="G46" s="49">
        <v>45617.0</v>
      </c>
      <c r="H46" s="50" t="s">
        <v>3489</v>
      </c>
      <c r="I46" s="50"/>
    </row>
    <row r="47" ht="15.75" customHeight="1">
      <c r="A47" s="35" t="s">
        <v>3183</v>
      </c>
      <c r="B47" s="44" t="s">
        <v>3490</v>
      </c>
      <c r="C47" s="36">
        <v>6.0</v>
      </c>
      <c r="D47" s="52" t="s">
        <v>3491</v>
      </c>
      <c r="E47" s="48" t="s">
        <v>3449</v>
      </c>
      <c r="F47" s="48" t="s">
        <v>3449</v>
      </c>
      <c r="G47" s="40" t="s">
        <v>3492</v>
      </c>
      <c r="H47" s="41" t="s">
        <v>3493</v>
      </c>
      <c r="I47" s="41"/>
    </row>
    <row r="48" ht="15.75" customHeight="1">
      <c r="A48" s="35" t="s">
        <v>3251</v>
      </c>
      <c r="B48" s="37" t="s">
        <v>3494</v>
      </c>
      <c r="C48" s="36">
        <v>6.0</v>
      </c>
      <c r="D48" s="51" t="s">
        <v>3495</v>
      </c>
      <c r="E48" s="48" t="s">
        <v>3449</v>
      </c>
      <c r="F48" s="48" t="s">
        <v>3449</v>
      </c>
      <c r="G48" s="49" t="s">
        <v>3496</v>
      </c>
      <c r="H48" s="41" t="s">
        <v>3370</v>
      </c>
      <c r="I48" s="41"/>
    </row>
    <row r="49" ht="15.75" customHeight="1">
      <c r="A49" s="35" t="s">
        <v>3256</v>
      </c>
      <c r="B49" s="37" t="s">
        <v>3497</v>
      </c>
      <c r="C49" s="36">
        <v>6.0</v>
      </c>
      <c r="D49" s="51" t="s">
        <v>3498</v>
      </c>
      <c r="E49" s="48" t="s">
        <v>3449</v>
      </c>
      <c r="F49" s="48" t="s">
        <v>3449</v>
      </c>
      <c r="G49" s="49">
        <v>45260.0</v>
      </c>
      <c r="H49" s="50" t="s">
        <v>3370</v>
      </c>
      <c r="I49" s="50"/>
    </row>
    <row r="50" ht="15.75" customHeight="1">
      <c r="A50" s="35" t="s">
        <v>3269</v>
      </c>
      <c r="B50" s="44" t="s">
        <v>3499</v>
      </c>
      <c r="C50" s="36">
        <v>6.0</v>
      </c>
      <c r="D50" s="52" t="s">
        <v>3500</v>
      </c>
      <c r="E50" s="48" t="s">
        <v>3449</v>
      </c>
      <c r="F50" s="54" t="s">
        <v>3449</v>
      </c>
      <c r="G50" s="40" t="s">
        <v>3483</v>
      </c>
      <c r="H50" s="50" t="s">
        <v>3370</v>
      </c>
      <c r="I50" s="50"/>
    </row>
    <row r="51" ht="15.75" customHeight="1">
      <c r="A51" s="35" t="s">
        <v>3233</v>
      </c>
      <c r="B51" s="44" t="s">
        <v>3501</v>
      </c>
      <c r="C51" s="36">
        <v>6.0</v>
      </c>
      <c r="D51" s="52" t="s">
        <v>3502</v>
      </c>
      <c r="E51" s="48" t="s">
        <v>3503</v>
      </c>
      <c r="F51" s="48" t="s">
        <v>3504</v>
      </c>
      <c r="G51" s="40" t="s">
        <v>3505</v>
      </c>
      <c r="H51" s="41" t="s">
        <v>3370</v>
      </c>
      <c r="I51" s="41"/>
    </row>
    <row r="52" ht="15.75" customHeight="1">
      <c r="A52" s="35" t="s">
        <v>3255</v>
      </c>
      <c r="B52" s="44" t="s">
        <v>3506</v>
      </c>
      <c r="C52" s="36">
        <v>6.0</v>
      </c>
      <c r="D52" s="52" t="s">
        <v>3507</v>
      </c>
      <c r="E52" s="48" t="s">
        <v>3508</v>
      </c>
      <c r="F52" s="48" t="s">
        <v>3509</v>
      </c>
      <c r="G52" s="40" t="s">
        <v>3510</v>
      </c>
      <c r="H52" s="41" t="s">
        <v>3370</v>
      </c>
      <c r="I52" s="41"/>
    </row>
    <row r="53" ht="15.75" customHeight="1">
      <c r="A53" s="35" t="s">
        <v>3234</v>
      </c>
      <c r="B53" s="40" t="s">
        <v>3511</v>
      </c>
      <c r="C53" s="36">
        <v>6.0</v>
      </c>
      <c r="D53" s="38" t="s">
        <v>3512</v>
      </c>
      <c r="E53" s="48" t="s">
        <v>3513</v>
      </c>
      <c r="F53" s="48" t="s">
        <v>3514</v>
      </c>
      <c r="G53" s="40" t="s">
        <v>3515</v>
      </c>
      <c r="H53" s="46" t="s">
        <v>3370</v>
      </c>
      <c r="I53" s="42"/>
    </row>
    <row r="54">
      <c r="A54" s="35" t="s">
        <v>3193</v>
      </c>
      <c r="B54" s="56" t="s">
        <v>3516</v>
      </c>
      <c r="C54" s="55">
        <v>5.0</v>
      </c>
      <c r="D54" s="57" t="s">
        <v>3517</v>
      </c>
      <c r="E54" s="58" t="s">
        <v>3518</v>
      </c>
      <c r="F54" s="58" t="s">
        <v>3519</v>
      </c>
      <c r="G54" s="59" t="s">
        <v>3520</v>
      </c>
      <c r="H54" s="60" t="s">
        <v>3521</v>
      </c>
    </row>
    <row r="55">
      <c r="A55" s="35" t="s">
        <v>3229</v>
      </c>
      <c r="B55" s="56" t="s">
        <v>3522</v>
      </c>
      <c r="C55" s="55">
        <v>4.0</v>
      </c>
      <c r="D55" s="43" t="s">
        <v>3523</v>
      </c>
      <c r="E55" s="58" t="s">
        <v>3524</v>
      </c>
      <c r="F55" s="58" t="s">
        <v>3525</v>
      </c>
      <c r="G55" s="59">
        <v>45410.0</v>
      </c>
      <c r="H55" s="60" t="s">
        <v>3526</v>
      </c>
    </row>
    <row r="56">
      <c r="A56" s="35" t="s">
        <v>3231</v>
      </c>
      <c r="B56" s="56" t="s">
        <v>3527</v>
      </c>
      <c r="C56" s="55">
        <v>4.0</v>
      </c>
      <c r="D56" s="43" t="s">
        <v>3528</v>
      </c>
      <c r="E56" s="58" t="s">
        <v>3529</v>
      </c>
      <c r="F56" s="61" t="s">
        <v>3530</v>
      </c>
      <c r="G56" s="62">
        <v>45242.0</v>
      </c>
      <c r="H56" s="60" t="s">
        <v>3446</v>
      </c>
    </row>
    <row r="57">
      <c r="A57" s="35" t="s">
        <v>3223</v>
      </c>
      <c r="B57" s="56" t="s">
        <v>3531</v>
      </c>
      <c r="C57" s="55">
        <v>3.0</v>
      </c>
      <c r="D57" s="43" t="s">
        <v>3532</v>
      </c>
      <c r="E57" s="58" t="s">
        <v>3533</v>
      </c>
      <c r="F57" s="58" t="s">
        <v>3534</v>
      </c>
      <c r="G57" s="59" t="s">
        <v>3535</v>
      </c>
      <c r="H57" s="60" t="s">
        <v>3370</v>
      </c>
    </row>
    <row r="58">
      <c r="A58" s="35" t="s">
        <v>3224</v>
      </c>
      <c r="B58" s="56" t="s">
        <v>3536</v>
      </c>
      <c r="C58" s="55">
        <v>6.0</v>
      </c>
      <c r="D58" s="43" t="s">
        <v>3537</v>
      </c>
      <c r="E58" s="58" t="s">
        <v>3538</v>
      </c>
      <c r="F58" s="58" t="s">
        <v>3539</v>
      </c>
      <c r="G58" s="62">
        <v>45252.0</v>
      </c>
      <c r="H58" s="60" t="s">
        <v>3521</v>
      </c>
    </row>
    <row r="59">
      <c r="A59" s="35" t="s">
        <v>3212</v>
      </c>
      <c r="B59" s="56" t="s">
        <v>3540</v>
      </c>
      <c r="C59" s="55">
        <v>6.0</v>
      </c>
      <c r="D59" s="43" t="s">
        <v>3541</v>
      </c>
      <c r="E59" s="58" t="s">
        <v>3542</v>
      </c>
      <c r="F59" s="58" t="s">
        <v>3543</v>
      </c>
      <c r="G59" s="43" t="s">
        <v>3544</v>
      </c>
      <c r="H59" s="63" t="s">
        <v>3521</v>
      </c>
    </row>
    <row r="60">
      <c r="A60" s="35" t="s">
        <v>3259</v>
      </c>
      <c r="B60" s="64" t="s">
        <v>3545</v>
      </c>
      <c r="C60" s="65">
        <v>6.0</v>
      </c>
      <c r="D60" s="64"/>
      <c r="E60" s="66" t="s">
        <v>3542</v>
      </c>
      <c r="F60" s="58" t="s">
        <v>3543</v>
      </c>
      <c r="G60" s="43" t="s">
        <v>3281</v>
      </c>
      <c r="H60" s="63" t="s">
        <v>3370</v>
      </c>
    </row>
    <row r="61">
      <c r="A61" s="35" t="s">
        <v>3181</v>
      </c>
      <c r="B61" s="64" t="s">
        <v>3546</v>
      </c>
      <c r="C61" s="65">
        <v>1.0</v>
      </c>
      <c r="D61" s="64" t="s">
        <v>3547</v>
      </c>
      <c r="E61" s="66" t="s">
        <v>3548</v>
      </c>
      <c r="F61" s="58" t="s">
        <v>3549</v>
      </c>
      <c r="G61" s="43" t="s">
        <v>3281</v>
      </c>
      <c r="H61" s="63" t="s">
        <v>3370</v>
      </c>
    </row>
    <row r="62">
      <c r="A62" s="35" t="s">
        <v>3197</v>
      </c>
      <c r="B62" s="64" t="s">
        <v>3550</v>
      </c>
      <c r="C62" s="65">
        <v>1.0</v>
      </c>
      <c r="D62" s="64" t="s">
        <v>3551</v>
      </c>
      <c r="E62" s="66" t="s">
        <v>3552</v>
      </c>
      <c r="F62" s="58" t="s">
        <v>3553</v>
      </c>
      <c r="G62" s="43" t="s">
        <v>3281</v>
      </c>
      <c r="H62" s="63" t="s">
        <v>3370</v>
      </c>
    </row>
    <row r="63">
      <c r="A63" s="35" t="s">
        <v>3204</v>
      </c>
      <c r="B63" s="64" t="s">
        <v>3554</v>
      </c>
      <c r="C63" s="65">
        <v>1.0</v>
      </c>
      <c r="D63" s="64" t="s">
        <v>3555</v>
      </c>
      <c r="E63" s="66" t="s">
        <v>3556</v>
      </c>
      <c r="F63" s="58" t="s">
        <v>3557</v>
      </c>
      <c r="G63" s="43" t="s">
        <v>3281</v>
      </c>
      <c r="H63" s="63" t="s">
        <v>3370</v>
      </c>
    </row>
    <row r="64">
      <c r="A64" s="35" t="s">
        <v>3205</v>
      </c>
      <c r="B64" s="64" t="s">
        <v>3558</v>
      </c>
      <c r="C64" s="65">
        <v>1.0</v>
      </c>
      <c r="D64" s="64" t="s">
        <v>3547</v>
      </c>
      <c r="E64" s="66" t="s">
        <v>3559</v>
      </c>
      <c r="F64" s="58" t="s">
        <v>3560</v>
      </c>
      <c r="G64" s="43" t="s">
        <v>3281</v>
      </c>
      <c r="H64" s="63" t="s">
        <v>3370</v>
      </c>
    </row>
    <row r="65">
      <c r="A65" s="35" t="s">
        <v>3210</v>
      </c>
      <c r="B65" s="64" t="s">
        <v>3561</v>
      </c>
      <c r="C65" s="65">
        <v>1.0</v>
      </c>
      <c r="D65" s="64" t="s">
        <v>3547</v>
      </c>
      <c r="E65" s="66" t="s">
        <v>3562</v>
      </c>
      <c r="F65" s="58" t="s">
        <v>3563</v>
      </c>
      <c r="G65" s="43" t="s">
        <v>3281</v>
      </c>
      <c r="H65" s="63" t="s">
        <v>3370</v>
      </c>
    </row>
    <row r="66">
      <c r="A66" s="35" t="s">
        <v>3170</v>
      </c>
      <c r="B66" s="64" t="s">
        <v>3564</v>
      </c>
      <c r="C66" s="65">
        <v>1.0</v>
      </c>
      <c r="D66" s="64" t="s">
        <v>3565</v>
      </c>
      <c r="E66" s="66" t="s">
        <v>3566</v>
      </c>
      <c r="F66" s="58" t="s">
        <v>3567</v>
      </c>
      <c r="G66" s="43" t="s">
        <v>3281</v>
      </c>
      <c r="H66" s="63" t="s">
        <v>3370</v>
      </c>
    </row>
    <row r="67">
      <c r="A67" s="35" t="s">
        <v>3244</v>
      </c>
      <c r="B67" s="64" t="s">
        <v>3568</v>
      </c>
      <c r="C67" s="65">
        <v>1.0</v>
      </c>
      <c r="D67" s="64" t="s">
        <v>3569</v>
      </c>
      <c r="E67" s="66" t="s">
        <v>3570</v>
      </c>
      <c r="F67" s="58" t="s">
        <v>3571</v>
      </c>
      <c r="G67" s="43" t="s">
        <v>3281</v>
      </c>
      <c r="H67" s="63" t="s">
        <v>3370</v>
      </c>
    </row>
    <row r="68">
      <c r="A68" s="35" t="s">
        <v>3168</v>
      </c>
      <c r="B68" s="64" t="s">
        <v>3572</v>
      </c>
      <c r="C68" s="65">
        <v>1.0</v>
      </c>
      <c r="D68" s="64" t="s">
        <v>3573</v>
      </c>
      <c r="E68" s="66" t="s">
        <v>3574</v>
      </c>
      <c r="F68" s="58" t="s">
        <v>3575</v>
      </c>
      <c r="G68" s="43" t="s">
        <v>3281</v>
      </c>
      <c r="H68" s="63" t="s">
        <v>3370</v>
      </c>
    </row>
    <row r="69">
      <c r="A69" s="67" t="s">
        <v>3174</v>
      </c>
      <c r="B69" s="69" t="s">
        <v>3576</v>
      </c>
      <c r="C69" s="68">
        <v>1.0</v>
      </c>
      <c r="D69" s="20" t="s">
        <v>3577</v>
      </c>
      <c r="E69" s="58" t="s">
        <v>3578</v>
      </c>
      <c r="F69" s="58" t="s">
        <v>3579</v>
      </c>
      <c r="G69" s="43" t="s">
        <v>3281</v>
      </c>
      <c r="H69" s="63" t="s">
        <v>3370</v>
      </c>
    </row>
    <row r="70">
      <c r="A70" s="67" t="s">
        <v>3580</v>
      </c>
      <c r="B70" s="70" t="s">
        <v>3581</v>
      </c>
      <c r="C70" s="68">
        <v>6.0</v>
      </c>
      <c r="D70" s="20" t="s">
        <v>3582</v>
      </c>
      <c r="E70" s="58" t="s">
        <v>3353</v>
      </c>
      <c r="F70" s="58" t="s">
        <v>3354</v>
      </c>
      <c r="G70" s="43" t="s">
        <v>3583</v>
      </c>
      <c r="H70" s="63" t="s">
        <v>3584</v>
      </c>
    </row>
    <row r="71">
      <c r="A71" s="67" t="s">
        <v>3585</v>
      </c>
      <c r="B71" s="70" t="s">
        <v>3586</v>
      </c>
      <c r="C71" s="68">
        <v>6.0</v>
      </c>
      <c r="D71" s="20" t="s">
        <v>3587</v>
      </c>
      <c r="E71" s="58" t="s">
        <v>3353</v>
      </c>
      <c r="F71" s="58" t="s">
        <v>3354</v>
      </c>
      <c r="G71" s="43" t="s">
        <v>3588</v>
      </c>
      <c r="H71" s="63" t="s">
        <v>3370</v>
      </c>
    </row>
    <row r="72">
      <c r="A72" s="67" t="s">
        <v>3589</v>
      </c>
      <c r="B72" s="70" t="s">
        <v>3590</v>
      </c>
      <c r="C72" s="68">
        <v>5.0</v>
      </c>
      <c r="D72" s="20" t="s">
        <v>3591</v>
      </c>
      <c r="E72" s="58" t="s">
        <v>3353</v>
      </c>
      <c r="F72" s="58" t="s">
        <v>3354</v>
      </c>
      <c r="G72" s="43" t="s">
        <v>3588</v>
      </c>
      <c r="H72" s="63" t="s">
        <v>3370</v>
      </c>
    </row>
    <row r="73">
      <c r="A73" s="67" t="s">
        <v>3592</v>
      </c>
      <c r="B73" s="70" t="s">
        <v>3593</v>
      </c>
      <c r="C73" s="68">
        <v>5.0</v>
      </c>
      <c r="D73" s="20" t="s">
        <v>3594</v>
      </c>
      <c r="E73" s="58" t="s">
        <v>3353</v>
      </c>
      <c r="F73" s="58" t="s">
        <v>3354</v>
      </c>
      <c r="G73" s="43" t="s">
        <v>3595</v>
      </c>
      <c r="H73" s="63" t="s">
        <v>3370</v>
      </c>
    </row>
    <row r="74">
      <c r="A74" s="67" t="s">
        <v>3596</v>
      </c>
      <c r="B74" s="70" t="s">
        <v>3597</v>
      </c>
      <c r="C74" s="68">
        <v>5.0</v>
      </c>
      <c r="D74" s="20" t="s">
        <v>3598</v>
      </c>
      <c r="E74" s="58" t="s">
        <v>3353</v>
      </c>
      <c r="F74" s="58" t="s">
        <v>3354</v>
      </c>
      <c r="G74" s="43" t="s">
        <v>3599</v>
      </c>
      <c r="H74" s="63" t="s">
        <v>3370</v>
      </c>
    </row>
    <row r="75">
      <c r="A75" s="67" t="s">
        <v>3600</v>
      </c>
      <c r="B75" s="70" t="s">
        <v>3601</v>
      </c>
      <c r="C75" s="68">
        <v>5.0</v>
      </c>
      <c r="D75" s="20" t="s">
        <v>3602</v>
      </c>
      <c r="E75" s="58" t="s">
        <v>3353</v>
      </c>
      <c r="F75" s="58" t="s">
        <v>3354</v>
      </c>
      <c r="G75" s="43" t="s">
        <v>3603</v>
      </c>
      <c r="H75" s="63" t="s">
        <v>3370</v>
      </c>
    </row>
    <row r="76">
      <c r="A76" s="67" t="s">
        <v>3604</v>
      </c>
      <c r="B76" s="70" t="s">
        <v>3605</v>
      </c>
      <c r="C76" s="68">
        <v>5.0</v>
      </c>
      <c r="D76" s="20" t="s">
        <v>3606</v>
      </c>
      <c r="E76" s="58" t="s">
        <v>3353</v>
      </c>
      <c r="F76" s="58" t="s">
        <v>3354</v>
      </c>
      <c r="G76" s="43" t="s">
        <v>3607</v>
      </c>
      <c r="H76" s="63" t="s">
        <v>3370</v>
      </c>
    </row>
    <row r="77">
      <c r="A77" s="67" t="s">
        <v>3608</v>
      </c>
      <c r="B77" s="70" t="s">
        <v>3609</v>
      </c>
      <c r="C77" s="68">
        <v>5.0</v>
      </c>
      <c r="D77" s="20" t="s">
        <v>3610</v>
      </c>
      <c r="E77" s="58" t="s">
        <v>3353</v>
      </c>
      <c r="F77" s="58" t="s">
        <v>3354</v>
      </c>
      <c r="G77" s="43" t="s">
        <v>3611</v>
      </c>
      <c r="H77" s="63" t="s">
        <v>3307</v>
      </c>
    </row>
    <row r="78">
      <c r="A78" s="67" t="s">
        <v>3612</v>
      </c>
      <c r="B78" s="70" t="s">
        <v>3613</v>
      </c>
      <c r="C78" s="68">
        <v>5.0</v>
      </c>
      <c r="D78" s="20" t="s">
        <v>3614</v>
      </c>
      <c r="E78" s="58" t="s">
        <v>3353</v>
      </c>
      <c r="F78" s="58" t="s">
        <v>3354</v>
      </c>
      <c r="G78" s="43" t="s">
        <v>3611</v>
      </c>
      <c r="H78" s="63" t="s">
        <v>3307</v>
      </c>
    </row>
    <row r="79">
      <c r="A79" s="67" t="s">
        <v>3615</v>
      </c>
      <c r="B79" s="70" t="s">
        <v>3616</v>
      </c>
      <c r="C79" s="68">
        <v>5.0</v>
      </c>
      <c r="D79" s="20" t="s">
        <v>3617</v>
      </c>
      <c r="E79" s="58" t="s">
        <v>3353</v>
      </c>
      <c r="F79" s="58" t="s">
        <v>3354</v>
      </c>
      <c r="G79" s="43" t="s">
        <v>3618</v>
      </c>
      <c r="H79" s="63" t="s">
        <v>3370</v>
      </c>
    </row>
    <row r="80">
      <c r="A80" s="67" t="s">
        <v>3619</v>
      </c>
      <c r="B80" s="70" t="s">
        <v>3620</v>
      </c>
      <c r="C80" s="68">
        <v>4.0</v>
      </c>
      <c r="D80" s="20" t="s">
        <v>3621</v>
      </c>
      <c r="E80" s="58" t="s">
        <v>3353</v>
      </c>
      <c r="F80" s="58" t="s">
        <v>3354</v>
      </c>
      <c r="G80" s="62">
        <v>45398.0</v>
      </c>
      <c r="H80" s="63" t="s">
        <v>3446</v>
      </c>
    </row>
    <row r="81">
      <c r="A81" s="67" t="s">
        <v>3622</v>
      </c>
      <c r="B81" s="70" t="s">
        <v>3623</v>
      </c>
      <c r="C81" s="68">
        <v>6.0</v>
      </c>
      <c r="D81" s="20" t="s">
        <v>3624</v>
      </c>
      <c r="E81" s="58" t="s">
        <v>3353</v>
      </c>
      <c r="F81" s="58" t="s">
        <v>3354</v>
      </c>
      <c r="G81" s="43" t="s">
        <v>3625</v>
      </c>
      <c r="H81" s="63" t="s">
        <v>3370</v>
      </c>
    </row>
    <row r="82">
      <c r="A82" s="67" t="s">
        <v>3626</v>
      </c>
      <c r="B82" s="70" t="s">
        <v>3627</v>
      </c>
      <c r="C82" s="68">
        <v>1.0</v>
      </c>
      <c r="D82" s="20" t="s">
        <v>3628</v>
      </c>
      <c r="E82" s="58" t="s">
        <v>3353</v>
      </c>
      <c r="F82" s="58" t="s">
        <v>3354</v>
      </c>
      <c r="G82" s="43" t="s">
        <v>3629</v>
      </c>
      <c r="H82" s="63" t="s">
        <v>3370</v>
      </c>
    </row>
    <row r="83">
      <c r="A83" s="67" t="s">
        <v>3630</v>
      </c>
      <c r="B83" s="70" t="s">
        <v>3631</v>
      </c>
      <c r="C83" s="68">
        <v>5.0</v>
      </c>
      <c r="D83" s="20" t="s">
        <v>3632</v>
      </c>
      <c r="E83" s="58" t="s">
        <v>3353</v>
      </c>
      <c r="F83" s="58" t="s">
        <v>3354</v>
      </c>
      <c r="G83" s="43" t="s">
        <v>3633</v>
      </c>
      <c r="H83" s="63" t="s">
        <v>3521</v>
      </c>
    </row>
    <row r="84">
      <c r="A84" s="67" t="s">
        <v>3634</v>
      </c>
      <c r="B84" s="70" t="s">
        <v>3635</v>
      </c>
      <c r="C84" s="68">
        <v>5.0</v>
      </c>
      <c r="D84" s="20" t="s">
        <v>3636</v>
      </c>
      <c r="E84" s="58" t="s">
        <v>3353</v>
      </c>
      <c r="F84" s="58" t="s">
        <v>3354</v>
      </c>
      <c r="G84" s="43" t="s">
        <v>3637</v>
      </c>
      <c r="H84" s="63" t="s">
        <v>3521</v>
      </c>
    </row>
    <row r="85">
      <c r="A85" s="67" t="s">
        <v>3638</v>
      </c>
      <c r="B85" s="70" t="s">
        <v>3639</v>
      </c>
      <c r="C85" s="68">
        <v>5.0</v>
      </c>
      <c r="D85" s="20" t="s">
        <v>3640</v>
      </c>
      <c r="E85" s="58" t="s">
        <v>3353</v>
      </c>
      <c r="F85" s="58" t="s">
        <v>3354</v>
      </c>
      <c r="G85" s="43" t="s">
        <v>3641</v>
      </c>
      <c r="H85" s="63" t="s">
        <v>3370</v>
      </c>
    </row>
    <row r="86">
      <c r="A86" s="67" t="s">
        <v>3642</v>
      </c>
      <c r="B86" s="70" t="s">
        <v>3643</v>
      </c>
      <c r="C86" s="68">
        <v>5.0</v>
      </c>
      <c r="D86" s="20" t="s">
        <v>3644</v>
      </c>
      <c r="E86" s="58" t="s">
        <v>3353</v>
      </c>
      <c r="F86" s="58" t="s">
        <v>3354</v>
      </c>
      <c r="G86" s="43" t="s">
        <v>3645</v>
      </c>
      <c r="H86" s="63" t="s">
        <v>3521</v>
      </c>
    </row>
    <row r="87">
      <c r="A87" s="67" t="s">
        <v>3646</v>
      </c>
      <c r="B87" s="70" t="s">
        <v>3647</v>
      </c>
      <c r="C87" s="68">
        <v>5.0</v>
      </c>
      <c r="D87" s="20" t="s">
        <v>3648</v>
      </c>
      <c r="E87" s="58" t="s">
        <v>3353</v>
      </c>
      <c r="F87" s="58" t="s">
        <v>3354</v>
      </c>
      <c r="G87" s="43" t="s">
        <v>3649</v>
      </c>
      <c r="H87" s="63" t="s">
        <v>3370</v>
      </c>
    </row>
    <row r="88">
      <c r="A88" s="67" t="s">
        <v>3650</v>
      </c>
      <c r="B88" s="70" t="s">
        <v>3651</v>
      </c>
      <c r="C88" s="68">
        <v>6.0</v>
      </c>
      <c r="D88" s="20" t="s">
        <v>3652</v>
      </c>
      <c r="E88" s="58" t="s">
        <v>3353</v>
      </c>
      <c r="F88" s="58" t="s">
        <v>3354</v>
      </c>
      <c r="G88" s="43" t="s">
        <v>3653</v>
      </c>
      <c r="H88" s="63" t="s">
        <v>3370</v>
      </c>
    </row>
    <row r="89">
      <c r="A89" s="67" t="s">
        <v>3654</v>
      </c>
      <c r="B89" s="70" t="s">
        <v>3655</v>
      </c>
      <c r="C89" s="68">
        <v>2.0</v>
      </c>
      <c r="D89" s="20" t="s">
        <v>3656</v>
      </c>
      <c r="E89" s="58" t="s">
        <v>3353</v>
      </c>
      <c r="F89" s="58" t="s">
        <v>3354</v>
      </c>
      <c r="G89" s="43" t="s">
        <v>3657</v>
      </c>
      <c r="H89" s="63" t="s">
        <v>3413</v>
      </c>
    </row>
    <row r="90">
      <c r="A90" s="67" t="s">
        <v>3658</v>
      </c>
      <c r="B90" s="70" t="s">
        <v>3659</v>
      </c>
      <c r="C90" s="68">
        <v>5.0</v>
      </c>
      <c r="D90" s="20" t="s">
        <v>3660</v>
      </c>
      <c r="E90" s="58" t="s">
        <v>3353</v>
      </c>
      <c r="F90" s="58" t="s">
        <v>3354</v>
      </c>
      <c r="G90" s="43" t="s">
        <v>3657</v>
      </c>
      <c r="H90" s="63" t="s">
        <v>3413</v>
      </c>
    </row>
    <row r="91">
      <c r="A91" s="67" t="s">
        <v>3661</v>
      </c>
      <c r="B91" s="70" t="s">
        <v>3662</v>
      </c>
      <c r="C91" s="68">
        <v>6.0</v>
      </c>
      <c r="D91" s="20" t="s">
        <v>3663</v>
      </c>
      <c r="E91" s="58" t="s">
        <v>3353</v>
      </c>
      <c r="F91" s="58" t="s">
        <v>3354</v>
      </c>
      <c r="G91" s="43" t="s">
        <v>3664</v>
      </c>
      <c r="H91" s="63" t="s">
        <v>3436</v>
      </c>
    </row>
    <row r="92">
      <c r="A92" s="67" t="s">
        <v>3665</v>
      </c>
      <c r="B92" s="70" t="s">
        <v>3666</v>
      </c>
      <c r="C92" s="68">
        <v>6.0</v>
      </c>
      <c r="D92" s="20" t="s">
        <v>3667</v>
      </c>
      <c r="E92" s="58" t="s">
        <v>3353</v>
      </c>
      <c r="F92" s="58" t="s">
        <v>3354</v>
      </c>
      <c r="G92" s="43" t="s">
        <v>3668</v>
      </c>
      <c r="H92" s="63" t="s">
        <v>3521</v>
      </c>
    </row>
    <row r="93">
      <c r="A93" s="67" t="s">
        <v>3669</v>
      </c>
      <c r="B93" s="70" t="s">
        <v>3670</v>
      </c>
      <c r="C93" s="68">
        <v>5.0</v>
      </c>
      <c r="D93" s="20" t="s">
        <v>3671</v>
      </c>
      <c r="E93" s="58" t="s">
        <v>3353</v>
      </c>
      <c r="F93" s="58" t="s">
        <v>3354</v>
      </c>
      <c r="G93" s="43" t="s">
        <v>3672</v>
      </c>
      <c r="H93" s="63" t="s">
        <v>3370</v>
      </c>
    </row>
    <row r="94">
      <c r="A94" s="67" t="s">
        <v>3673</v>
      </c>
      <c r="B94" s="70" t="s">
        <v>3674</v>
      </c>
      <c r="C94" s="68">
        <v>6.0</v>
      </c>
      <c r="D94" s="20" t="s">
        <v>3675</v>
      </c>
      <c r="E94" s="58" t="s">
        <v>3353</v>
      </c>
      <c r="F94" s="58" t="s">
        <v>3354</v>
      </c>
      <c r="G94" s="43" t="s">
        <v>3676</v>
      </c>
      <c r="H94" s="63" t="s">
        <v>3370</v>
      </c>
    </row>
    <row r="95">
      <c r="A95" s="67" t="s">
        <v>3677</v>
      </c>
      <c r="B95" s="70" t="s">
        <v>3678</v>
      </c>
      <c r="C95" s="68">
        <v>5.0</v>
      </c>
      <c r="D95" s="20" t="s">
        <v>3679</v>
      </c>
      <c r="E95" s="58" t="s">
        <v>3353</v>
      </c>
      <c r="F95" s="58" t="s">
        <v>3354</v>
      </c>
      <c r="G95" s="43" t="s">
        <v>3676</v>
      </c>
      <c r="H95" s="63" t="s">
        <v>3521</v>
      </c>
    </row>
    <row r="96">
      <c r="A96" s="67" t="s">
        <v>3680</v>
      </c>
      <c r="B96" s="70" t="s">
        <v>3681</v>
      </c>
      <c r="C96" s="68">
        <v>5.0</v>
      </c>
      <c r="D96" s="20" t="s">
        <v>3682</v>
      </c>
      <c r="E96" s="58" t="s">
        <v>3353</v>
      </c>
      <c r="F96" s="58" t="s">
        <v>3354</v>
      </c>
      <c r="G96" s="43" t="s">
        <v>3683</v>
      </c>
      <c r="H96" s="63" t="s">
        <v>3307</v>
      </c>
    </row>
    <row r="97">
      <c r="A97" s="67" t="s">
        <v>3684</v>
      </c>
      <c r="B97" s="70" t="s">
        <v>3685</v>
      </c>
      <c r="C97" s="68">
        <v>5.0</v>
      </c>
      <c r="D97" s="20" t="s">
        <v>3686</v>
      </c>
      <c r="E97" s="58" t="s">
        <v>3353</v>
      </c>
      <c r="F97" s="58" t="s">
        <v>3354</v>
      </c>
      <c r="G97" s="43" t="s">
        <v>3687</v>
      </c>
      <c r="H97" s="63" t="s">
        <v>3307</v>
      </c>
    </row>
    <row r="98">
      <c r="A98" s="67" t="s">
        <v>3688</v>
      </c>
      <c r="B98" s="70" t="s">
        <v>3689</v>
      </c>
      <c r="C98" s="68">
        <v>5.0</v>
      </c>
      <c r="D98" s="20" t="s">
        <v>3690</v>
      </c>
      <c r="E98" s="58" t="s">
        <v>3353</v>
      </c>
      <c r="F98" s="58" t="s">
        <v>3354</v>
      </c>
      <c r="G98" s="43" t="s">
        <v>3691</v>
      </c>
      <c r="H98" s="63" t="s">
        <v>3370</v>
      </c>
    </row>
    <row r="99">
      <c r="A99" s="67" t="s">
        <v>3692</v>
      </c>
      <c r="B99" s="70" t="s">
        <v>3693</v>
      </c>
      <c r="C99" s="68">
        <v>6.0</v>
      </c>
      <c r="D99" s="20" t="s">
        <v>3694</v>
      </c>
      <c r="E99" s="58" t="s">
        <v>3353</v>
      </c>
      <c r="F99" s="58" t="s">
        <v>3354</v>
      </c>
      <c r="G99" s="43" t="s">
        <v>3695</v>
      </c>
      <c r="H99" s="63" t="s">
        <v>3370</v>
      </c>
    </row>
    <row r="100">
      <c r="A100" s="67" t="s">
        <v>3696</v>
      </c>
      <c r="B100" s="70" t="s">
        <v>3697</v>
      </c>
      <c r="C100" s="68">
        <v>6.0</v>
      </c>
      <c r="D100" s="20" t="s">
        <v>3698</v>
      </c>
      <c r="E100" s="58" t="s">
        <v>3353</v>
      </c>
      <c r="F100" s="58" t="s">
        <v>3354</v>
      </c>
      <c r="G100" s="43" t="s">
        <v>3699</v>
      </c>
      <c r="H100" s="63" t="s">
        <v>3370</v>
      </c>
    </row>
    <row r="101">
      <c r="A101" s="67" t="s">
        <v>3700</v>
      </c>
      <c r="B101" s="70" t="s">
        <v>3701</v>
      </c>
      <c r="C101" s="68">
        <v>5.0</v>
      </c>
      <c r="D101" s="20" t="s">
        <v>3702</v>
      </c>
      <c r="E101" s="58" t="s">
        <v>3353</v>
      </c>
      <c r="F101" s="58" t="s">
        <v>3354</v>
      </c>
      <c r="G101" s="43" t="s">
        <v>3703</v>
      </c>
      <c r="H101" s="63" t="s">
        <v>3370</v>
      </c>
    </row>
    <row r="102">
      <c r="A102" s="67" t="s">
        <v>3704</v>
      </c>
      <c r="B102" s="70" t="s">
        <v>3705</v>
      </c>
      <c r="C102" s="68">
        <v>5.0</v>
      </c>
      <c r="D102" s="20" t="s">
        <v>3706</v>
      </c>
      <c r="E102" s="58" t="s">
        <v>3353</v>
      </c>
      <c r="F102" s="58" t="s">
        <v>3354</v>
      </c>
      <c r="G102" s="43" t="s">
        <v>3707</v>
      </c>
      <c r="H102" s="63" t="s">
        <v>3370</v>
      </c>
    </row>
    <row r="103">
      <c r="A103" s="67" t="s">
        <v>3708</v>
      </c>
      <c r="B103" s="70" t="s">
        <v>3709</v>
      </c>
      <c r="C103" s="68">
        <v>5.0</v>
      </c>
      <c r="D103" s="20" t="s">
        <v>3710</v>
      </c>
      <c r="E103" s="58" t="s">
        <v>3353</v>
      </c>
      <c r="F103" s="58" t="s">
        <v>3354</v>
      </c>
      <c r="G103" s="43" t="s">
        <v>3711</v>
      </c>
      <c r="H103" s="63" t="s">
        <v>3307</v>
      </c>
    </row>
    <row r="104">
      <c r="A104" s="67" t="s">
        <v>3712</v>
      </c>
      <c r="B104" s="70" t="s">
        <v>3713</v>
      </c>
      <c r="C104" s="68">
        <v>6.0</v>
      </c>
      <c r="D104" s="20" t="s">
        <v>3714</v>
      </c>
      <c r="E104" s="58" t="s">
        <v>3353</v>
      </c>
      <c r="F104" s="58" t="s">
        <v>3354</v>
      </c>
      <c r="G104" s="43" t="s">
        <v>3715</v>
      </c>
      <c r="H104" s="63" t="s">
        <v>3370</v>
      </c>
    </row>
    <row r="105">
      <c r="A105" s="67" t="s">
        <v>3716</v>
      </c>
      <c r="B105" s="70" t="s">
        <v>3717</v>
      </c>
      <c r="C105" s="68">
        <v>5.0</v>
      </c>
      <c r="D105" s="20" t="s">
        <v>3718</v>
      </c>
      <c r="E105" s="58" t="s">
        <v>3353</v>
      </c>
      <c r="F105" s="58" t="s">
        <v>3354</v>
      </c>
      <c r="G105" s="43" t="s">
        <v>3719</v>
      </c>
      <c r="H105" s="63" t="s">
        <v>3521</v>
      </c>
    </row>
    <row r="106">
      <c r="A106" s="67" t="s">
        <v>3720</v>
      </c>
      <c r="B106" s="70" t="s">
        <v>3721</v>
      </c>
      <c r="C106" s="68">
        <v>5.0</v>
      </c>
      <c r="D106" s="20" t="s">
        <v>3722</v>
      </c>
      <c r="E106" s="58" t="s">
        <v>3353</v>
      </c>
      <c r="F106" s="58" t="s">
        <v>3354</v>
      </c>
      <c r="G106" s="43" t="s">
        <v>3723</v>
      </c>
      <c r="H106" s="63" t="s">
        <v>3370</v>
      </c>
    </row>
    <row r="107">
      <c r="A107" s="67" t="s">
        <v>3724</v>
      </c>
      <c r="B107" s="70" t="s">
        <v>3725</v>
      </c>
      <c r="C107" s="68">
        <v>6.0</v>
      </c>
      <c r="D107" s="20" t="s">
        <v>3726</v>
      </c>
      <c r="E107" s="58" t="s">
        <v>3353</v>
      </c>
      <c r="F107" s="58" t="s">
        <v>3354</v>
      </c>
      <c r="G107" s="43" t="s">
        <v>3727</v>
      </c>
      <c r="H107" s="63" t="s">
        <v>3370</v>
      </c>
    </row>
    <row r="108">
      <c r="A108" s="67" t="s">
        <v>3728</v>
      </c>
      <c r="B108" s="70" t="s">
        <v>3729</v>
      </c>
      <c r="C108" s="68">
        <v>6.0</v>
      </c>
      <c r="D108" s="20" t="s">
        <v>3730</v>
      </c>
      <c r="E108" s="58" t="s">
        <v>3353</v>
      </c>
      <c r="F108" s="58" t="s">
        <v>3354</v>
      </c>
      <c r="G108" s="43" t="s">
        <v>3731</v>
      </c>
      <c r="H108" s="63" t="s">
        <v>3370</v>
      </c>
    </row>
    <row r="109">
      <c r="A109" s="67" t="s">
        <v>3732</v>
      </c>
      <c r="B109" s="70" t="s">
        <v>3733</v>
      </c>
      <c r="C109" s="68">
        <v>5.0</v>
      </c>
      <c r="D109" s="20" t="s">
        <v>3734</v>
      </c>
      <c r="E109" s="58" t="s">
        <v>3353</v>
      </c>
      <c r="F109" s="58" t="s">
        <v>3354</v>
      </c>
      <c r="G109" s="43" t="s">
        <v>3735</v>
      </c>
      <c r="H109" s="63" t="s">
        <v>3370</v>
      </c>
    </row>
    <row r="110">
      <c r="A110" s="67" t="s">
        <v>3736</v>
      </c>
      <c r="B110" s="70" t="s">
        <v>3737</v>
      </c>
      <c r="C110" s="68">
        <v>5.0</v>
      </c>
      <c r="D110" s="20" t="s">
        <v>3738</v>
      </c>
      <c r="E110" s="58" t="s">
        <v>3353</v>
      </c>
      <c r="F110" s="58" t="s">
        <v>3354</v>
      </c>
      <c r="G110" s="43" t="s">
        <v>3739</v>
      </c>
      <c r="H110" s="63" t="s">
        <v>3370</v>
      </c>
    </row>
    <row r="111">
      <c r="A111" s="67" t="s">
        <v>3740</v>
      </c>
      <c r="B111" s="70" t="s">
        <v>3741</v>
      </c>
      <c r="C111" s="68">
        <v>5.0</v>
      </c>
      <c r="D111" s="20" t="s">
        <v>3742</v>
      </c>
      <c r="E111" s="58" t="s">
        <v>3353</v>
      </c>
      <c r="F111" s="58" t="s">
        <v>3354</v>
      </c>
      <c r="G111" s="43" t="s">
        <v>3743</v>
      </c>
      <c r="H111" s="63" t="s">
        <v>3370</v>
      </c>
    </row>
    <row r="112">
      <c r="A112" s="67" t="s">
        <v>3744</v>
      </c>
      <c r="B112" s="70" t="s">
        <v>3745</v>
      </c>
      <c r="C112" s="68">
        <v>6.0</v>
      </c>
      <c r="D112" s="20" t="s">
        <v>3746</v>
      </c>
      <c r="E112" s="58" t="s">
        <v>3353</v>
      </c>
      <c r="F112" s="58" t="s">
        <v>3354</v>
      </c>
      <c r="G112" s="43" t="s">
        <v>3747</v>
      </c>
      <c r="H112" s="63" t="s">
        <v>3748</v>
      </c>
    </row>
    <row r="113">
      <c r="A113" s="67" t="s">
        <v>3749</v>
      </c>
      <c r="B113" s="70" t="s">
        <v>3750</v>
      </c>
      <c r="C113" s="68">
        <v>5.0</v>
      </c>
      <c r="D113" s="20" t="s">
        <v>3751</v>
      </c>
      <c r="E113" s="58" t="s">
        <v>3353</v>
      </c>
      <c r="F113" s="58" t="s">
        <v>3354</v>
      </c>
      <c r="G113" s="43" t="s">
        <v>3752</v>
      </c>
      <c r="H113" s="63" t="s">
        <v>3370</v>
      </c>
    </row>
    <row r="114">
      <c r="A114" s="67" t="s">
        <v>3753</v>
      </c>
      <c r="B114" s="70" t="s">
        <v>3754</v>
      </c>
      <c r="C114" s="68">
        <v>5.0</v>
      </c>
      <c r="D114" s="20" t="s">
        <v>3755</v>
      </c>
      <c r="E114" s="58" t="s">
        <v>3353</v>
      </c>
      <c r="F114" s="58" t="s">
        <v>3354</v>
      </c>
      <c r="G114" s="43" t="s">
        <v>3756</v>
      </c>
      <c r="H114" s="63" t="s">
        <v>3370</v>
      </c>
    </row>
    <row r="115">
      <c r="A115" s="67" t="s">
        <v>3757</v>
      </c>
      <c r="B115" s="70" t="s">
        <v>3758</v>
      </c>
      <c r="C115" s="68">
        <v>6.0</v>
      </c>
      <c r="D115" s="20" t="s">
        <v>3759</v>
      </c>
      <c r="E115" s="58" t="s">
        <v>3760</v>
      </c>
      <c r="F115" s="58" t="s">
        <v>3761</v>
      </c>
      <c r="G115" s="43" t="s">
        <v>3762</v>
      </c>
      <c r="H115" s="63" t="s">
        <v>3370</v>
      </c>
    </row>
    <row r="116">
      <c r="A116" s="67" t="s">
        <v>3763</v>
      </c>
      <c r="B116" s="70" t="s">
        <v>3764</v>
      </c>
      <c r="C116" s="68">
        <v>1.0</v>
      </c>
      <c r="D116" s="20" t="s">
        <v>3765</v>
      </c>
      <c r="E116" s="58" t="s">
        <v>3766</v>
      </c>
      <c r="F116" s="58" t="s">
        <v>3767</v>
      </c>
      <c r="G116" s="43" t="s">
        <v>3281</v>
      </c>
      <c r="H116" s="63" t="s">
        <v>3413</v>
      </c>
    </row>
    <row r="117">
      <c r="A117" s="67" t="s">
        <v>3768</v>
      </c>
      <c r="B117" s="70" t="s">
        <v>3769</v>
      </c>
      <c r="C117" s="68">
        <v>1.0</v>
      </c>
      <c r="D117" s="20" t="s">
        <v>3770</v>
      </c>
      <c r="E117" s="58" t="s">
        <v>3771</v>
      </c>
      <c r="F117" s="58" t="s">
        <v>3772</v>
      </c>
      <c r="G117" s="43" t="s">
        <v>3281</v>
      </c>
      <c r="H117" s="63" t="s">
        <v>3370</v>
      </c>
    </row>
    <row r="118">
      <c r="A118" s="67" t="s">
        <v>3773</v>
      </c>
      <c r="B118" s="70" t="s">
        <v>3774</v>
      </c>
      <c r="C118" s="68">
        <v>1.0</v>
      </c>
      <c r="D118" s="20" t="s">
        <v>3775</v>
      </c>
      <c r="E118" s="58" t="s">
        <v>3776</v>
      </c>
      <c r="F118" s="58" t="s">
        <v>3777</v>
      </c>
      <c r="G118" s="43" t="s">
        <v>3281</v>
      </c>
      <c r="H118" s="63" t="s">
        <v>3370</v>
      </c>
    </row>
    <row r="119">
      <c r="A119" s="67" t="s">
        <v>3778</v>
      </c>
      <c r="B119" s="70" t="s">
        <v>3779</v>
      </c>
      <c r="C119" s="68">
        <v>1.0</v>
      </c>
      <c r="D119" s="20" t="s">
        <v>3780</v>
      </c>
      <c r="E119" s="58" t="s">
        <v>3781</v>
      </c>
      <c r="F119" s="58" t="s">
        <v>3782</v>
      </c>
      <c r="G119" s="43" t="s">
        <v>3281</v>
      </c>
      <c r="H119" s="63" t="s">
        <v>3413</v>
      </c>
    </row>
    <row r="120">
      <c r="A120" s="67" t="s">
        <v>3783</v>
      </c>
      <c r="B120" s="70" t="s">
        <v>3784</v>
      </c>
      <c r="C120" s="68">
        <v>1.0</v>
      </c>
      <c r="D120" s="20" t="s">
        <v>3785</v>
      </c>
      <c r="E120" s="58" t="s">
        <v>3781</v>
      </c>
      <c r="F120" s="58" t="s">
        <v>3782</v>
      </c>
      <c r="G120" s="43" t="s">
        <v>3281</v>
      </c>
      <c r="H120" s="63" t="s">
        <v>3521</v>
      </c>
    </row>
    <row r="121">
      <c r="A121" s="67" t="s">
        <v>3786</v>
      </c>
      <c r="B121" s="70" t="s">
        <v>3787</v>
      </c>
      <c r="C121" s="68">
        <v>1.0</v>
      </c>
      <c r="D121" s="20" t="s">
        <v>3788</v>
      </c>
      <c r="E121" s="58" t="s">
        <v>3789</v>
      </c>
      <c r="F121" s="58" t="s">
        <v>3790</v>
      </c>
      <c r="G121" s="43" t="s">
        <v>3281</v>
      </c>
      <c r="H121" s="63" t="s">
        <v>3370</v>
      </c>
    </row>
    <row r="122">
      <c r="A122" s="67" t="s">
        <v>3791</v>
      </c>
      <c r="B122" s="70" t="s">
        <v>3792</v>
      </c>
      <c r="C122" s="68">
        <v>1.0</v>
      </c>
      <c r="D122" s="20" t="s">
        <v>3793</v>
      </c>
      <c r="E122" s="58" t="s">
        <v>3794</v>
      </c>
      <c r="F122" s="58" t="s">
        <v>3795</v>
      </c>
      <c r="G122" s="43" t="s">
        <v>3281</v>
      </c>
      <c r="H122" s="63" t="s">
        <v>3521</v>
      </c>
    </row>
    <row r="123">
      <c r="A123" s="67" t="s">
        <v>3796</v>
      </c>
      <c r="B123" s="70" t="s">
        <v>3797</v>
      </c>
      <c r="C123" s="68">
        <v>1.0</v>
      </c>
      <c r="D123" s="20" t="s">
        <v>3798</v>
      </c>
      <c r="E123" s="58" t="s">
        <v>3799</v>
      </c>
      <c r="F123" s="58" t="s">
        <v>3800</v>
      </c>
      <c r="G123" s="43" t="s">
        <v>3281</v>
      </c>
      <c r="H123" s="63" t="s">
        <v>3307</v>
      </c>
    </row>
    <row r="124">
      <c r="A124" s="67" t="s">
        <v>3801</v>
      </c>
      <c r="B124" s="70" t="s">
        <v>3802</v>
      </c>
      <c r="C124" s="68">
        <v>1.0</v>
      </c>
      <c r="D124" s="20" t="s">
        <v>3803</v>
      </c>
      <c r="E124" s="58" t="s">
        <v>3804</v>
      </c>
      <c r="F124" s="58" t="s">
        <v>3805</v>
      </c>
      <c r="G124" s="43" t="s">
        <v>3281</v>
      </c>
      <c r="H124" s="63" t="s">
        <v>3526</v>
      </c>
    </row>
    <row r="125">
      <c r="A125" s="67" t="s">
        <v>3806</v>
      </c>
      <c r="B125" s="70" t="s">
        <v>3807</v>
      </c>
      <c r="C125" s="68">
        <v>1.0</v>
      </c>
      <c r="D125" s="20" t="s">
        <v>3808</v>
      </c>
      <c r="E125" s="58" t="s">
        <v>3809</v>
      </c>
      <c r="F125" s="58" t="s">
        <v>3810</v>
      </c>
      <c r="G125" s="43" t="s">
        <v>3281</v>
      </c>
      <c r="H125" s="63" t="s">
        <v>3307</v>
      </c>
    </row>
    <row r="126">
      <c r="A126" s="67" t="s">
        <v>3811</v>
      </c>
      <c r="B126" s="70" t="s">
        <v>3812</v>
      </c>
      <c r="C126" s="68">
        <v>1.0</v>
      </c>
      <c r="D126" s="20" t="s">
        <v>3813</v>
      </c>
      <c r="E126" s="58" t="s">
        <v>3814</v>
      </c>
      <c r="F126" s="58" t="s">
        <v>3815</v>
      </c>
      <c r="G126" s="43" t="s">
        <v>3281</v>
      </c>
      <c r="H126" s="63" t="s">
        <v>3521</v>
      </c>
    </row>
    <row r="127">
      <c r="A127" s="67" t="s">
        <v>3816</v>
      </c>
      <c r="B127" s="70" t="s">
        <v>3817</v>
      </c>
      <c r="C127" s="68">
        <v>1.0</v>
      </c>
      <c r="D127" s="20" t="s">
        <v>3818</v>
      </c>
      <c r="E127" s="58" t="s">
        <v>3819</v>
      </c>
      <c r="F127" s="58" t="s">
        <v>3820</v>
      </c>
      <c r="G127" s="43" t="s">
        <v>3281</v>
      </c>
      <c r="H127" s="63" t="s">
        <v>3370</v>
      </c>
    </row>
    <row r="128">
      <c r="A128" s="67" t="s">
        <v>3821</v>
      </c>
      <c r="B128" s="70" t="s">
        <v>3822</v>
      </c>
      <c r="C128" s="68">
        <v>1.0</v>
      </c>
      <c r="D128" s="20" t="s">
        <v>3823</v>
      </c>
      <c r="E128" s="58" t="s">
        <v>3824</v>
      </c>
      <c r="F128" s="58" t="s">
        <v>3825</v>
      </c>
      <c r="G128" s="43" t="s">
        <v>3826</v>
      </c>
      <c r="H128" s="63" t="s">
        <v>3307</v>
      </c>
    </row>
    <row r="129">
      <c r="A129" s="67" t="s">
        <v>3827</v>
      </c>
      <c r="B129" s="70" t="s">
        <v>3828</v>
      </c>
      <c r="C129" s="68">
        <v>2.0</v>
      </c>
      <c r="D129" s="20" t="s">
        <v>3829</v>
      </c>
      <c r="E129" s="58" t="s">
        <v>3830</v>
      </c>
      <c r="F129" s="58" t="s">
        <v>3831</v>
      </c>
      <c r="G129" s="43" t="s">
        <v>3281</v>
      </c>
      <c r="H129" s="63" t="s">
        <v>3370</v>
      </c>
    </row>
    <row r="130">
      <c r="A130" s="67" t="s">
        <v>3832</v>
      </c>
      <c r="B130" s="70" t="s">
        <v>3833</v>
      </c>
      <c r="C130" s="68">
        <v>2.0</v>
      </c>
      <c r="D130" s="20" t="s">
        <v>3834</v>
      </c>
      <c r="E130" s="58" t="s">
        <v>3835</v>
      </c>
      <c r="F130" s="58" t="s">
        <v>3836</v>
      </c>
      <c r="G130" s="43" t="s">
        <v>3281</v>
      </c>
      <c r="H130" s="63" t="s">
        <v>3307</v>
      </c>
    </row>
    <row r="131">
      <c r="A131" s="67" t="s">
        <v>3837</v>
      </c>
      <c r="B131" s="70" t="s">
        <v>3838</v>
      </c>
      <c r="C131" s="68">
        <v>2.0</v>
      </c>
      <c r="D131" s="20" t="s">
        <v>3839</v>
      </c>
      <c r="E131" s="58" t="s">
        <v>3840</v>
      </c>
      <c r="F131" s="58" t="s">
        <v>3841</v>
      </c>
      <c r="G131" s="43" t="s">
        <v>3842</v>
      </c>
      <c r="H131" s="63" t="s">
        <v>3843</v>
      </c>
    </row>
    <row r="132">
      <c r="A132" s="67" t="s">
        <v>3844</v>
      </c>
      <c r="B132" s="70" t="s">
        <v>3845</v>
      </c>
      <c r="C132" s="68">
        <v>3.0</v>
      </c>
      <c r="D132" s="20" t="s">
        <v>3846</v>
      </c>
      <c r="E132" s="58" t="s">
        <v>3847</v>
      </c>
      <c r="F132" s="58" t="s">
        <v>3848</v>
      </c>
      <c r="G132" s="43" t="s">
        <v>3455</v>
      </c>
      <c r="H132" s="63" t="s">
        <v>3413</v>
      </c>
    </row>
    <row r="133">
      <c r="A133" s="67" t="s">
        <v>3271</v>
      </c>
      <c r="B133" s="70" t="s">
        <v>3849</v>
      </c>
      <c r="C133" s="68">
        <v>1.0</v>
      </c>
      <c r="D133" s="20" t="s">
        <v>3850</v>
      </c>
      <c r="E133" s="58" t="s">
        <v>3851</v>
      </c>
      <c r="F133" s="58" t="s">
        <v>3852</v>
      </c>
      <c r="G133" s="43" t="s">
        <v>3281</v>
      </c>
      <c r="H133" s="63" t="s">
        <v>3853</v>
      </c>
    </row>
    <row r="134">
      <c r="A134" s="67" t="s">
        <v>3854</v>
      </c>
      <c r="B134" s="70" t="s">
        <v>3855</v>
      </c>
      <c r="C134" s="68">
        <v>1.0</v>
      </c>
      <c r="D134" s="20" t="s">
        <v>3856</v>
      </c>
      <c r="E134" s="58" t="s">
        <v>3857</v>
      </c>
      <c r="F134" s="58" t="s">
        <v>3858</v>
      </c>
      <c r="G134" s="43" t="s">
        <v>3281</v>
      </c>
      <c r="H134" s="63" t="s">
        <v>3521</v>
      </c>
    </row>
    <row r="135">
      <c r="A135" s="67" t="s">
        <v>3859</v>
      </c>
      <c r="B135" s="70" t="s">
        <v>3860</v>
      </c>
      <c r="C135" s="68">
        <v>2.0</v>
      </c>
      <c r="D135" s="20" t="s">
        <v>3861</v>
      </c>
      <c r="E135" s="58" t="s">
        <v>3862</v>
      </c>
      <c r="F135" s="58" t="s">
        <v>3863</v>
      </c>
      <c r="G135" s="43" t="s">
        <v>3281</v>
      </c>
      <c r="H135" s="63" t="s">
        <v>3307</v>
      </c>
    </row>
    <row r="136">
      <c r="A136" s="67" t="s">
        <v>3864</v>
      </c>
      <c r="B136" s="70" t="s">
        <v>3865</v>
      </c>
      <c r="C136" s="68">
        <v>1.0</v>
      </c>
      <c r="D136" s="20" t="s">
        <v>3866</v>
      </c>
      <c r="E136" s="58" t="s">
        <v>3867</v>
      </c>
      <c r="F136" s="58" t="s">
        <v>3868</v>
      </c>
      <c r="G136" s="43" t="s">
        <v>3281</v>
      </c>
      <c r="H136" s="63" t="s">
        <v>3413</v>
      </c>
    </row>
    <row r="137">
      <c r="A137" s="67" t="s">
        <v>3869</v>
      </c>
      <c r="B137" s="70" t="s">
        <v>3870</v>
      </c>
      <c r="C137" s="68">
        <v>1.0</v>
      </c>
      <c r="D137" s="20" t="s">
        <v>3871</v>
      </c>
      <c r="E137" s="58" t="s">
        <v>3872</v>
      </c>
      <c r="F137" s="58" t="s">
        <v>3873</v>
      </c>
      <c r="G137" s="43" t="s">
        <v>3281</v>
      </c>
      <c r="H137" s="63" t="s">
        <v>3446</v>
      </c>
    </row>
    <row r="138">
      <c r="A138" s="67" t="s">
        <v>3874</v>
      </c>
      <c r="B138" s="70" t="s">
        <v>3875</v>
      </c>
      <c r="C138" s="68">
        <v>1.0</v>
      </c>
      <c r="D138" s="20" t="s">
        <v>3876</v>
      </c>
      <c r="E138" s="58" t="s">
        <v>3872</v>
      </c>
      <c r="F138" s="58" t="s">
        <v>3873</v>
      </c>
      <c r="G138" s="43" t="s">
        <v>3281</v>
      </c>
      <c r="H138" s="63" t="s">
        <v>3877</v>
      </c>
    </row>
    <row r="139">
      <c r="A139" s="67" t="s">
        <v>3878</v>
      </c>
      <c r="B139" s="70" t="s">
        <v>3879</v>
      </c>
      <c r="C139" s="68">
        <v>2.0</v>
      </c>
      <c r="D139" s="20" t="s">
        <v>3880</v>
      </c>
      <c r="E139" s="58" t="s">
        <v>3881</v>
      </c>
      <c r="F139" s="58" t="s">
        <v>3882</v>
      </c>
      <c r="G139" s="43" t="s">
        <v>3281</v>
      </c>
      <c r="H139" s="63" t="s">
        <v>3307</v>
      </c>
    </row>
    <row r="140">
      <c r="A140" s="67" t="s">
        <v>3883</v>
      </c>
      <c r="B140" s="70" t="s">
        <v>3884</v>
      </c>
      <c r="C140" s="68">
        <v>1.0</v>
      </c>
      <c r="D140" s="20" t="s">
        <v>3885</v>
      </c>
      <c r="E140" s="58" t="s">
        <v>3886</v>
      </c>
      <c r="F140" s="58" t="s">
        <v>3887</v>
      </c>
      <c r="G140" s="43" t="s">
        <v>3281</v>
      </c>
      <c r="H140" s="63" t="s">
        <v>3307</v>
      </c>
    </row>
    <row r="141">
      <c r="A141" s="67" t="s">
        <v>3888</v>
      </c>
      <c r="B141" s="70" t="s">
        <v>3889</v>
      </c>
      <c r="C141" s="68">
        <v>1.0</v>
      </c>
      <c r="D141" s="20" t="s">
        <v>3890</v>
      </c>
      <c r="E141" s="58" t="s">
        <v>3891</v>
      </c>
      <c r="F141" s="58" t="s">
        <v>3892</v>
      </c>
      <c r="G141" s="43" t="s">
        <v>3281</v>
      </c>
      <c r="H141" s="63" t="s">
        <v>3370</v>
      </c>
    </row>
    <row r="142">
      <c r="A142" s="67" t="s">
        <v>3893</v>
      </c>
      <c r="B142" s="70" t="s">
        <v>3894</v>
      </c>
      <c r="C142" s="68">
        <v>6.0</v>
      </c>
      <c r="D142" s="20" t="s">
        <v>3895</v>
      </c>
      <c r="E142" s="58" t="s">
        <v>3896</v>
      </c>
      <c r="F142" s="58" t="s">
        <v>3897</v>
      </c>
      <c r="G142" s="43" t="s">
        <v>3281</v>
      </c>
      <c r="H142" s="63" t="s">
        <v>3370</v>
      </c>
    </row>
    <row r="143">
      <c r="A143" s="67" t="s">
        <v>3898</v>
      </c>
      <c r="B143" s="70" t="s">
        <v>3899</v>
      </c>
      <c r="C143" s="68">
        <v>1.0</v>
      </c>
      <c r="D143" s="20" t="s">
        <v>3900</v>
      </c>
      <c r="E143" s="58" t="s">
        <v>3901</v>
      </c>
      <c r="F143" s="58" t="s">
        <v>3902</v>
      </c>
      <c r="G143" s="43" t="s">
        <v>3281</v>
      </c>
      <c r="H143" s="63" t="s">
        <v>3521</v>
      </c>
    </row>
    <row r="144">
      <c r="A144" s="67" t="s">
        <v>3903</v>
      </c>
      <c r="B144" s="70" t="s">
        <v>3904</v>
      </c>
      <c r="C144" s="68">
        <v>1.0</v>
      </c>
      <c r="D144" s="20" t="s">
        <v>3905</v>
      </c>
      <c r="E144" s="58" t="s">
        <v>3906</v>
      </c>
      <c r="G144" s="43" t="s">
        <v>3281</v>
      </c>
      <c r="H144" s="63" t="s">
        <v>3521</v>
      </c>
    </row>
    <row r="145">
      <c r="A145" s="67" t="s">
        <v>3907</v>
      </c>
      <c r="B145" s="70" t="s">
        <v>3908</v>
      </c>
      <c r="C145" s="68">
        <v>2.0</v>
      </c>
      <c r="D145" s="20" t="s">
        <v>3909</v>
      </c>
      <c r="E145" s="58" t="s">
        <v>3910</v>
      </c>
      <c r="F145" s="58" t="s">
        <v>3911</v>
      </c>
      <c r="G145" s="43" t="s">
        <v>3281</v>
      </c>
      <c r="H145" s="63" t="s">
        <v>3521</v>
      </c>
    </row>
    <row r="146">
      <c r="A146" s="67" t="s">
        <v>3912</v>
      </c>
      <c r="B146" s="70" t="s">
        <v>3913</v>
      </c>
      <c r="C146" s="68">
        <v>1.0</v>
      </c>
      <c r="D146" s="20" t="s">
        <v>3914</v>
      </c>
      <c r="E146" s="58" t="s">
        <v>3915</v>
      </c>
      <c r="F146" s="58" t="s">
        <v>3916</v>
      </c>
      <c r="G146" s="43" t="s">
        <v>3281</v>
      </c>
      <c r="H146" s="63" t="s">
        <v>3526</v>
      </c>
    </row>
    <row r="147">
      <c r="A147" s="67" t="s">
        <v>3917</v>
      </c>
      <c r="B147" s="70" t="s">
        <v>3918</v>
      </c>
      <c r="C147" s="68">
        <v>1.0</v>
      </c>
      <c r="D147" s="20" t="s">
        <v>3919</v>
      </c>
      <c r="E147" s="58" t="s">
        <v>3901</v>
      </c>
      <c r="F147" s="58" t="s">
        <v>3902</v>
      </c>
      <c r="G147" s="43" t="s">
        <v>3281</v>
      </c>
      <c r="H147" s="63" t="s">
        <v>3521</v>
      </c>
    </row>
    <row r="148">
      <c r="A148" s="67" t="s">
        <v>3920</v>
      </c>
      <c r="B148" s="70" t="s">
        <v>3921</v>
      </c>
      <c r="C148" s="68">
        <v>3.0</v>
      </c>
      <c r="D148" s="20" t="s">
        <v>3922</v>
      </c>
      <c r="E148" s="58" t="s">
        <v>3923</v>
      </c>
      <c r="F148" s="58" t="s">
        <v>3924</v>
      </c>
      <c r="G148" s="43" t="s">
        <v>3281</v>
      </c>
      <c r="H148" s="63" t="s">
        <v>3370</v>
      </c>
    </row>
    <row r="149">
      <c r="A149" s="67" t="s">
        <v>3925</v>
      </c>
      <c r="B149" s="70" t="s">
        <v>3926</v>
      </c>
      <c r="C149" s="68">
        <v>3.0</v>
      </c>
      <c r="D149" s="20" t="s">
        <v>3927</v>
      </c>
      <c r="E149" s="58" t="s">
        <v>3928</v>
      </c>
      <c r="F149" s="58" t="s">
        <v>3929</v>
      </c>
      <c r="G149" s="43" t="s">
        <v>3281</v>
      </c>
      <c r="H149" s="63" t="s">
        <v>3370</v>
      </c>
    </row>
    <row r="150">
      <c r="A150" s="67"/>
      <c r="B150" s="70"/>
      <c r="C150" s="68"/>
      <c r="D150" s="20"/>
      <c r="H150" s="63"/>
    </row>
    <row r="151">
      <c r="A151" s="67"/>
      <c r="B151" s="70"/>
      <c r="C151" s="68"/>
      <c r="D151" s="20"/>
      <c r="H151" s="63"/>
    </row>
    <row r="152">
      <c r="A152" s="67"/>
      <c r="B152" s="70"/>
      <c r="C152" s="68"/>
      <c r="D152" s="20"/>
      <c r="H152" s="63"/>
    </row>
    <row r="153">
      <c r="A153" s="67"/>
      <c r="B153" s="70"/>
      <c r="C153" s="68"/>
      <c r="D153" s="20"/>
      <c r="H153" s="63"/>
    </row>
    <row r="154">
      <c r="A154" s="67"/>
      <c r="B154" s="70"/>
      <c r="C154" s="68"/>
      <c r="D154" s="20"/>
      <c r="H154" s="63"/>
    </row>
    <row r="155">
      <c r="A155" s="67"/>
      <c r="B155" s="70"/>
      <c r="C155" s="68"/>
      <c r="D155" s="20"/>
      <c r="H155" s="63"/>
    </row>
    <row r="156">
      <c r="A156" s="67"/>
      <c r="B156" s="70"/>
      <c r="C156" s="68"/>
      <c r="D156" s="20"/>
      <c r="H156" s="63"/>
    </row>
    <row r="157">
      <c r="A157" s="67"/>
      <c r="B157" s="70"/>
      <c r="C157" s="68"/>
      <c r="D157" s="20"/>
      <c r="H157" s="63"/>
    </row>
    <row r="158">
      <c r="A158" s="67"/>
      <c r="B158" s="70"/>
      <c r="C158" s="68"/>
      <c r="D158" s="20"/>
      <c r="H158" s="63"/>
    </row>
    <row r="159">
      <c r="A159" s="67"/>
      <c r="B159" s="70"/>
      <c r="C159" s="68"/>
      <c r="D159" s="20"/>
      <c r="H159" s="63"/>
    </row>
    <row r="160">
      <c r="A160" s="67"/>
      <c r="B160" s="70"/>
      <c r="C160" s="68"/>
      <c r="D160" s="20"/>
      <c r="H160" s="63"/>
    </row>
    <row r="161">
      <c r="A161" s="67"/>
      <c r="B161" s="70"/>
      <c r="C161" s="68"/>
      <c r="D161" s="20"/>
      <c r="H161" s="63"/>
    </row>
    <row r="162">
      <c r="A162" s="67"/>
      <c r="B162" s="70"/>
      <c r="C162" s="68"/>
      <c r="D162" s="20"/>
      <c r="H162" s="63"/>
    </row>
    <row r="163">
      <c r="A163" s="67"/>
      <c r="B163" s="70"/>
      <c r="C163" s="68"/>
      <c r="D163" s="20"/>
      <c r="H163" s="63"/>
    </row>
    <row r="164">
      <c r="A164" s="67"/>
      <c r="B164" s="70"/>
      <c r="C164" s="68"/>
      <c r="D164" s="20"/>
      <c r="H164" s="63"/>
    </row>
    <row r="165">
      <c r="A165" s="67"/>
      <c r="B165" s="70"/>
      <c r="C165" s="68"/>
      <c r="D165" s="20"/>
      <c r="H165" s="63"/>
    </row>
    <row r="166">
      <c r="A166" s="67"/>
      <c r="B166" s="70"/>
      <c r="C166" s="68"/>
      <c r="D166" s="20"/>
      <c r="H166" s="63"/>
    </row>
    <row r="167">
      <c r="A167" s="67"/>
      <c r="B167" s="70"/>
      <c r="C167" s="68"/>
      <c r="D167" s="20"/>
      <c r="H167" s="63"/>
    </row>
    <row r="168">
      <c r="A168" s="67"/>
      <c r="B168" s="70"/>
      <c r="C168" s="68"/>
      <c r="D168" s="20"/>
      <c r="H168" s="63"/>
    </row>
    <row r="169">
      <c r="A169" s="67"/>
      <c r="B169" s="70"/>
      <c r="C169" s="68"/>
      <c r="D169" s="20"/>
      <c r="H169" s="63"/>
    </row>
    <row r="170">
      <c r="A170" s="67"/>
      <c r="B170" s="70"/>
      <c r="C170" s="68"/>
      <c r="D170" s="20"/>
      <c r="H170" s="63"/>
    </row>
    <row r="171">
      <c r="A171" s="67"/>
      <c r="B171" s="70"/>
      <c r="C171" s="68"/>
      <c r="D171" s="20"/>
      <c r="H171" s="63"/>
    </row>
    <row r="172">
      <c r="A172" s="67"/>
      <c r="B172" s="70"/>
      <c r="C172" s="68"/>
      <c r="D172" s="20"/>
      <c r="H172" s="63"/>
    </row>
    <row r="173">
      <c r="A173" s="67"/>
      <c r="B173" s="70"/>
      <c r="C173" s="68"/>
      <c r="D173" s="20"/>
      <c r="H173" s="63"/>
    </row>
    <row r="174">
      <c r="A174" s="67"/>
      <c r="B174" s="70"/>
      <c r="C174" s="68"/>
      <c r="D174" s="20"/>
      <c r="H174" s="63"/>
    </row>
    <row r="175">
      <c r="A175" s="67"/>
      <c r="B175" s="70"/>
      <c r="C175" s="68"/>
      <c r="D175" s="20"/>
      <c r="H175" s="63"/>
    </row>
    <row r="176">
      <c r="A176" s="67"/>
      <c r="B176" s="70"/>
      <c r="C176" s="68"/>
      <c r="D176" s="20"/>
      <c r="H176" s="63"/>
    </row>
    <row r="177">
      <c r="A177" s="67"/>
      <c r="B177" s="70"/>
      <c r="C177" s="68"/>
      <c r="D177" s="20"/>
      <c r="H177" s="63"/>
    </row>
    <row r="178">
      <c r="A178" s="67"/>
      <c r="B178" s="70"/>
      <c r="C178" s="68"/>
      <c r="D178" s="20"/>
      <c r="H178" s="63"/>
    </row>
    <row r="179">
      <c r="A179" s="67"/>
      <c r="B179" s="70"/>
      <c r="C179" s="68"/>
      <c r="D179" s="20"/>
      <c r="H179" s="63"/>
    </row>
    <row r="180">
      <c r="A180" s="67"/>
      <c r="B180" s="70"/>
      <c r="C180" s="68"/>
      <c r="D180" s="20"/>
      <c r="H180" s="63"/>
    </row>
    <row r="181">
      <c r="A181" s="67"/>
      <c r="B181" s="70"/>
      <c r="C181" s="68"/>
      <c r="D181" s="20"/>
      <c r="H181" s="63"/>
    </row>
    <row r="182">
      <c r="A182" s="67"/>
      <c r="B182" s="70"/>
      <c r="C182" s="68"/>
      <c r="D182" s="20"/>
      <c r="H182" s="63"/>
    </row>
    <row r="183">
      <c r="A183" s="67"/>
      <c r="B183" s="70"/>
      <c r="C183" s="68"/>
      <c r="D183" s="20"/>
      <c r="H183" s="63"/>
    </row>
    <row r="184">
      <c r="A184" s="67"/>
      <c r="B184" s="70"/>
      <c r="C184" s="68"/>
      <c r="D184" s="20"/>
      <c r="H184" s="63"/>
    </row>
    <row r="185">
      <c r="A185" s="67"/>
      <c r="B185" s="70"/>
      <c r="C185" s="68"/>
      <c r="D185" s="20"/>
      <c r="H185" s="63"/>
    </row>
    <row r="186">
      <c r="A186" s="67"/>
      <c r="B186" s="70"/>
      <c r="C186" s="68"/>
      <c r="D186" s="20"/>
      <c r="H186" s="63"/>
    </row>
    <row r="187">
      <c r="A187" s="67"/>
      <c r="B187" s="70"/>
      <c r="C187" s="68"/>
      <c r="D187" s="20"/>
      <c r="H187" s="63"/>
    </row>
    <row r="188">
      <c r="A188" s="67"/>
      <c r="B188" s="70"/>
      <c r="C188" s="68"/>
      <c r="D188" s="20"/>
      <c r="H188" s="63"/>
    </row>
    <row r="189">
      <c r="A189" s="67"/>
      <c r="B189" s="70"/>
      <c r="C189" s="68"/>
      <c r="D189" s="20"/>
      <c r="H189" s="63"/>
    </row>
    <row r="190">
      <c r="A190" s="67"/>
      <c r="B190" s="70"/>
      <c r="C190" s="68"/>
      <c r="D190" s="20"/>
      <c r="H190" s="63"/>
    </row>
    <row r="191">
      <c r="A191" s="67"/>
      <c r="B191" s="70"/>
      <c r="C191" s="68"/>
      <c r="D191" s="20"/>
      <c r="H191" s="63"/>
    </row>
    <row r="192">
      <c r="A192" s="67"/>
      <c r="B192" s="70"/>
      <c r="C192" s="68"/>
      <c r="D192" s="20"/>
      <c r="H192" s="63"/>
    </row>
    <row r="193">
      <c r="A193" s="67"/>
      <c r="B193" s="70"/>
      <c r="C193" s="68"/>
      <c r="D193" s="20"/>
      <c r="H193" s="63"/>
    </row>
    <row r="194">
      <c r="A194" s="67"/>
      <c r="B194" s="70"/>
      <c r="C194" s="68"/>
      <c r="D194" s="20"/>
      <c r="H194" s="63"/>
    </row>
    <row r="195">
      <c r="A195" s="67"/>
      <c r="B195" s="70"/>
      <c r="C195" s="68"/>
      <c r="D195" s="20"/>
      <c r="H195" s="63"/>
    </row>
    <row r="196">
      <c r="A196" s="67"/>
      <c r="B196" s="70"/>
      <c r="C196" s="68"/>
      <c r="D196" s="20"/>
      <c r="H196" s="63"/>
    </row>
    <row r="197">
      <c r="A197" s="67"/>
      <c r="B197" s="70"/>
      <c r="C197" s="68"/>
      <c r="D197" s="20"/>
      <c r="H197" s="63"/>
    </row>
    <row r="198">
      <c r="A198" s="67"/>
      <c r="B198" s="70"/>
      <c r="C198" s="68"/>
      <c r="D198" s="20"/>
      <c r="H198" s="63"/>
    </row>
    <row r="199">
      <c r="A199" s="67"/>
      <c r="B199" s="70"/>
      <c r="C199" s="68"/>
      <c r="D199" s="20"/>
      <c r="H199" s="63"/>
    </row>
    <row r="200">
      <c r="A200" s="67"/>
      <c r="B200" s="70"/>
      <c r="C200" s="68"/>
      <c r="D200" s="20"/>
      <c r="H200" s="63"/>
    </row>
    <row r="201">
      <c r="A201" s="67"/>
      <c r="B201" s="70"/>
      <c r="C201" s="68"/>
      <c r="D201" s="20"/>
      <c r="H201" s="63"/>
    </row>
    <row r="202">
      <c r="A202" s="67"/>
      <c r="B202" s="70"/>
      <c r="C202" s="68"/>
      <c r="D202" s="20"/>
      <c r="H202" s="63"/>
    </row>
    <row r="203">
      <c r="A203" s="67"/>
      <c r="B203" s="70"/>
      <c r="C203" s="68"/>
      <c r="D203" s="20"/>
      <c r="H203" s="63"/>
    </row>
    <row r="204">
      <c r="A204" s="67"/>
      <c r="B204" s="70"/>
      <c r="C204" s="68"/>
      <c r="D204" s="20"/>
      <c r="H204" s="63"/>
    </row>
    <row r="205">
      <c r="A205" s="67"/>
      <c r="B205" s="70"/>
      <c r="C205" s="68"/>
      <c r="D205" s="20"/>
      <c r="H205" s="63"/>
    </row>
    <row r="206">
      <c r="A206" s="67"/>
      <c r="B206" s="70"/>
      <c r="C206" s="68"/>
      <c r="D206" s="20"/>
      <c r="H206" s="63"/>
    </row>
    <row r="207">
      <c r="A207" s="67"/>
      <c r="B207" s="70"/>
      <c r="C207" s="68"/>
      <c r="D207" s="20"/>
      <c r="H207" s="63"/>
    </row>
    <row r="208">
      <c r="A208" s="67"/>
      <c r="B208" s="70"/>
      <c r="C208" s="68"/>
      <c r="D208" s="20"/>
      <c r="H208" s="63"/>
    </row>
    <row r="209">
      <c r="A209" s="67"/>
      <c r="B209" s="70"/>
      <c r="C209" s="68"/>
      <c r="D209" s="20"/>
      <c r="H209" s="63"/>
    </row>
    <row r="210">
      <c r="A210" s="67"/>
      <c r="B210" s="70"/>
      <c r="C210" s="68"/>
      <c r="D210" s="20"/>
      <c r="H210" s="63"/>
    </row>
    <row r="211">
      <c r="A211" s="67"/>
      <c r="B211" s="70"/>
      <c r="C211" s="68"/>
      <c r="D211" s="20"/>
      <c r="H211" s="63"/>
    </row>
    <row r="212">
      <c r="A212" s="67"/>
      <c r="B212" s="70"/>
      <c r="C212" s="68"/>
      <c r="D212" s="20"/>
      <c r="H212" s="63"/>
    </row>
    <row r="213">
      <c r="A213" s="67"/>
      <c r="B213" s="70"/>
      <c r="C213" s="68"/>
      <c r="D213" s="20"/>
      <c r="H213" s="63"/>
    </row>
    <row r="214">
      <c r="A214" s="67"/>
      <c r="B214" s="70"/>
      <c r="C214" s="68"/>
      <c r="D214" s="20"/>
      <c r="H214" s="63"/>
    </row>
    <row r="215">
      <c r="A215" s="67"/>
      <c r="B215" s="70"/>
      <c r="C215" s="68"/>
      <c r="D215" s="20"/>
      <c r="H215" s="63"/>
    </row>
    <row r="216">
      <c r="A216" s="67"/>
      <c r="B216" s="70"/>
      <c r="C216" s="68"/>
      <c r="D216" s="20"/>
      <c r="H216" s="63"/>
    </row>
    <row r="217">
      <c r="A217" s="67"/>
      <c r="B217" s="70"/>
      <c r="C217" s="68"/>
      <c r="D217" s="20"/>
      <c r="H217" s="63"/>
    </row>
    <row r="218">
      <c r="A218" s="67"/>
      <c r="B218" s="70"/>
      <c r="C218" s="68"/>
      <c r="D218" s="20"/>
      <c r="H218" s="63"/>
    </row>
    <row r="219">
      <c r="A219" s="67"/>
      <c r="B219" s="70"/>
      <c r="C219" s="68"/>
      <c r="D219" s="20"/>
      <c r="H219" s="63"/>
    </row>
    <row r="220">
      <c r="A220" s="67"/>
      <c r="B220" s="70"/>
      <c r="C220" s="68"/>
      <c r="D220" s="20"/>
      <c r="H220" s="63"/>
    </row>
    <row r="221">
      <c r="A221" s="67"/>
      <c r="B221" s="70"/>
      <c r="C221" s="68"/>
      <c r="D221" s="20"/>
      <c r="H221" s="63"/>
    </row>
    <row r="222">
      <c r="A222" s="67"/>
      <c r="B222" s="70"/>
      <c r="C222" s="68"/>
      <c r="D222" s="20"/>
      <c r="H222" s="63"/>
    </row>
    <row r="223">
      <c r="A223" s="67"/>
      <c r="B223" s="70"/>
      <c r="C223" s="68"/>
      <c r="D223" s="20"/>
      <c r="H223" s="63"/>
    </row>
    <row r="224">
      <c r="A224" s="67"/>
      <c r="B224" s="70"/>
      <c r="C224" s="68"/>
      <c r="D224" s="20"/>
      <c r="H224" s="63"/>
    </row>
    <row r="225">
      <c r="A225" s="67"/>
      <c r="B225" s="70"/>
      <c r="C225" s="68"/>
      <c r="D225" s="20"/>
      <c r="H225" s="63"/>
    </row>
    <row r="226">
      <c r="A226" s="67"/>
      <c r="B226" s="70"/>
      <c r="C226" s="68"/>
      <c r="D226" s="20"/>
      <c r="H226" s="63"/>
    </row>
    <row r="227">
      <c r="A227" s="67"/>
      <c r="B227" s="70"/>
      <c r="C227" s="68"/>
      <c r="D227" s="20"/>
      <c r="H227" s="63"/>
    </row>
    <row r="228">
      <c r="A228" s="67"/>
      <c r="B228" s="70"/>
      <c r="C228" s="68"/>
      <c r="D228" s="20"/>
      <c r="H228" s="63"/>
    </row>
    <row r="229">
      <c r="A229" s="67"/>
      <c r="B229" s="70"/>
      <c r="C229" s="68"/>
      <c r="D229" s="20"/>
      <c r="H229" s="63"/>
    </row>
    <row r="230">
      <c r="A230" s="67"/>
      <c r="B230" s="70"/>
      <c r="C230" s="68"/>
      <c r="D230" s="20"/>
      <c r="H230" s="63"/>
    </row>
    <row r="231">
      <c r="A231" s="67"/>
      <c r="B231" s="70"/>
      <c r="C231" s="68"/>
      <c r="D231" s="20"/>
      <c r="H231" s="63"/>
    </row>
    <row r="232">
      <c r="A232" s="67"/>
      <c r="B232" s="70"/>
      <c r="C232" s="68"/>
      <c r="D232" s="20"/>
      <c r="H232" s="63"/>
    </row>
    <row r="233">
      <c r="A233" s="67"/>
      <c r="B233" s="70"/>
      <c r="C233" s="68"/>
      <c r="D233" s="20"/>
      <c r="H233" s="63"/>
    </row>
    <row r="234">
      <c r="A234" s="67"/>
      <c r="B234" s="70"/>
      <c r="C234" s="68"/>
      <c r="D234" s="20"/>
      <c r="H234" s="63"/>
    </row>
    <row r="235">
      <c r="A235" s="67"/>
      <c r="B235" s="70"/>
      <c r="C235" s="68"/>
      <c r="D235" s="20"/>
      <c r="H235" s="63"/>
    </row>
    <row r="236">
      <c r="A236" s="67"/>
      <c r="B236" s="70"/>
      <c r="C236" s="68"/>
      <c r="D236" s="20"/>
      <c r="H236" s="63"/>
    </row>
    <row r="237">
      <c r="A237" s="67"/>
      <c r="B237" s="70"/>
      <c r="C237" s="68"/>
      <c r="D237" s="20"/>
      <c r="H237" s="63"/>
    </row>
    <row r="238">
      <c r="A238" s="67"/>
      <c r="B238" s="70"/>
      <c r="C238" s="68"/>
      <c r="D238" s="20"/>
      <c r="H238" s="63"/>
    </row>
    <row r="239">
      <c r="A239" s="67"/>
      <c r="B239" s="70"/>
      <c r="C239" s="68"/>
      <c r="D239" s="20"/>
      <c r="H239" s="63"/>
    </row>
    <row r="240">
      <c r="A240" s="67"/>
      <c r="B240" s="70"/>
      <c r="C240" s="68"/>
      <c r="D240" s="20"/>
      <c r="H240" s="63"/>
    </row>
    <row r="241">
      <c r="A241" s="67"/>
      <c r="B241" s="70"/>
      <c r="C241" s="68"/>
      <c r="D241" s="20"/>
      <c r="H241" s="63"/>
    </row>
    <row r="242">
      <c r="A242" s="67"/>
      <c r="B242" s="70"/>
      <c r="C242" s="68"/>
      <c r="D242" s="20"/>
      <c r="H242" s="63"/>
    </row>
    <row r="243">
      <c r="A243" s="67"/>
      <c r="B243" s="70"/>
      <c r="C243" s="68"/>
      <c r="D243" s="20"/>
      <c r="H243" s="63"/>
    </row>
    <row r="244">
      <c r="A244" s="67"/>
      <c r="B244" s="70"/>
      <c r="C244" s="68"/>
      <c r="D244" s="20"/>
      <c r="H244" s="63"/>
    </row>
    <row r="245">
      <c r="A245" s="67"/>
      <c r="B245" s="70"/>
      <c r="C245" s="68"/>
      <c r="D245" s="20"/>
      <c r="H245" s="63"/>
    </row>
    <row r="246">
      <c r="A246" s="67"/>
      <c r="B246" s="70"/>
      <c r="C246" s="68"/>
      <c r="D246" s="20"/>
      <c r="H246" s="63"/>
    </row>
    <row r="247">
      <c r="A247" s="67"/>
      <c r="B247" s="70"/>
      <c r="C247" s="68"/>
      <c r="D247" s="20"/>
      <c r="H247" s="63"/>
    </row>
    <row r="248">
      <c r="A248" s="67"/>
      <c r="B248" s="70"/>
      <c r="C248" s="68"/>
      <c r="D248" s="20"/>
      <c r="H248" s="63"/>
    </row>
    <row r="249">
      <c r="A249" s="67"/>
      <c r="B249" s="70"/>
      <c r="C249" s="68"/>
      <c r="D249" s="20"/>
      <c r="H249" s="63"/>
    </row>
    <row r="250">
      <c r="A250" s="67"/>
      <c r="B250" s="70"/>
      <c r="C250" s="68"/>
      <c r="D250" s="20"/>
      <c r="H250" s="63"/>
    </row>
    <row r="251">
      <c r="A251" s="67"/>
      <c r="B251" s="70"/>
      <c r="C251" s="68"/>
      <c r="D251" s="20"/>
      <c r="H251" s="63"/>
    </row>
    <row r="252">
      <c r="A252" s="67"/>
      <c r="B252" s="70"/>
      <c r="C252" s="68"/>
      <c r="D252" s="20"/>
      <c r="H252" s="63"/>
    </row>
    <row r="253">
      <c r="A253" s="67"/>
      <c r="B253" s="70"/>
      <c r="C253" s="68"/>
      <c r="D253" s="20"/>
      <c r="H253" s="63"/>
    </row>
    <row r="254">
      <c r="A254" s="67"/>
      <c r="B254" s="70"/>
      <c r="C254" s="68"/>
      <c r="D254" s="20"/>
      <c r="H254" s="63"/>
    </row>
    <row r="255">
      <c r="A255" s="67"/>
      <c r="B255" s="70"/>
      <c r="C255" s="68"/>
      <c r="D255" s="20"/>
      <c r="H255" s="63"/>
    </row>
    <row r="256">
      <c r="A256" s="67"/>
      <c r="B256" s="70"/>
      <c r="C256" s="68"/>
      <c r="D256" s="20"/>
      <c r="H256" s="63"/>
    </row>
    <row r="257">
      <c r="A257" s="67"/>
      <c r="B257" s="70"/>
      <c r="C257" s="68"/>
      <c r="D257" s="20"/>
      <c r="H257" s="63"/>
    </row>
    <row r="258">
      <c r="A258" s="67"/>
      <c r="B258" s="70"/>
      <c r="C258" s="68"/>
      <c r="D258" s="20"/>
      <c r="H258" s="63"/>
    </row>
    <row r="259">
      <c r="A259" s="67"/>
      <c r="B259" s="70"/>
      <c r="C259" s="68"/>
      <c r="D259" s="20"/>
      <c r="H259" s="63"/>
    </row>
    <row r="260">
      <c r="A260" s="67"/>
      <c r="B260" s="70"/>
      <c r="C260" s="68"/>
      <c r="D260" s="20"/>
      <c r="H260" s="63"/>
    </row>
    <row r="261">
      <c r="A261" s="67"/>
      <c r="B261" s="70"/>
      <c r="C261" s="68"/>
      <c r="D261" s="20"/>
      <c r="H261" s="63"/>
    </row>
    <row r="262">
      <c r="A262" s="67"/>
      <c r="B262" s="70"/>
      <c r="C262" s="68"/>
      <c r="D262" s="20"/>
      <c r="H262" s="63"/>
    </row>
    <row r="263">
      <c r="A263" s="67"/>
      <c r="B263" s="70"/>
      <c r="C263" s="68"/>
      <c r="D263" s="20"/>
      <c r="H263" s="63"/>
    </row>
    <row r="264">
      <c r="A264" s="67"/>
      <c r="B264" s="70"/>
      <c r="C264" s="68"/>
      <c r="D264" s="20"/>
      <c r="H264" s="63"/>
    </row>
    <row r="265">
      <c r="A265" s="67"/>
      <c r="B265" s="70"/>
      <c r="C265" s="68"/>
      <c r="D265" s="20"/>
      <c r="H265" s="63"/>
    </row>
    <row r="266">
      <c r="A266" s="67"/>
      <c r="B266" s="70"/>
      <c r="C266" s="68"/>
      <c r="D266" s="20"/>
      <c r="H266" s="63"/>
    </row>
    <row r="267">
      <c r="A267" s="67"/>
      <c r="B267" s="70"/>
      <c r="C267" s="68"/>
      <c r="D267" s="20"/>
      <c r="H267" s="63"/>
    </row>
    <row r="268">
      <c r="A268" s="67"/>
      <c r="B268" s="70"/>
      <c r="C268" s="68"/>
      <c r="D268" s="20"/>
      <c r="H268" s="63"/>
    </row>
    <row r="269">
      <c r="A269" s="67"/>
      <c r="B269" s="70"/>
      <c r="C269" s="68"/>
      <c r="D269" s="20"/>
      <c r="H269" s="63"/>
    </row>
    <row r="270">
      <c r="A270" s="67"/>
      <c r="B270" s="70"/>
      <c r="C270" s="68"/>
      <c r="D270" s="20"/>
      <c r="H270" s="63"/>
    </row>
    <row r="271">
      <c r="A271" s="67"/>
      <c r="B271" s="70"/>
      <c r="C271" s="68"/>
      <c r="D271" s="20"/>
      <c r="H271" s="63"/>
    </row>
    <row r="272">
      <c r="A272" s="67"/>
      <c r="B272" s="70"/>
      <c r="C272" s="68"/>
      <c r="D272" s="20"/>
      <c r="H272" s="63"/>
    </row>
    <row r="273">
      <c r="A273" s="67"/>
      <c r="B273" s="70"/>
      <c r="C273" s="68"/>
      <c r="D273" s="20"/>
      <c r="H273" s="63"/>
    </row>
    <row r="274">
      <c r="A274" s="67"/>
      <c r="B274" s="70"/>
      <c r="C274" s="68"/>
      <c r="D274" s="20"/>
      <c r="H274" s="63"/>
    </row>
    <row r="275">
      <c r="A275" s="67"/>
      <c r="B275" s="70"/>
      <c r="C275" s="68"/>
      <c r="D275" s="20"/>
      <c r="H275" s="63"/>
    </row>
    <row r="276">
      <c r="A276" s="67"/>
      <c r="B276" s="70"/>
      <c r="C276" s="68"/>
      <c r="D276" s="20"/>
      <c r="H276" s="63"/>
    </row>
    <row r="277">
      <c r="A277" s="67"/>
      <c r="B277" s="70"/>
      <c r="C277" s="68"/>
      <c r="D277" s="20"/>
      <c r="H277" s="63"/>
    </row>
    <row r="278">
      <c r="A278" s="67"/>
      <c r="B278" s="70"/>
      <c r="C278" s="68"/>
      <c r="D278" s="20"/>
      <c r="H278" s="63"/>
    </row>
    <row r="279">
      <c r="A279" s="67"/>
      <c r="B279" s="70"/>
      <c r="C279" s="68"/>
      <c r="D279" s="20"/>
      <c r="H279" s="63"/>
    </row>
    <row r="280">
      <c r="A280" s="67"/>
      <c r="B280" s="70"/>
      <c r="C280" s="68"/>
      <c r="D280" s="20"/>
      <c r="H280" s="63"/>
    </row>
    <row r="281">
      <c r="A281" s="67"/>
      <c r="B281" s="70"/>
      <c r="C281" s="68"/>
      <c r="D281" s="20"/>
      <c r="H281" s="63"/>
    </row>
    <row r="282">
      <c r="A282" s="67"/>
      <c r="B282" s="70"/>
      <c r="C282" s="68"/>
      <c r="D282" s="20"/>
      <c r="H282" s="63"/>
    </row>
    <row r="283">
      <c r="A283" s="67"/>
      <c r="B283" s="70"/>
      <c r="C283" s="68"/>
      <c r="D283" s="20"/>
      <c r="H283" s="63"/>
    </row>
    <row r="284">
      <c r="A284" s="67"/>
      <c r="B284" s="70"/>
      <c r="C284" s="68"/>
      <c r="D284" s="20"/>
      <c r="H284" s="63"/>
    </row>
    <row r="285">
      <c r="A285" s="67"/>
      <c r="B285" s="70"/>
      <c r="C285" s="68"/>
      <c r="D285" s="20"/>
      <c r="H285" s="63"/>
    </row>
    <row r="286">
      <c r="A286" s="67"/>
      <c r="B286" s="70"/>
      <c r="C286" s="68"/>
      <c r="D286" s="20"/>
      <c r="H286" s="63"/>
    </row>
    <row r="287">
      <c r="A287" s="67"/>
      <c r="B287" s="70"/>
      <c r="C287" s="68"/>
      <c r="D287" s="20"/>
      <c r="H287" s="63"/>
    </row>
    <row r="288">
      <c r="A288" s="67"/>
      <c r="B288" s="70"/>
      <c r="C288" s="68"/>
      <c r="D288" s="20"/>
      <c r="H288" s="63"/>
    </row>
    <row r="289">
      <c r="A289" s="67"/>
      <c r="B289" s="70"/>
      <c r="C289" s="68"/>
      <c r="D289" s="20"/>
      <c r="H289" s="63"/>
    </row>
    <row r="290">
      <c r="A290" s="67"/>
      <c r="B290" s="70"/>
      <c r="C290" s="68"/>
      <c r="D290" s="20"/>
      <c r="H290" s="63"/>
    </row>
    <row r="291">
      <c r="A291" s="67"/>
      <c r="B291" s="70"/>
      <c r="C291" s="68"/>
      <c r="D291" s="20"/>
      <c r="H291" s="63"/>
    </row>
    <row r="292">
      <c r="A292" s="67"/>
      <c r="B292" s="70"/>
      <c r="C292" s="68"/>
      <c r="D292" s="20"/>
      <c r="H292" s="63"/>
    </row>
    <row r="293">
      <c r="A293" s="67"/>
      <c r="B293" s="70"/>
      <c r="C293" s="68"/>
      <c r="D293" s="20"/>
      <c r="H293" s="63"/>
    </row>
    <row r="294">
      <c r="A294" s="67"/>
      <c r="B294" s="70"/>
      <c r="C294" s="68"/>
      <c r="D294" s="20"/>
      <c r="H294" s="63"/>
    </row>
    <row r="295">
      <c r="A295" s="67"/>
      <c r="B295" s="70"/>
      <c r="C295" s="68"/>
      <c r="D295" s="20"/>
      <c r="H295" s="63"/>
    </row>
    <row r="296">
      <c r="A296" s="67"/>
      <c r="B296" s="70"/>
      <c r="C296" s="68"/>
      <c r="D296" s="20"/>
      <c r="H296" s="63"/>
    </row>
    <row r="297">
      <c r="A297" s="67"/>
      <c r="B297" s="70"/>
      <c r="C297" s="68"/>
      <c r="D297" s="20"/>
      <c r="H297" s="63"/>
    </row>
    <row r="298">
      <c r="A298" s="67"/>
      <c r="B298" s="70"/>
      <c r="C298" s="68"/>
      <c r="D298" s="20"/>
      <c r="H298" s="63"/>
    </row>
    <row r="299">
      <c r="A299" s="67"/>
      <c r="B299" s="70"/>
      <c r="C299" s="68"/>
      <c r="D299" s="20"/>
      <c r="H299" s="63"/>
    </row>
    <row r="300">
      <c r="A300" s="67"/>
      <c r="B300" s="70"/>
      <c r="C300" s="68"/>
      <c r="D300" s="20"/>
      <c r="H300" s="63"/>
    </row>
    <row r="301">
      <c r="A301" s="67"/>
      <c r="B301" s="70"/>
      <c r="C301" s="68"/>
      <c r="D301" s="20"/>
      <c r="H301" s="63"/>
    </row>
    <row r="302">
      <c r="A302" s="67"/>
      <c r="B302" s="70"/>
      <c r="C302" s="68"/>
      <c r="D302" s="20"/>
      <c r="H302" s="63"/>
    </row>
    <row r="303">
      <c r="A303" s="67"/>
      <c r="B303" s="70"/>
      <c r="C303" s="68"/>
      <c r="D303" s="20"/>
      <c r="H303" s="63"/>
    </row>
    <row r="304">
      <c r="A304" s="67"/>
      <c r="B304" s="70"/>
      <c r="C304" s="68"/>
      <c r="D304" s="20"/>
      <c r="H304" s="63"/>
    </row>
    <row r="305">
      <c r="A305" s="67"/>
      <c r="B305" s="70"/>
      <c r="C305" s="68"/>
      <c r="D305" s="20"/>
      <c r="H305" s="63"/>
    </row>
    <row r="306">
      <c r="A306" s="67"/>
      <c r="B306" s="70"/>
      <c r="C306" s="68"/>
      <c r="D306" s="20"/>
      <c r="H306" s="63"/>
    </row>
    <row r="307">
      <c r="A307" s="67"/>
      <c r="B307" s="70"/>
      <c r="C307" s="68"/>
      <c r="D307" s="20"/>
      <c r="H307" s="63"/>
    </row>
    <row r="308">
      <c r="A308" s="67"/>
      <c r="B308" s="70"/>
      <c r="C308" s="68"/>
      <c r="D308" s="20"/>
      <c r="H308" s="63"/>
    </row>
    <row r="309">
      <c r="A309" s="67"/>
      <c r="B309" s="70"/>
      <c r="C309" s="68"/>
      <c r="D309" s="20"/>
      <c r="H309" s="63"/>
    </row>
    <row r="310">
      <c r="A310" s="67"/>
      <c r="B310" s="70"/>
      <c r="C310" s="68"/>
      <c r="D310" s="20"/>
      <c r="H310" s="63"/>
    </row>
    <row r="311">
      <c r="A311" s="67"/>
      <c r="B311" s="70"/>
      <c r="C311" s="68"/>
      <c r="D311" s="20"/>
      <c r="H311" s="63"/>
    </row>
    <row r="312">
      <c r="A312" s="67"/>
      <c r="B312" s="70"/>
      <c r="C312" s="68"/>
      <c r="D312" s="20"/>
      <c r="H312" s="63"/>
    </row>
    <row r="313">
      <c r="A313" s="67"/>
      <c r="B313" s="70"/>
      <c r="C313" s="68"/>
      <c r="D313" s="20"/>
      <c r="H313" s="63"/>
    </row>
    <row r="314">
      <c r="A314" s="67"/>
      <c r="B314" s="70"/>
      <c r="C314" s="68"/>
      <c r="D314" s="20"/>
      <c r="H314" s="63"/>
    </row>
    <row r="315">
      <c r="A315" s="67"/>
      <c r="B315" s="70"/>
      <c r="C315" s="68"/>
      <c r="D315" s="20"/>
      <c r="H315" s="63"/>
    </row>
    <row r="316">
      <c r="A316" s="67"/>
      <c r="B316" s="70"/>
      <c r="C316" s="68"/>
      <c r="D316" s="20"/>
      <c r="H316" s="63"/>
    </row>
    <row r="317">
      <c r="A317" s="67"/>
      <c r="B317" s="70"/>
      <c r="C317" s="68"/>
      <c r="D317" s="20"/>
      <c r="H317" s="63"/>
    </row>
    <row r="318">
      <c r="A318" s="67"/>
      <c r="B318" s="70"/>
      <c r="C318" s="68"/>
      <c r="D318" s="20"/>
      <c r="H318" s="63"/>
    </row>
    <row r="319">
      <c r="A319" s="67"/>
      <c r="B319" s="70"/>
      <c r="C319" s="68"/>
      <c r="D319" s="20"/>
      <c r="H319" s="63"/>
    </row>
    <row r="320">
      <c r="A320" s="67"/>
      <c r="B320" s="70"/>
      <c r="C320" s="68"/>
      <c r="D320" s="20"/>
      <c r="H320" s="63"/>
    </row>
    <row r="321">
      <c r="A321" s="67"/>
      <c r="B321" s="70"/>
      <c r="C321" s="68"/>
      <c r="D321" s="20"/>
      <c r="H321" s="63"/>
    </row>
    <row r="322">
      <c r="A322" s="67"/>
      <c r="B322" s="70"/>
      <c r="C322" s="68"/>
      <c r="D322" s="20"/>
      <c r="H322" s="63"/>
    </row>
    <row r="323">
      <c r="A323" s="67"/>
      <c r="B323" s="70"/>
      <c r="C323" s="68"/>
      <c r="D323" s="20"/>
      <c r="H323" s="63"/>
    </row>
    <row r="324">
      <c r="A324" s="67"/>
      <c r="B324" s="70"/>
      <c r="C324" s="68"/>
      <c r="D324" s="20"/>
      <c r="H324" s="63"/>
    </row>
    <row r="325">
      <c r="A325" s="67"/>
      <c r="B325" s="70"/>
      <c r="C325" s="68"/>
      <c r="D325" s="20"/>
      <c r="H325" s="63"/>
    </row>
    <row r="326">
      <c r="A326" s="67"/>
      <c r="B326" s="70"/>
      <c r="C326" s="68"/>
      <c r="D326" s="20"/>
      <c r="H326" s="63"/>
    </row>
    <row r="327">
      <c r="A327" s="67"/>
      <c r="B327" s="70"/>
      <c r="C327" s="68"/>
      <c r="D327" s="20"/>
      <c r="H327" s="63"/>
    </row>
    <row r="328">
      <c r="A328" s="67"/>
      <c r="B328" s="70"/>
      <c r="C328" s="68"/>
      <c r="D328" s="20"/>
      <c r="H328" s="63"/>
    </row>
    <row r="329">
      <c r="A329" s="67"/>
      <c r="B329" s="70"/>
      <c r="C329" s="68"/>
      <c r="D329" s="20"/>
      <c r="H329" s="63"/>
    </row>
    <row r="330">
      <c r="A330" s="67"/>
      <c r="B330" s="70"/>
      <c r="C330" s="68"/>
      <c r="D330" s="20"/>
      <c r="H330" s="63"/>
    </row>
    <row r="331">
      <c r="A331" s="67"/>
      <c r="B331" s="70"/>
      <c r="C331" s="68"/>
      <c r="D331" s="20"/>
      <c r="H331" s="63"/>
    </row>
    <row r="332">
      <c r="A332" s="67"/>
      <c r="B332" s="70"/>
      <c r="C332" s="68"/>
      <c r="D332" s="20"/>
      <c r="H332" s="63"/>
    </row>
    <row r="333">
      <c r="A333" s="67"/>
      <c r="B333" s="70"/>
      <c r="C333" s="68"/>
      <c r="D333" s="20"/>
      <c r="H333" s="63"/>
    </row>
    <row r="334">
      <c r="A334" s="67"/>
      <c r="B334" s="70"/>
      <c r="C334" s="68"/>
      <c r="D334" s="20"/>
      <c r="H334" s="63"/>
    </row>
    <row r="335">
      <c r="A335" s="67"/>
      <c r="B335" s="70"/>
      <c r="C335" s="68"/>
      <c r="D335" s="20"/>
      <c r="H335" s="63"/>
    </row>
    <row r="336">
      <c r="A336" s="67"/>
      <c r="B336" s="70"/>
      <c r="C336" s="68"/>
      <c r="D336" s="20"/>
      <c r="H336" s="63"/>
    </row>
    <row r="337">
      <c r="A337" s="67"/>
      <c r="B337" s="70"/>
      <c r="C337" s="68"/>
      <c r="D337" s="20"/>
      <c r="H337" s="63"/>
    </row>
    <row r="338">
      <c r="A338" s="67"/>
      <c r="B338" s="70"/>
      <c r="C338" s="68"/>
      <c r="D338" s="20"/>
      <c r="H338" s="63"/>
    </row>
    <row r="339">
      <c r="A339" s="67"/>
      <c r="B339" s="70"/>
      <c r="C339" s="68"/>
      <c r="D339" s="20"/>
      <c r="H339" s="63"/>
    </row>
    <row r="340">
      <c r="A340" s="67"/>
      <c r="B340" s="70"/>
      <c r="C340" s="68"/>
      <c r="D340" s="20"/>
      <c r="H340" s="63"/>
    </row>
    <row r="341">
      <c r="A341" s="67"/>
      <c r="B341" s="70"/>
      <c r="C341" s="68"/>
      <c r="D341" s="20"/>
      <c r="H341" s="63"/>
    </row>
    <row r="342">
      <c r="A342" s="67"/>
      <c r="B342" s="70"/>
      <c r="C342" s="68"/>
      <c r="D342" s="20"/>
      <c r="H342" s="63"/>
    </row>
    <row r="343">
      <c r="A343" s="67"/>
      <c r="B343" s="70"/>
      <c r="C343" s="68"/>
      <c r="D343" s="20"/>
      <c r="H343" s="63"/>
    </row>
    <row r="344">
      <c r="A344" s="67"/>
      <c r="B344" s="70"/>
      <c r="C344" s="68"/>
      <c r="D344" s="20"/>
      <c r="H344" s="63"/>
    </row>
    <row r="345">
      <c r="A345" s="67"/>
      <c r="B345" s="70"/>
      <c r="C345" s="68"/>
      <c r="D345" s="20"/>
      <c r="H345" s="63"/>
    </row>
    <row r="346">
      <c r="A346" s="67"/>
      <c r="B346" s="70"/>
      <c r="C346" s="68"/>
      <c r="D346" s="20"/>
      <c r="H346" s="63"/>
    </row>
    <row r="347">
      <c r="A347" s="67"/>
      <c r="B347" s="70"/>
      <c r="C347" s="68"/>
      <c r="D347" s="20"/>
      <c r="H347" s="63"/>
    </row>
    <row r="348">
      <c r="A348" s="67"/>
      <c r="B348" s="70"/>
      <c r="C348" s="68"/>
      <c r="D348" s="20"/>
      <c r="H348" s="63"/>
    </row>
    <row r="349">
      <c r="A349" s="67"/>
      <c r="B349" s="70"/>
      <c r="C349" s="68"/>
      <c r="D349" s="20"/>
      <c r="H349" s="63"/>
    </row>
    <row r="350">
      <c r="A350" s="67"/>
      <c r="B350" s="70"/>
      <c r="C350" s="68"/>
      <c r="D350" s="20"/>
      <c r="H350" s="63"/>
    </row>
    <row r="351">
      <c r="A351" s="67"/>
      <c r="B351" s="70"/>
      <c r="C351" s="68"/>
      <c r="D351" s="20"/>
      <c r="H351" s="63"/>
    </row>
    <row r="352">
      <c r="A352" s="67"/>
      <c r="B352" s="70"/>
      <c r="C352" s="68"/>
      <c r="D352" s="20"/>
      <c r="H352" s="63"/>
    </row>
    <row r="353">
      <c r="A353" s="67"/>
      <c r="B353" s="70"/>
      <c r="C353" s="68"/>
      <c r="D353" s="20"/>
      <c r="H353" s="63"/>
    </row>
    <row r="354">
      <c r="A354" s="67"/>
      <c r="B354" s="70"/>
      <c r="C354" s="68"/>
      <c r="D354" s="20"/>
      <c r="H354" s="63"/>
    </row>
    <row r="355">
      <c r="A355" s="67"/>
      <c r="B355" s="70"/>
      <c r="C355" s="68"/>
      <c r="D355" s="20"/>
      <c r="H355" s="63"/>
    </row>
    <row r="356">
      <c r="A356" s="67"/>
      <c r="B356" s="70"/>
      <c r="C356" s="68"/>
      <c r="D356" s="20"/>
      <c r="H356" s="63"/>
    </row>
    <row r="357">
      <c r="A357" s="67"/>
      <c r="B357" s="70"/>
      <c r="C357" s="68"/>
      <c r="D357" s="20"/>
      <c r="H357" s="63"/>
    </row>
    <row r="358">
      <c r="A358" s="67"/>
      <c r="B358" s="70"/>
      <c r="C358" s="68"/>
      <c r="D358" s="20"/>
      <c r="H358" s="63"/>
    </row>
    <row r="359">
      <c r="A359" s="67"/>
      <c r="B359" s="70"/>
      <c r="C359" s="68"/>
      <c r="D359" s="20"/>
      <c r="H359" s="63"/>
    </row>
    <row r="360">
      <c r="A360" s="67"/>
      <c r="B360" s="70"/>
      <c r="C360" s="68"/>
      <c r="D360" s="20"/>
      <c r="H360" s="63"/>
    </row>
    <row r="361">
      <c r="A361" s="67"/>
      <c r="B361" s="70"/>
      <c r="C361" s="68"/>
      <c r="D361" s="20"/>
      <c r="H361" s="63"/>
    </row>
    <row r="362">
      <c r="A362" s="67"/>
      <c r="B362" s="70"/>
      <c r="C362" s="68"/>
      <c r="D362" s="20"/>
      <c r="H362" s="63"/>
    </row>
    <row r="363">
      <c r="A363" s="67"/>
      <c r="B363" s="70"/>
      <c r="C363" s="68"/>
      <c r="D363" s="20"/>
      <c r="H363" s="63"/>
    </row>
    <row r="364">
      <c r="A364" s="67"/>
      <c r="B364" s="70"/>
      <c r="C364" s="68"/>
      <c r="D364" s="20"/>
      <c r="H364" s="63"/>
    </row>
    <row r="365">
      <c r="A365" s="67"/>
      <c r="B365" s="70"/>
      <c r="C365" s="68"/>
      <c r="D365" s="20"/>
      <c r="H365" s="63"/>
    </row>
    <row r="366">
      <c r="A366" s="67"/>
      <c r="B366" s="70"/>
      <c r="C366" s="68"/>
      <c r="D366" s="20"/>
      <c r="H366" s="63"/>
    </row>
    <row r="367">
      <c r="A367" s="67"/>
      <c r="B367" s="70"/>
      <c r="C367" s="68"/>
      <c r="D367" s="20"/>
      <c r="H367" s="63"/>
    </row>
    <row r="368">
      <c r="A368" s="67"/>
      <c r="B368" s="70"/>
      <c r="C368" s="68"/>
      <c r="D368" s="20"/>
      <c r="H368" s="63"/>
    </row>
    <row r="369">
      <c r="A369" s="67"/>
      <c r="B369" s="70"/>
      <c r="C369" s="68"/>
      <c r="D369" s="20"/>
      <c r="H369" s="63"/>
    </row>
    <row r="370">
      <c r="A370" s="67"/>
      <c r="B370" s="70"/>
      <c r="C370" s="68"/>
      <c r="D370" s="20"/>
      <c r="H370" s="63"/>
    </row>
    <row r="371">
      <c r="A371" s="67"/>
      <c r="B371" s="70"/>
      <c r="C371" s="68"/>
      <c r="D371" s="20"/>
      <c r="H371" s="63"/>
    </row>
    <row r="372">
      <c r="A372" s="67"/>
      <c r="B372" s="70"/>
      <c r="C372" s="68"/>
      <c r="D372" s="20"/>
      <c r="H372" s="63"/>
    </row>
    <row r="373">
      <c r="A373" s="67"/>
      <c r="B373" s="70"/>
      <c r="C373" s="68"/>
      <c r="D373" s="20"/>
      <c r="H373" s="63"/>
    </row>
    <row r="374">
      <c r="A374" s="67"/>
      <c r="B374" s="70"/>
      <c r="C374" s="68"/>
      <c r="D374" s="20"/>
      <c r="H374" s="63"/>
    </row>
    <row r="375">
      <c r="A375" s="67"/>
      <c r="B375" s="70"/>
      <c r="C375" s="68"/>
      <c r="D375" s="20"/>
      <c r="H375" s="63"/>
    </row>
    <row r="376">
      <c r="A376" s="67"/>
      <c r="B376" s="70"/>
      <c r="C376" s="68"/>
      <c r="D376" s="20"/>
      <c r="H376" s="63"/>
    </row>
    <row r="377">
      <c r="A377" s="67"/>
      <c r="B377" s="70"/>
      <c r="C377" s="68"/>
      <c r="D377" s="20"/>
      <c r="H377" s="63"/>
    </row>
    <row r="378">
      <c r="A378" s="67"/>
      <c r="B378" s="70"/>
      <c r="C378" s="68"/>
      <c r="D378" s="20"/>
      <c r="H378" s="63"/>
    </row>
    <row r="379">
      <c r="A379" s="67"/>
      <c r="B379" s="70"/>
      <c r="C379" s="68"/>
      <c r="D379" s="20"/>
      <c r="H379" s="63"/>
    </row>
    <row r="380">
      <c r="A380" s="67"/>
      <c r="B380" s="70"/>
      <c r="C380" s="68"/>
      <c r="D380" s="20"/>
      <c r="H380" s="63"/>
    </row>
    <row r="381">
      <c r="A381" s="67"/>
      <c r="B381" s="70"/>
      <c r="C381" s="68"/>
      <c r="D381" s="20"/>
      <c r="H381" s="63"/>
    </row>
    <row r="382">
      <c r="A382" s="67"/>
      <c r="B382" s="70"/>
      <c r="C382" s="68"/>
      <c r="D382" s="20"/>
      <c r="H382" s="63"/>
    </row>
    <row r="383">
      <c r="A383" s="67"/>
      <c r="B383" s="70"/>
      <c r="C383" s="68"/>
      <c r="D383" s="20"/>
      <c r="H383" s="63"/>
    </row>
    <row r="384">
      <c r="A384" s="67"/>
      <c r="B384" s="70"/>
      <c r="C384" s="68"/>
      <c r="D384" s="20"/>
      <c r="H384" s="63"/>
    </row>
    <row r="385">
      <c r="A385" s="67"/>
      <c r="B385" s="70"/>
      <c r="C385" s="68"/>
      <c r="D385" s="20"/>
      <c r="H385" s="63"/>
    </row>
    <row r="386">
      <c r="A386" s="67"/>
      <c r="B386" s="70"/>
      <c r="C386" s="68"/>
      <c r="D386" s="20"/>
      <c r="H386" s="63"/>
    </row>
    <row r="387">
      <c r="A387" s="67"/>
      <c r="B387" s="70"/>
      <c r="C387" s="68"/>
      <c r="D387" s="20"/>
      <c r="H387" s="63"/>
    </row>
    <row r="388">
      <c r="A388" s="67"/>
      <c r="B388" s="70"/>
      <c r="C388" s="68"/>
      <c r="D388" s="20"/>
      <c r="H388" s="63"/>
    </row>
    <row r="389">
      <c r="A389" s="67"/>
      <c r="B389" s="70"/>
      <c r="C389" s="68"/>
      <c r="D389" s="20"/>
      <c r="H389" s="63"/>
    </row>
    <row r="390">
      <c r="A390" s="67"/>
      <c r="B390" s="70"/>
      <c r="C390" s="68"/>
      <c r="D390" s="20"/>
      <c r="H390" s="63"/>
    </row>
    <row r="391">
      <c r="A391" s="67"/>
      <c r="B391" s="70"/>
      <c r="C391" s="68"/>
      <c r="D391" s="20"/>
      <c r="H391" s="63"/>
    </row>
    <row r="392">
      <c r="A392" s="67"/>
      <c r="B392" s="70"/>
      <c r="C392" s="68"/>
      <c r="D392" s="20"/>
      <c r="H392" s="63"/>
    </row>
    <row r="393">
      <c r="A393" s="67"/>
      <c r="B393" s="70"/>
      <c r="C393" s="68"/>
      <c r="D393" s="20"/>
      <c r="H393" s="63"/>
    </row>
    <row r="394">
      <c r="A394" s="67"/>
      <c r="B394" s="70"/>
      <c r="C394" s="68"/>
      <c r="D394" s="20"/>
      <c r="H394" s="63"/>
    </row>
    <row r="395">
      <c r="A395" s="67"/>
      <c r="B395" s="70"/>
      <c r="C395" s="68"/>
      <c r="D395" s="20"/>
      <c r="H395" s="63"/>
    </row>
    <row r="396">
      <c r="A396" s="67"/>
      <c r="B396" s="70"/>
      <c r="C396" s="68"/>
      <c r="D396" s="20"/>
      <c r="H396" s="63"/>
    </row>
    <row r="397">
      <c r="A397" s="67"/>
      <c r="B397" s="70"/>
      <c r="C397" s="68"/>
      <c r="D397" s="20"/>
      <c r="H397" s="63"/>
    </row>
    <row r="398">
      <c r="A398" s="67"/>
      <c r="B398" s="70"/>
      <c r="C398" s="68"/>
      <c r="D398" s="20"/>
      <c r="H398" s="63"/>
    </row>
    <row r="399">
      <c r="A399" s="67"/>
      <c r="B399" s="70"/>
      <c r="C399" s="68"/>
      <c r="D399" s="20"/>
      <c r="H399" s="63"/>
    </row>
    <row r="400">
      <c r="A400" s="67"/>
      <c r="B400" s="70"/>
      <c r="C400" s="68"/>
      <c r="D400" s="20"/>
      <c r="H400" s="63"/>
    </row>
    <row r="401">
      <c r="A401" s="67"/>
      <c r="B401" s="70"/>
      <c r="C401" s="68"/>
      <c r="D401" s="20"/>
      <c r="H401" s="63"/>
    </row>
    <row r="402">
      <c r="A402" s="67"/>
      <c r="B402" s="70"/>
      <c r="C402" s="68"/>
      <c r="D402" s="20"/>
      <c r="H402" s="63"/>
    </row>
    <row r="403">
      <c r="A403" s="67"/>
      <c r="B403" s="70"/>
      <c r="C403" s="68"/>
      <c r="D403" s="20"/>
      <c r="H403" s="63"/>
    </row>
    <row r="404">
      <c r="A404" s="67"/>
      <c r="B404" s="70"/>
      <c r="C404" s="68"/>
      <c r="D404" s="20"/>
      <c r="H404" s="63"/>
    </row>
    <row r="405">
      <c r="A405" s="67"/>
      <c r="B405" s="70"/>
      <c r="C405" s="68"/>
      <c r="D405" s="20"/>
      <c r="H405" s="63"/>
    </row>
    <row r="406">
      <c r="A406" s="67"/>
      <c r="B406" s="70"/>
      <c r="C406" s="68"/>
      <c r="D406" s="20"/>
      <c r="H406" s="63"/>
    </row>
    <row r="407">
      <c r="A407" s="67"/>
      <c r="B407" s="70"/>
      <c r="C407" s="68"/>
      <c r="D407" s="20"/>
      <c r="H407" s="63"/>
    </row>
    <row r="408">
      <c r="A408" s="67"/>
      <c r="B408" s="70"/>
      <c r="C408" s="68"/>
      <c r="D408" s="20"/>
      <c r="H408" s="63"/>
    </row>
    <row r="409">
      <c r="A409" s="67"/>
      <c r="B409" s="70"/>
      <c r="C409" s="68"/>
      <c r="D409" s="20"/>
      <c r="H409" s="63"/>
    </row>
    <row r="410">
      <c r="A410" s="67"/>
      <c r="B410" s="70"/>
      <c r="C410" s="68"/>
      <c r="D410" s="20"/>
      <c r="H410" s="63"/>
    </row>
    <row r="411">
      <c r="A411" s="67"/>
      <c r="B411" s="70"/>
      <c r="C411" s="68"/>
      <c r="D411" s="20"/>
      <c r="H411" s="63"/>
    </row>
    <row r="412">
      <c r="A412" s="67"/>
      <c r="B412" s="70"/>
      <c r="C412" s="68"/>
      <c r="D412" s="20"/>
      <c r="H412" s="63"/>
    </row>
    <row r="413">
      <c r="A413" s="67"/>
      <c r="B413" s="70"/>
      <c r="C413" s="68"/>
      <c r="D413" s="20"/>
      <c r="H413" s="63"/>
    </row>
    <row r="414">
      <c r="A414" s="67"/>
      <c r="B414" s="70"/>
      <c r="C414" s="68"/>
      <c r="D414" s="20"/>
      <c r="H414" s="63"/>
    </row>
    <row r="415">
      <c r="A415" s="67"/>
      <c r="B415" s="70"/>
      <c r="C415" s="68"/>
      <c r="D415" s="20"/>
      <c r="H415" s="63"/>
    </row>
    <row r="416">
      <c r="A416" s="67"/>
      <c r="B416" s="70"/>
      <c r="C416" s="68"/>
      <c r="D416" s="20"/>
      <c r="H416" s="63"/>
    </row>
    <row r="417">
      <c r="A417" s="67"/>
      <c r="B417" s="70"/>
      <c r="C417" s="68"/>
      <c r="D417" s="20"/>
      <c r="H417" s="63"/>
    </row>
    <row r="418">
      <c r="A418" s="67"/>
      <c r="B418" s="70"/>
      <c r="C418" s="68"/>
      <c r="D418" s="20"/>
      <c r="H418" s="63"/>
    </row>
    <row r="419">
      <c r="A419" s="67"/>
      <c r="B419" s="70"/>
      <c r="C419" s="68"/>
      <c r="D419" s="20"/>
      <c r="H419" s="63"/>
    </row>
    <row r="420">
      <c r="A420" s="67"/>
      <c r="B420" s="70"/>
      <c r="C420" s="68"/>
      <c r="D420" s="20"/>
      <c r="H420" s="63"/>
    </row>
    <row r="421">
      <c r="A421" s="67"/>
      <c r="B421" s="70"/>
      <c r="C421" s="68"/>
      <c r="D421" s="20"/>
      <c r="H421" s="63"/>
    </row>
    <row r="422">
      <c r="A422" s="67"/>
      <c r="B422" s="70"/>
      <c r="C422" s="68"/>
      <c r="D422" s="20"/>
      <c r="H422" s="63"/>
    </row>
    <row r="423">
      <c r="A423" s="67"/>
      <c r="B423" s="70"/>
      <c r="C423" s="68"/>
      <c r="D423" s="20"/>
      <c r="H423" s="63"/>
    </row>
    <row r="424">
      <c r="A424" s="67"/>
      <c r="B424" s="70"/>
      <c r="C424" s="68"/>
      <c r="D424" s="20"/>
      <c r="H424" s="63"/>
    </row>
    <row r="425">
      <c r="A425" s="67"/>
      <c r="B425" s="70"/>
      <c r="C425" s="68"/>
      <c r="D425" s="20"/>
      <c r="H425" s="63"/>
    </row>
    <row r="426">
      <c r="A426" s="67"/>
      <c r="B426" s="70"/>
      <c r="C426" s="68"/>
      <c r="D426" s="20"/>
      <c r="H426" s="63"/>
    </row>
    <row r="427">
      <c r="A427" s="67"/>
      <c r="B427" s="70"/>
      <c r="C427" s="68"/>
      <c r="D427" s="20"/>
      <c r="H427" s="63"/>
    </row>
    <row r="428">
      <c r="A428" s="67"/>
      <c r="B428" s="70"/>
      <c r="C428" s="68"/>
      <c r="D428" s="20"/>
      <c r="H428" s="63"/>
    </row>
    <row r="429">
      <c r="A429" s="67"/>
      <c r="B429" s="70"/>
      <c r="C429" s="68"/>
      <c r="D429" s="20"/>
      <c r="H429" s="63"/>
    </row>
    <row r="430">
      <c r="A430" s="67"/>
      <c r="B430" s="70"/>
      <c r="C430" s="68"/>
      <c r="D430" s="20"/>
      <c r="H430" s="63"/>
    </row>
    <row r="431">
      <c r="A431" s="67"/>
      <c r="B431" s="70"/>
      <c r="C431" s="68"/>
      <c r="D431" s="20"/>
      <c r="H431" s="63"/>
    </row>
    <row r="432">
      <c r="A432" s="67"/>
      <c r="B432" s="70"/>
      <c r="C432" s="68"/>
      <c r="D432" s="20"/>
      <c r="H432" s="63"/>
    </row>
    <row r="433">
      <c r="A433" s="67"/>
      <c r="B433" s="70"/>
      <c r="C433" s="68"/>
      <c r="D433" s="20"/>
      <c r="H433" s="63"/>
    </row>
    <row r="434">
      <c r="A434" s="67"/>
      <c r="B434" s="70"/>
      <c r="C434" s="68"/>
      <c r="D434" s="20"/>
      <c r="H434" s="63"/>
    </row>
    <row r="435">
      <c r="A435" s="67"/>
      <c r="B435" s="70"/>
      <c r="C435" s="68"/>
      <c r="D435" s="20"/>
      <c r="H435" s="63"/>
    </row>
    <row r="436">
      <c r="A436" s="67"/>
      <c r="B436" s="70"/>
      <c r="C436" s="68"/>
      <c r="D436" s="20"/>
      <c r="H436" s="63"/>
    </row>
    <row r="437">
      <c r="A437" s="67"/>
      <c r="B437" s="70"/>
      <c r="C437" s="68"/>
      <c r="D437" s="20"/>
      <c r="H437" s="63"/>
    </row>
    <row r="438">
      <c r="A438" s="67"/>
      <c r="B438" s="70"/>
      <c r="C438" s="68"/>
      <c r="D438" s="20"/>
      <c r="H438" s="63"/>
    </row>
    <row r="439">
      <c r="A439" s="67"/>
      <c r="B439" s="70"/>
      <c r="C439" s="68"/>
      <c r="D439" s="20"/>
      <c r="H439" s="63"/>
    </row>
    <row r="440">
      <c r="A440" s="67"/>
      <c r="B440" s="70"/>
      <c r="C440" s="68"/>
      <c r="D440" s="20"/>
      <c r="H440" s="63"/>
    </row>
    <row r="441">
      <c r="A441" s="67"/>
      <c r="B441" s="70"/>
      <c r="C441" s="68"/>
      <c r="D441" s="20"/>
      <c r="H441" s="63"/>
    </row>
    <row r="442">
      <c r="A442" s="67"/>
      <c r="B442" s="70"/>
      <c r="C442" s="68"/>
      <c r="D442" s="20"/>
      <c r="H442" s="63"/>
    </row>
    <row r="443">
      <c r="A443" s="67"/>
      <c r="B443" s="70"/>
      <c r="C443" s="68"/>
      <c r="D443" s="20"/>
      <c r="H443" s="63"/>
    </row>
    <row r="444">
      <c r="A444" s="67"/>
      <c r="B444" s="70"/>
      <c r="C444" s="68"/>
      <c r="D444" s="20"/>
      <c r="H444" s="63"/>
    </row>
    <row r="445">
      <c r="A445" s="67"/>
      <c r="B445" s="70"/>
      <c r="C445" s="68"/>
      <c r="D445" s="20"/>
      <c r="H445" s="63"/>
    </row>
    <row r="446">
      <c r="A446" s="67"/>
      <c r="B446" s="70"/>
      <c r="C446" s="68"/>
      <c r="D446" s="20"/>
      <c r="H446" s="63"/>
    </row>
    <row r="447">
      <c r="A447" s="67"/>
      <c r="B447" s="70"/>
      <c r="C447" s="68"/>
      <c r="D447" s="20"/>
      <c r="H447" s="63"/>
    </row>
    <row r="448">
      <c r="A448" s="67"/>
      <c r="B448" s="70"/>
      <c r="C448" s="68"/>
      <c r="D448" s="20"/>
      <c r="H448" s="63"/>
    </row>
    <row r="449">
      <c r="A449" s="67"/>
      <c r="B449" s="70"/>
      <c r="C449" s="68"/>
      <c r="D449" s="20"/>
      <c r="H449" s="63"/>
    </row>
    <row r="450">
      <c r="A450" s="67"/>
      <c r="B450" s="70"/>
      <c r="C450" s="68"/>
      <c r="D450" s="20"/>
      <c r="H450" s="63"/>
    </row>
    <row r="451">
      <c r="A451" s="67"/>
      <c r="B451" s="70"/>
      <c r="C451" s="68"/>
      <c r="D451" s="20"/>
      <c r="H451" s="63"/>
    </row>
    <row r="452">
      <c r="A452" s="67"/>
      <c r="B452" s="70"/>
      <c r="C452" s="68"/>
      <c r="D452" s="20"/>
      <c r="H452" s="63"/>
    </row>
    <row r="453">
      <c r="A453" s="67"/>
      <c r="B453" s="70"/>
      <c r="C453" s="68"/>
      <c r="D453" s="20"/>
      <c r="H453" s="63"/>
    </row>
    <row r="454">
      <c r="A454" s="67"/>
      <c r="B454" s="70"/>
      <c r="C454" s="68"/>
      <c r="D454" s="20"/>
      <c r="H454" s="63"/>
    </row>
    <row r="455">
      <c r="A455" s="67"/>
      <c r="B455" s="70"/>
      <c r="C455" s="68"/>
      <c r="D455" s="20"/>
      <c r="H455" s="63"/>
    </row>
    <row r="456">
      <c r="A456" s="67"/>
      <c r="B456" s="70"/>
      <c r="C456" s="68"/>
      <c r="D456" s="20"/>
      <c r="H456" s="63"/>
    </row>
    <row r="457">
      <c r="A457" s="67"/>
      <c r="B457" s="70"/>
      <c r="C457" s="68"/>
      <c r="D457" s="20"/>
      <c r="H457" s="63"/>
    </row>
    <row r="458">
      <c r="A458" s="67"/>
      <c r="B458" s="70"/>
      <c r="C458" s="68"/>
      <c r="D458" s="20"/>
      <c r="H458" s="63"/>
    </row>
    <row r="459">
      <c r="A459" s="67"/>
      <c r="B459" s="70"/>
      <c r="C459" s="68"/>
      <c r="D459" s="20"/>
      <c r="H459" s="63"/>
    </row>
    <row r="460">
      <c r="A460" s="67"/>
      <c r="B460" s="70"/>
      <c r="C460" s="68"/>
      <c r="D460" s="20"/>
      <c r="H460" s="63"/>
    </row>
    <row r="461">
      <c r="A461" s="67"/>
      <c r="B461" s="70"/>
      <c r="C461" s="68"/>
      <c r="D461" s="20"/>
      <c r="H461" s="63"/>
    </row>
    <row r="462">
      <c r="A462" s="67"/>
      <c r="B462" s="70"/>
      <c r="C462" s="68"/>
      <c r="D462" s="20"/>
      <c r="H462" s="63"/>
    </row>
    <row r="463">
      <c r="A463" s="67"/>
      <c r="B463" s="70"/>
      <c r="C463" s="68"/>
      <c r="D463" s="20"/>
      <c r="H463" s="63"/>
    </row>
    <row r="464">
      <c r="A464" s="67"/>
      <c r="B464" s="70"/>
      <c r="C464" s="68"/>
      <c r="D464" s="20"/>
      <c r="H464" s="63"/>
    </row>
    <row r="465">
      <c r="A465" s="67"/>
      <c r="B465" s="70"/>
      <c r="C465" s="68"/>
      <c r="D465" s="20"/>
      <c r="H465" s="63"/>
    </row>
    <row r="466">
      <c r="A466" s="67"/>
      <c r="B466" s="70"/>
      <c r="C466" s="68"/>
      <c r="D466" s="20"/>
      <c r="H466" s="63"/>
    </row>
    <row r="467">
      <c r="A467" s="67"/>
      <c r="B467" s="70"/>
      <c r="C467" s="68"/>
      <c r="D467" s="20"/>
      <c r="H467" s="63"/>
    </row>
    <row r="468">
      <c r="A468" s="67"/>
      <c r="B468" s="70"/>
      <c r="C468" s="68"/>
      <c r="D468" s="20"/>
      <c r="H468" s="63"/>
    </row>
    <row r="469">
      <c r="A469" s="67"/>
      <c r="B469" s="70"/>
      <c r="C469" s="68"/>
      <c r="D469" s="20"/>
      <c r="H469" s="63"/>
    </row>
    <row r="470">
      <c r="A470" s="67"/>
      <c r="B470" s="70"/>
      <c r="C470" s="68"/>
      <c r="D470" s="20"/>
      <c r="H470" s="63"/>
    </row>
    <row r="471">
      <c r="A471" s="67"/>
      <c r="B471" s="70"/>
      <c r="C471" s="68"/>
      <c r="D471" s="20"/>
      <c r="H471" s="63"/>
    </row>
    <row r="472">
      <c r="A472" s="67"/>
      <c r="B472" s="70"/>
      <c r="C472" s="68"/>
      <c r="D472" s="20"/>
      <c r="H472" s="63"/>
    </row>
    <row r="473">
      <c r="A473" s="67"/>
      <c r="B473" s="70"/>
      <c r="C473" s="68"/>
      <c r="D473" s="20"/>
      <c r="H473" s="63"/>
    </row>
    <row r="474">
      <c r="A474" s="67"/>
      <c r="B474" s="70"/>
      <c r="C474" s="68"/>
      <c r="D474" s="20"/>
      <c r="H474" s="63"/>
    </row>
    <row r="475">
      <c r="A475" s="67"/>
      <c r="B475" s="70"/>
      <c r="C475" s="68"/>
      <c r="D475" s="20"/>
      <c r="H475" s="63"/>
    </row>
    <row r="476">
      <c r="A476" s="67"/>
      <c r="B476" s="70"/>
      <c r="C476" s="68"/>
      <c r="D476" s="20"/>
      <c r="H476" s="63"/>
    </row>
    <row r="477">
      <c r="A477" s="67"/>
      <c r="B477" s="70"/>
      <c r="C477" s="68"/>
      <c r="D477" s="20"/>
      <c r="H477" s="63"/>
    </row>
    <row r="478">
      <c r="A478" s="67"/>
      <c r="B478" s="70"/>
      <c r="C478" s="68"/>
      <c r="D478" s="20"/>
      <c r="H478" s="63"/>
    </row>
    <row r="479">
      <c r="A479" s="67"/>
      <c r="B479" s="70"/>
      <c r="C479" s="68"/>
      <c r="D479" s="20"/>
      <c r="H479" s="63"/>
    </row>
    <row r="480">
      <c r="A480" s="67"/>
      <c r="B480" s="70"/>
      <c r="C480" s="68"/>
      <c r="D480" s="20"/>
      <c r="H480" s="63"/>
    </row>
    <row r="481">
      <c r="A481" s="67"/>
      <c r="B481" s="70"/>
      <c r="C481" s="68"/>
      <c r="D481" s="20"/>
      <c r="H481" s="63"/>
    </row>
    <row r="482">
      <c r="A482" s="67"/>
      <c r="B482" s="70"/>
      <c r="C482" s="68"/>
      <c r="D482" s="20"/>
      <c r="H482" s="63"/>
    </row>
    <row r="483">
      <c r="A483" s="67"/>
      <c r="B483" s="70"/>
      <c r="C483" s="68"/>
      <c r="D483" s="20"/>
      <c r="H483" s="63"/>
    </row>
    <row r="484">
      <c r="A484" s="67"/>
      <c r="B484" s="70"/>
      <c r="C484" s="68"/>
      <c r="D484" s="20"/>
      <c r="H484" s="63"/>
    </row>
    <row r="485">
      <c r="A485" s="67"/>
      <c r="B485" s="70"/>
      <c r="C485" s="68"/>
      <c r="D485" s="20"/>
      <c r="H485" s="63"/>
    </row>
    <row r="486">
      <c r="A486" s="67"/>
      <c r="B486" s="70"/>
      <c r="C486" s="68"/>
      <c r="D486" s="20"/>
      <c r="H486" s="63"/>
    </row>
    <row r="487">
      <c r="A487" s="67"/>
      <c r="B487" s="70"/>
      <c r="C487" s="68"/>
      <c r="D487" s="20"/>
      <c r="H487" s="63"/>
    </row>
    <row r="488">
      <c r="A488" s="67"/>
      <c r="B488" s="70"/>
      <c r="C488" s="68"/>
      <c r="D488" s="20"/>
      <c r="H488" s="63"/>
    </row>
    <row r="489">
      <c r="A489" s="67"/>
      <c r="B489" s="70"/>
      <c r="C489" s="68"/>
      <c r="D489" s="20"/>
      <c r="H489" s="63"/>
    </row>
    <row r="490">
      <c r="A490" s="67"/>
      <c r="B490" s="70"/>
      <c r="C490" s="68"/>
      <c r="D490" s="20"/>
      <c r="H490" s="63"/>
    </row>
    <row r="491">
      <c r="A491" s="67"/>
      <c r="B491" s="70"/>
      <c r="C491" s="68"/>
      <c r="D491" s="20"/>
      <c r="H491" s="63"/>
    </row>
    <row r="492">
      <c r="A492" s="67"/>
      <c r="B492" s="70"/>
      <c r="C492" s="68"/>
      <c r="D492" s="20"/>
      <c r="H492" s="63"/>
    </row>
    <row r="493">
      <c r="A493" s="67"/>
      <c r="B493" s="70"/>
      <c r="C493" s="68"/>
      <c r="D493" s="20"/>
      <c r="H493" s="63"/>
    </row>
    <row r="494">
      <c r="A494" s="67"/>
      <c r="B494" s="70"/>
      <c r="C494" s="68"/>
      <c r="D494" s="20"/>
      <c r="H494" s="63"/>
    </row>
    <row r="495">
      <c r="A495" s="67"/>
      <c r="B495" s="70"/>
      <c r="C495" s="68"/>
      <c r="D495" s="20"/>
      <c r="H495" s="63"/>
    </row>
    <row r="496">
      <c r="A496" s="67"/>
      <c r="B496" s="70"/>
      <c r="C496" s="68"/>
      <c r="D496" s="20"/>
      <c r="H496" s="63"/>
    </row>
    <row r="497">
      <c r="A497" s="67"/>
      <c r="B497" s="70"/>
      <c r="C497" s="68"/>
      <c r="D497" s="20"/>
      <c r="H497" s="63"/>
    </row>
    <row r="498">
      <c r="A498" s="67"/>
      <c r="B498" s="70"/>
      <c r="C498" s="68"/>
      <c r="D498" s="20"/>
      <c r="H498" s="63"/>
    </row>
    <row r="499">
      <c r="A499" s="67"/>
      <c r="B499" s="70"/>
      <c r="C499" s="68"/>
      <c r="D499" s="20"/>
      <c r="H499" s="63"/>
    </row>
    <row r="500">
      <c r="A500" s="67"/>
      <c r="B500" s="70"/>
      <c r="C500" s="68"/>
      <c r="D500" s="20"/>
      <c r="H500" s="63"/>
    </row>
    <row r="501">
      <c r="A501" s="67"/>
      <c r="B501" s="70"/>
      <c r="C501" s="68"/>
      <c r="D501" s="20"/>
      <c r="H501" s="63"/>
    </row>
    <row r="502">
      <c r="A502" s="67"/>
      <c r="B502" s="70"/>
      <c r="C502" s="68"/>
      <c r="D502" s="20"/>
      <c r="H502" s="63"/>
    </row>
    <row r="503">
      <c r="A503" s="67"/>
      <c r="B503" s="70"/>
      <c r="C503" s="68"/>
      <c r="D503" s="20"/>
      <c r="H503" s="63"/>
    </row>
    <row r="504">
      <c r="A504" s="67"/>
      <c r="B504" s="70"/>
      <c r="C504" s="68"/>
      <c r="D504" s="20"/>
      <c r="H504" s="63"/>
    </row>
    <row r="505">
      <c r="A505" s="67"/>
      <c r="B505" s="70"/>
      <c r="C505" s="68"/>
      <c r="D505" s="20"/>
      <c r="H505" s="63"/>
    </row>
    <row r="506">
      <c r="A506" s="67"/>
      <c r="B506" s="70"/>
      <c r="C506" s="68"/>
      <c r="D506" s="20"/>
      <c r="H506" s="63"/>
    </row>
    <row r="507">
      <c r="A507" s="67"/>
      <c r="B507" s="70"/>
      <c r="C507" s="68"/>
      <c r="D507" s="20"/>
      <c r="H507" s="63"/>
    </row>
    <row r="508">
      <c r="A508" s="67"/>
      <c r="B508" s="70"/>
      <c r="C508" s="68"/>
      <c r="D508" s="20"/>
      <c r="H508" s="63"/>
    </row>
    <row r="509">
      <c r="A509" s="67"/>
      <c r="B509" s="70"/>
      <c r="C509" s="68"/>
      <c r="D509" s="20"/>
      <c r="H509" s="63"/>
    </row>
    <row r="510">
      <c r="A510" s="67"/>
      <c r="B510" s="70"/>
      <c r="C510" s="68"/>
      <c r="D510" s="20"/>
      <c r="H510" s="63"/>
    </row>
    <row r="511">
      <c r="A511" s="67"/>
      <c r="B511" s="70"/>
      <c r="C511" s="68"/>
      <c r="D511" s="20"/>
      <c r="H511" s="63"/>
    </row>
    <row r="512">
      <c r="A512" s="67"/>
      <c r="B512" s="70"/>
      <c r="C512" s="68"/>
      <c r="D512" s="20"/>
      <c r="H512" s="63"/>
    </row>
    <row r="513">
      <c r="A513" s="67"/>
      <c r="B513" s="70"/>
      <c r="C513" s="68"/>
      <c r="D513" s="20"/>
      <c r="H513" s="63"/>
    </row>
    <row r="514">
      <c r="A514" s="67"/>
      <c r="B514" s="70"/>
      <c r="C514" s="68"/>
      <c r="D514" s="20"/>
      <c r="H514" s="63"/>
    </row>
    <row r="515">
      <c r="A515" s="67"/>
      <c r="B515" s="70"/>
      <c r="C515" s="68"/>
      <c r="D515" s="20"/>
      <c r="H515" s="63"/>
    </row>
    <row r="516">
      <c r="A516" s="67"/>
      <c r="B516" s="70"/>
      <c r="C516" s="68"/>
      <c r="D516" s="20"/>
      <c r="H516" s="63"/>
    </row>
    <row r="517">
      <c r="A517" s="67"/>
      <c r="B517" s="70"/>
      <c r="C517" s="68"/>
      <c r="D517" s="20"/>
      <c r="H517" s="63"/>
    </row>
    <row r="518">
      <c r="A518" s="67"/>
      <c r="B518" s="70"/>
      <c r="C518" s="68"/>
      <c r="D518" s="20"/>
      <c r="H518" s="63"/>
    </row>
    <row r="519">
      <c r="A519" s="67"/>
      <c r="B519" s="70"/>
      <c r="C519" s="68"/>
      <c r="D519" s="20"/>
      <c r="H519" s="63"/>
    </row>
    <row r="520">
      <c r="A520" s="67"/>
      <c r="B520" s="70"/>
      <c r="C520" s="68"/>
      <c r="D520" s="20"/>
      <c r="H520" s="63"/>
    </row>
    <row r="521">
      <c r="A521" s="67"/>
      <c r="B521" s="70"/>
      <c r="C521" s="68"/>
      <c r="D521" s="20"/>
      <c r="H521" s="63"/>
    </row>
    <row r="522">
      <c r="A522" s="67"/>
      <c r="B522" s="70"/>
      <c r="C522" s="68"/>
      <c r="D522" s="20"/>
      <c r="H522" s="63"/>
    </row>
    <row r="523">
      <c r="A523" s="67"/>
      <c r="B523" s="70"/>
      <c r="C523" s="68"/>
      <c r="D523" s="20"/>
      <c r="H523" s="63"/>
    </row>
    <row r="524">
      <c r="A524" s="67"/>
      <c r="B524" s="70"/>
      <c r="C524" s="68"/>
      <c r="D524" s="20"/>
      <c r="H524" s="63"/>
    </row>
    <row r="525">
      <c r="A525" s="67"/>
      <c r="B525" s="70"/>
      <c r="C525" s="68"/>
      <c r="D525" s="20"/>
      <c r="H525" s="63"/>
    </row>
    <row r="526">
      <c r="A526" s="67"/>
      <c r="B526" s="70"/>
      <c r="C526" s="68"/>
      <c r="D526" s="20"/>
      <c r="H526" s="63"/>
    </row>
    <row r="527">
      <c r="A527" s="67"/>
      <c r="B527" s="70"/>
      <c r="C527" s="68"/>
      <c r="D527" s="20"/>
      <c r="H527" s="63"/>
    </row>
    <row r="528">
      <c r="A528" s="67"/>
      <c r="B528" s="70"/>
      <c r="C528" s="68"/>
      <c r="D528" s="20"/>
      <c r="H528" s="63"/>
    </row>
    <row r="529">
      <c r="A529" s="67"/>
      <c r="B529" s="70"/>
      <c r="C529" s="68"/>
      <c r="D529" s="20"/>
      <c r="H529" s="63"/>
    </row>
    <row r="530">
      <c r="A530" s="67"/>
      <c r="B530" s="70"/>
      <c r="C530" s="68"/>
      <c r="D530" s="20"/>
      <c r="H530" s="63"/>
    </row>
    <row r="531">
      <c r="A531" s="67"/>
      <c r="B531" s="70"/>
      <c r="C531" s="68"/>
      <c r="D531" s="20"/>
      <c r="H531" s="63"/>
    </row>
    <row r="532">
      <c r="A532" s="67"/>
      <c r="B532" s="70"/>
      <c r="C532" s="68"/>
      <c r="D532" s="20"/>
      <c r="H532" s="63"/>
    </row>
    <row r="533">
      <c r="A533" s="67"/>
      <c r="B533" s="70"/>
      <c r="C533" s="68"/>
      <c r="D533" s="20"/>
      <c r="H533" s="63"/>
    </row>
    <row r="534">
      <c r="A534" s="67"/>
      <c r="B534" s="70"/>
      <c r="C534" s="68"/>
      <c r="D534" s="20"/>
      <c r="H534" s="63"/>
    </row>
    <row r="535">
      <c r="A535" s="67"/>
      <c r="B535" s="70"/>
      <c r="C535" s="68"/>
      <c r="D535" s="20"/>
      <c r="H535" s="63"/>
    </row>
    <row r="536">
      <c r="A536" s="67"/>
      <c r="B536" s="70"/>
      <c r="C536" s="68"/>
      <c r="D536" s="20"/>
      <c r="H536" s="63"/>
    </row>
    <row r="537">
      <c r="A537" s="67"/>
      <c r="B537" s="70"/>
      <c r="C537" s="68"/>
      <c r="D537" s="20"/>
      <c r="H537" s="63"/>
    </row>
    <row r="538">
      <c r="A538" s="67"/>
      <c r="B538" s="70"/>
      <c r="C538" s="68"/>
      <c r="D538" s="20"/>
      <c r="H538" s="63"/>
    </row>
    <row r="539">
      <c r="A539" s="67"/>
      <c r="B539" s="70"/>
      <c r="C539" s="68"/>
      <c r="D539" s="20"/>
      <c r="H539" s="63"/>
    </row>
    <row r="540">
      <c r="A540" s="67"/>
      <c r="B540" s="70"/>
      <c r="C540" s="68"/>
      <c r="D540" s="20"/>
      <c r="H540" s="63"/>
    </row>
    <row r="541">
      <c r="A541" s="67"/>
      <c r="B541" s="70"/>
      <c r="C541" s="68"/>
      <c r="D541" s="20"/>
      <c r="H541" s="63"/>
    </row>
    <row r="542">
      <c r="A542" s="67"/>
      <c r="B542" s="70"/>
      <c r="C542" s="68"/>
      <c r="D542" s="20"/>
      <c r="H542" s="63"/>
    </row>
    <row r="543">
      <c r="A543" s="67"/>
      <c r="B543" s="70"/>
      <c r="C543" s="68"/>
      <c r="D543" s="20"/>
      <c r="H543" s="63"/>
    </row>
    <row r="544">
      <c r="A544" s="67"/>
      <c r="B544" s="70"/>
      <c r="C544" s="68"/>
      <c r="D544" s="20"/>
      <c r="H544" s="63"/>
    </row>
    <row r="545">
      <c r="A545" s="67"/>
      <c r="B545" s="70"/>
      <c r="C545" s="68"/>
      <c r="D545" s="20"/>
      <c r="H545" s="63"/>
    </row>
    <row r="546">
      <c r="A546" s="67"/>
      <c r="B546" s="70"/>
      <c r="C546" s="68"/>
      <c r="D546" s="20"/>
      <c r="H546" s="63"/>
    </row>
    <row r="547">
      <c r="A547" s="67"/>
      <c r="B547" s="70"/>
      <c r="C547" s="68"/>
      <c r="D547" s="20"/>
      <c r="H547" s="63"/>
    </row>
    <row r="548">
      <c r="A548" s="67"/>
      <c r="B548" s="70"/>
      <c r="C548" s="68"/>
      <c r="D548" s="20"/>
      <c r="H548" s="63"/>
    </row>
    <row r="549">
      <c r="A549" s="67"/>
      <c r="B549" s="70"/>
      <c r="C549" s="68"/>
      <c r="D549" s="20"/>
      <c r="H549" s="63"/>
    </row>
    <row r="550">
      <c r="A550" s="67"/>
      <c r="B550" s="70"/>
      <c r="C550" s="68"/>
      <c r="D550" s="20"/>
      <c r="H550" s="63"/>
    </row>
    <row r="551">
      <c r="A551" s="67"/>
      <c r="B551" s="70"/>
      <c r="C551" s="68"/>
      <c r="D551" s="20"/>
      <c r="H551" s="63"/>
    </row>
    <row r="552">
      <c r="A552" s="67"/>
      <c r="B552" s="70"/>
      <c r="C552" s="68"/>
      <c r="D552" s="20"/>
      <c r="H552" s="63"/>
    </row>
    <row r="553">
      <c r="A553" s="67"/>
      <c r="B553" s="70"/>
      <c r="C553" s="68"/>
      <c r="D553" s="20"/>
      <c r="H553" s="63"/>
    </row>
    <row r="554">
      <c r="A554" s="67"/>
      <c r="B554" s="70"/>
      <c r="C554" s="68"/>
      <c r="D554" s="20"/>
      <c r="H554" s="63"/>
    </row>
    <row r="555">
      <c r="A555" s="67"/>
      <c r="B555" s="70"/>
      <c r="C555" s="68"/>
      <c r="D555" s="20"/>
      <c r="H555" s="63"/>
    </row>
    <row r="556">
      <c r="A556" s="67"/>
      <c r="B556" s="70"/>
      <c r="C556" s="68"/>
      <c r="D556" s="20"/>
      <c r="H556" s="63"/>
    </row>
    <row r="557">
      <c r="A557" s="67"/>
      <c r="B557" s="70"/>
      <c r="C557" s="68"/>
      <c r="D557" s="20"/>
      <c r="H557" s="63"/>
    </row>
    <row r="558">
      <c r="A558" s="67"/>
      <c r="B558" s="70"/>
      <c r="C558" s="68"/>
      <c r="D558" s="20"/>
      <c r="H558" s="63"/>
    </row>
    <row r="559">
      <c r="A559" s="67"/>
      <c r="B559" s="70"/>
      <c r="C559" s="68"/>
      <c r="D559" s="20"/>
      <c r="H559" s="63"/>
    </row>
    <row r="560">
      <c r="A560" s="67"/>
      <c r="B560" s="70"/>
      <c r="C560" s="68"/>
      <c r="D560" s="20"/>
      <c r="H560" s="63"/>
    </row>
    <row r="561">
      <c r="A561" s="67"/>
      <c r="B561" s="70"/>
      <c r="C561" s="68"/>
      <c r="D561" s="20"/>
      <c r="H561" s="63"/>
    </row>
    <row r="562">
      <c r="A562" s="67"/>
      <c r="B562" s="70"/>
      <c r="C562" s="68"/>
      <c r="D562" s="20"/>
      <c r="H562" s="63"/>
    </row>
    <row r="563">
      <c r="A563" s="67"/>
      <c r="B563" s="70"/>
      <c r="C563" s="68"/>
      <c r="D563" s="20"/>
      <c r="H563" s="63"/>
    </row>
    <row r="564">
      <c r="A564" s="67"/>
      <c r="B564" s="70"/>
      <c r="C564" s="68"/>
      <c r="D564" s="20"/>
      <c r="H564" s="63"/>
    </row>
    <row r="565">
      <c r="A565" s="67"/>
      <c r="B565" s="70"/>
      <c r="C565" s="68"/>
      <c r="D565" s="20"/>
      <c r="H565" s="63"/>
    </row>
    <row r="566">
      <c r="A566" s="67"/>
      <c r="B566" s="70"/>
      <c r="C566" s="68"/>
      <c r="D566" s="20"/>
      <c r="H566" s="63"/>
    </row>
    <row r="567">
      <c r="A567" s="67"/>
      <c r="B567" s="70"/>
      <c r="C567" s="68"/>
      <c r="D567" s="20"/>
      <c r="H567" s="63"/>
    </row>
    <row r="568">
      <c r="A568" s="67"/>
      <c r="B568" s="70"/>
      <c r="C568" s="68"/>
      <c r="D568" s="20"/>
      <c r="H568" s="63"/>
    </row>
    <row r="569">
      <c r="A569" s="67"/>
      <c r="B569" s="70"/>
      <c r="C569" s="68"/>
      <c r="D569" s="20"/>
      <c r="H569" s="63"/>
    </row>
    <row r="570">
      <c r="A570" s="67"/>
      <c r="B570" s="70"/>
      <c r="C570" s="68"/>
      <c r="D570" s="20"/>
      <c r="H570" s="63"/>
    </row>
    <row r="571">
      <c r="A571" s="67"/>
      <c r="B571" s="70"/>
      <c r="C571" s="68"/>
      <c r="D571" s="20"/>
      <c r="H571" s="63"/>
    </row>
    <row r="572">
      <c r="A572" s="67"/>
      <c r="B572" s="70"/>
      <c r="C572" s="68"/>
      <c r="D572" s="20"/>
      <c r="H572" s="63"/>
    </row>
    <row r="573">
      <c r="A573" s="67"/>
      <c r="B573" s="70"/>
      <c r="C573" s="68"/>
      <c r="D573" s="20"/>
      <c r="H573" s="63"/>
    </row>
    <row r="574">
      <c r="A574" s="67"/>
      <c r="B574" s="70"/>
      <c r="C574" s="68"/>
      <c r="D574" s="20"/>
      <c r="H574" s="63"/>
    </row>
    <row r="575">
      <c r="A575" s="67"/>
      <c r="B575" s="70"/>
      <c r="C575" s="68"/>
      <c r="D575" s="20"/>
      <c r="H575" s="63"/>
    </row>
    <row r="576">
      <c r="A576" s="67"/>
      <c r="B576" s="70"/>
      <c r="C576" s="68"/>
      <c r="D576" s="20"/>
      <c r="H576" s="63"/>
    </row>
    <row r="577">
      <c r="A577" s="67"/>
      <c r="B577" s="70"/>
      <c r="C577" s="68"/>
      <c r="D577" s="20"/>
      <c r="H577" s="63"/>
    </row>
    <row r="578">
      <c r="A578" s="67"/>
      <c r="B578" s="70"/>
      <c r="C578" s="68"/>
      <c r="D578" s="20"/>
      <c r="H578" s="63"/>
    </row>
    <row r="579">
      <c r="A579" s="67"/>
      <c r="B579" s="70"/>
      <c r="C579" s="68"/>
      <c r="D579" s="20"/>
      <c r="H579" s="63"/>
    </row>
    <row r="580">
      <c r="A580" s="67"/>
      <c r="B580" s="70"/>
      <c r="C580" s="68"/>
      <c r="D580" s="20"/>
      <c r="H580" s="63"/>
    </row>
    <row r="581">
      <c r="A581" s="67"/>
      <c r="B581" s="70"/>
      <c r="C581" s="68"/>
      <c r="D581" s="20"/>
      <c r="H581" s="63"/>
    </row>
    <row r="582">
      <c r="A582" s="67"/>
      <c r="B582" s="70"/>
      <c r="C582" s="68"/>
      <c r="D582" s="20"/>
      <c r="H582" s="63"/>
    </row>
    <row r="583">
      <c r="A583" s="67"/>
      <c r="B583" s="70"/>
      <c r="C583" s="68"/>
      <c r="D583" s="20"/>
      <c r="H583" s="63"/>
    </row>
    <row r="584">
      <c r="A584" s="67"/>
      <c r="B584" s="70"/>
      <c r="C584" s="68"/>
      <c r="D584" s="20"/>
      <c r="H584" s="63"/>
    </row>
    <row r="585">
      <c r="A585" s="67"/>
      <c r="B585" s="70"/>
      <c r="C585" s="68"/>
      <c r="D585" s="20"/>
      <c r="H585" s="63"/>
    </row>
    <row r="586">
      <c r="A586" s="67"/>
      <c r="B586" s="70"/>
      <c r="C586" s="68"/>
      <c r="D586" s="20"/>
      <c r="H586" s="63"/>
    </row>
    <row r="587">
      <c r="A587" s="67"/>
      <c r="B587" s="70"/>
      <c r="C587" s="68"/>
      <c r="D587" s="20"/>
      <c r="H587" s="63"/>
    </row>
    <row r="588">
      <c r="A588" s="67"/>
      <c r="B588" s="70"/>
      <c r="C588" s="68"/>
      <c r="D588" s="20"/>
      <c r="H588" s="63"/>
    </row>
    <row r="589">
      <c r="A589" s="67"/>
      <c r="B589" s="70"/>
      <c r="C589" s="68"/>
      <c r="D589" s="20"/>
      <c r="H589" s="63"/>
    </row>
    <row r="590">
      <c r="A590" s="67"/>
      <c r="B590" s="70"/>
      <c r="C590" s="68"/>
      <c r="D590" s="20"/>
      <c r="H590" s="63"/>
    </row>
    <row r="591">
      <c r="A591" s="67"/>
      <c r="B591" s="70"/>
      <c r="C591" s="68"/>
      <c r="D591" s="20"/>
      <c r="H591" s="63"/>
    </row>
    <row r="592">
      <c r="A592" s="67"/>
      <c r="B592" s="70"/>
      <c r="C592" s="68"/>
      <c r="D592" s="20"/>
      <c r="H592" s="63"/>
    </row>
    <row r="593">
      <c r="A593" s="67"/>
      <c r="B593" s="70"/>
      <c r="C593" s="68"/>
      <c r="D593" s="20"/>
      <c r="H593" s="63"/>
    </row>
    <row r="594">
      <c r="A594" s="67"/>
      <c r="B594" s="70"/>
      <c r="C594" s="68"/>
      <c r="D594" s="20"/>
      <c r="H594" s="63"/>
    </row>
    <row r="595">
      <c r="A595" s="67"/>
      <c r="B595" s="70"/>
      <c r="C595" s="68"/>
      <c r="D595" s="20"/>
      <c r="H595" s="63"/>
    </row>
    <row r="596">
      <c r="A596" s="67"/>
      <c r="B596" s="70"/>
      <c r="C596" s="68"/>
      <c r="D596" s="20"/>
      <c r="H596" s="63"/>
    </row>
    <row r="597">
      <c r="A597" s="67"/>
      <c r="B597" s="70"/>
      <c r="C597" s="68"/>
      <c r="D597" s="20"/>
      <c r="H597" s="63"/>
    </row>
    <row r="598">
      <c r="A598" s="67"/>
      <c r="B598" s="70"/>
      <c r="C598" s="68"/>
      <c r="D598" s="20"/>
      <c r="H598" s="63"/>
    </row>
    <row r="599">
      <c r="A599" s="67"/>
      <c r="B599" s="70"/>
      <c r="C599" s="68"/>
      <c r="D599" s="20"/>
      <c r="H599" s="63"/>
    </row>
    <row r="600">
      <c r="A600" s="67"/>
      <c r="B600" s="70"/>
      <c r="C600" s="68"/>
      <c r="D600" s="20"/>
      <c r="H600" s="63"/>
    </row>
    <row r="601">
      <c r="A601" s="67"/>
      <c r="B601" s="70"/>
      <c r="C601" s="68"/>
      <c r="D601" s="20"/>
      <c r="H601" s="63"/>
    </row>
    <row r="602">
      <c r="A602" s="67"/>
      <c r="B602" s="70"/>
      <c r="C602" s="68"/>
      <c r="D602" s="20"/>
      <c r="H602" s="63"/>
    </row>
    <row r="603">
      <c r="A603" s="67"/>
      <c r="B603" s="70"/>
      <c r="C603" s="68"/>
      <c r="D603" s="20"/>
      <c r="H603" s="63"/>
    </row>
    <row r="604">
      <c r="A604" s="67"/>
      <c r="B604" s="70"/>
      <c r="C604" s="68"/>
      <c r="D604" s="20"/>
      <c r="H604" s="63"/>
    </row>
    <row r="605">
      <c r="A605" s="67"/>
      <c r="B605" s="70"/>
      <c r="C605" s="68"/>
      <c r="D605" s="20"/>
      <c r="H605" s="63"/>
    </row>
    <row r="606">
      <c r="A606" s="67"/>
      <c r="B606" s="70"/>
      <c r="C606" s="68"/>
      <c r="D606" s="20"/>
      <c r="H606" s="63"/>
    </row>
    <row r="607">
      <c r="A607" s="67"/>
      <c r="B607" s="70"/>
      <c r="C607" s="68"/>
      <c r="D607" s="20"/>
      <c r="H607" s="63"/>
    </row>
    <row r="608">
      <c r="A608" s="67"/>
      <c r="B608" s="70"/>
      <c r="C608" s="68"/>
      <c r="D608" s="20"/>
      <c r="H608" s="63"/>
    </row>
    <row r="609">
      <c r="A609" s="67"/>
      <c r="B609" s="70"/>
      <c r="C609" s="68"/>
      <c r="D609" s="20"/>
      <c r="H609" s="63"/>
    </row>
    <row r="610">
      <c r="A610" s="67"/>
      <c r="B610" s="70"/>
      <c r="C610" s="68"/>
      <c r="D610" s="20"/>
      <c r="H610" s="63"/>
    </row>
    <row r="611">
      <c r="A611" s="67"/>
      <c r="B611" s="70"/>
      <c r="C611" s="68"/>
      <c r="D611" s="20"/>
      <c r="H611" s="63"/>
    </row>
    <row r="612">
      <c r="A612" s="67"/>
      <c r="B612" s="70"/>
      <c r="C612" s="68"/>
      <c r="D612" s="20"/>
      <c r="H612" s="63"/>
    </row>
    <row r="613">
      <c r="A613" s="67"/>
      <c r="B613" s="70"/>
      <c r="C613" s="68"/>
      <c r="D613" s="20"/>
      <c r="H613" s="63"/>
    </row>
    <row r="614">
      <c r="A614" s="67"/>
      <c r="B614" s="70"/>
      <c r="C614" s="68"/>
      <c r="D614" s="20"/>
      <c r="H614" s="63"/>
    </row>
    <row r="615">
      <c r="A615" s="67"/>
      <c r="B615" s="70"/>
      <c r="C615" s="68"/>
      <c r="D615" s="20"/>
      <c r="H615" s="63"/>
    </row>
    <row r="616">
      <c r="A616" s="67"/>
      <c r="B616" s="70"/>
      <c r="C616" s="68"/>
      <c r="D616" s="20"/>
      <c r="H616" s="63"/>
    </row>
    <row r="617">
      <c r="A617" s="67"/>
      <c r="B617" s="70"/>
      <c r="C617" s="68"/>
      <c r="D617" s="20"/>
      <c r="H617" s="63"/>
    </row>
    <row r="618">
      <c r="A618" s="67"/>
      <c r="B618" s="70"/>
      <c r="C618" s="68"/>
      <c r="D618" s="20"/>
      <c r="H618" s="63"/>
    </row>
    <row r="619">
      <c r="A619" s="67"/>
      <c r="B619" s="70"/>
      <c r="C619" s="68"/>
      <c r="D619" s="20"/>
      <c r="H619" s="63"/>
    </row>
    <row r="620">
      <c r="A620" s="67"/>
      <c r="B620" s="70"/>
      <c r="C620" s="68"/>
      <c r="D620" s="20"/>
      <c r="H620" s="63"/>
    </row>
    <row r="621">
      <c r="A621" s="67"/>
      <c r="B621" s="70"/>
      <c r="C621" s="68"/>
      <c r="D621" s="20"/>
      <c r="H621" s="63"/>
    </row>
    <row r="622">
      <c r="A622" s="67"/>
      <c r="B622" s="70"/>
      <c r="C622" s="68"/>
      <c r="D622" s="20"/>
      <c r="H622" s="63"/>
    </row>
    <row r="623">
      <c r="A623" s="67"/>
      <c r="B623" s="70"/>
      <c r="C623" s="68"/>
      <c r="D623" s="20"/>
      <c r="H623" s="63"/>
    </row>
    <row r="624">
      <c r="A624" s="67"/>
      <c r="B624" s="70"/>
      <c r="C624" s="68"/>
      <c r="D624" s="20"/>
      <c r="H624" s="63"/>
    </row>
    <row r="625">
      <c r="A625" s="67"/>
      <c r="B625" s="70"/>
      <c r="C625" s="68"/>
      <c r="D625" s="20"/>
      <c r="H625" s="63"/>
    </row>
    <row r="626">
      <c r="A626" s="67"/>
      <c r="B626" s="70"/>
      <c r="C626" s="68"/>
      <c r="D626" s="20"/>
      <c r="H626" s="63"/>
    </row>
    <row r="627">
      <c r="A627" s="67"/>
      <c r="B627" s="70"/>
      <c r="C627" s="68"/>
      <c r="D627" s="20"/>
      <c r="H627" s="63"/>
    </row>
    <row r="628">
      <c r="A628" s="67"/>
      <c r="B628" s="70"/>
      <c r="C628" s="68"/>
      <c r="D628" s="20"/>
      <c r="H628" s="63"/>
    </row>
    <row r="629">
      <c r="A629" s="67"/>
      <c r="B629" s="70"/>
      <c r="C629" s="68"/>
      <c r="D629" s="20"/>
      <c r="H629" s="63"/>
    </row>
    <row r="630">
      <c r="A630" s="67"/>
      <c r="B630" s="70"/>
      <c r="C630" s="68"/>
      <c r="D630" s="20"/>
      <c r="H630" s="63"/>
    </row>
    <row r="631">
      <c r="A631" s="67"/>
      <c r="B631" s="70"/>
      <c r="C631" s="68"/>
      <c r="D631" s="20"/>
      <c r="H631" s="63"/>
    </row>
    <row r="632">
      <c r="A632" s="67"/>
      <c r="B632" s="70"/>
      <c r="C632" s="68"/>
      <c r="D632" s="20"/>
      <c r="H632" s="63"/>
    </row>
    <row r="633">
      <c r="A633" s="67"/>
      <c r="B633" s="70"/>
      <c r="C633" s="68"/>
      <c r="D633" s="20"/>
      <c r="H633" s="63"/>
    </row>
    <row r="634">
      <c r="A634" s="67"/>
      <c r="B634" s="70"/>
      <c r="C634" s="68"/>
      <c r="D634" s="20"/>
      <c r="H634" s="63"/>
    </row>
    <row r="635">
      <c r="A635" s="67"/>
      <c r="B635" s="70"/>
      <c r="C635" s="68"/>
      <c r="D635" s="20"/>
      <c r="H635" s="63"/>
    </row>
    <row r="636">
      <c r="A636" s="67"/>
      <c r="B636" s="70"/>
      <c r="C636" s="68"/>
      <c r="D636" s="20"/>
      <c r="H636" s="63"/>
    </row>
    <row r="637">
      <c r="A637" s="67"/>
      <c r="B637" s="70"/>
      <c r="C637" s="68"/>
      <c r="D637" s="20"/>
      <c r="H637" s="63"/>
    </row>
    <row r="638">
      <c r="A638" s="67"/>
      <c r="B638" s="70"/>
      <c r="C638" s="68"/>
      <c r="D638" s="20"/>
      <c r="H638" s="63"/>
    </row>
    <row r="639">
      <c r="A639" s="67"/>
      <c r="B639" s="70"/>
      <c r="C639" s="68"/>
      <c r="D639" s="20"/>
      <c r="H639" s="63"/>
    </row>
    <row r="640">
      <c r="A640" s="67"/>
      <c r="B640" s="70"/>
      <c r="C640" s="68"/>
      <c r="D640" s="20"/>
      <c r="H640" s="63"/>
    </row>
    <row r="641">
      <c r="A641" s="67"/>
      <c r="B641" s="70"/>
      <c r="C641" s="68"/>
      <c r="D641" s="20"/>
      <c r="H641" s="63"/>
    </row>
    <row r="642">
      <c r="A642" s="67"/>
      <c r="B642" s="70"/>
      <c r="C642" s="68"/>
      <c r="D642" s="20"/>
      <c r="H642" s="63"/>
    </row>
    <row r="643">
      <c r="A643" s="67"/>
      <c r="B643" s="70"/>
      <c r="C643" s="68"/>
      <c r="D643" s="20"/>
      <c r="H643" s="63"/>
    </row>
    <row r="644">
      <c r="A644" s="67"/>
      <c r="B644" s="70"/>
      <c r="C644" s="68"/>
      <c r="D644" s="20"/>
      <c r="H644" s="63"/>
    </row>
    <row r="645">
      <c r="A645" s="67"/>
      <c r="B645" s="70"/>
      <c r="C645" s="68"/>
      <c r="D645" s="20"/>
      <c r="H645" s="63"/>
    </row>
    <row r="646">
      <c r="A646" s="67"/>
      <c r="B646" s="70"/>
      <c r="C646" s="68"/>
      <c r="D646" s="20"/>
      <c r="H646" s="63"/>
    </row>
    <row r="647">
      <c r="A647" s="67"/>
      <c r="B647" s="70"/>
      <c r="C647" s="68"/>
      <c r="D647" s="20"/>
      <c r="H647" s="63"/>
    </row>
    <row r="648">
      <c r="A648" s="67"/>
      <c r="B648" s="70"/>
      <c r="C648" s="68"/>
      <c r="D648" s="20"/>
      <c r="H648" s="63"/>
    </row>
    <row r="649">
      <c r="A649" s="67"/>
      <c r="B649" s="70"/>
      <c r="C649" s="68"/>
      <c r="D649" s="20"/>
      <c r="H649" s="63"/>
    </row>
    <row r="650">
      <c r="A650" s="67"/>
      <c r="B650" s="70"/>
      <c r="C650" s="68"/>
      <c r="D650" s="20"/>
      <c r="H650" s="63"/>
    </row>
    <row r="651">
      <c r="A651" s="67"/>
      <c r="B651" s="70"/>
      <c r="C651" s="68"/>
      <c r="D651" s="20"/>
      <c r="H651" s="63"/>
    </row>
    <row r="652">
      <c r="A652" s="67"/>
      <c r="B652" s="70"/>
      <c r="C652" s="68"/>
      <c r="D652" s="20"/>
      <c r="H652" s="63"/>
    </row>
    <row r="653">
      <c r="A653" s="67"/>
      <c r="B653" s="70"/>
      <c r="C653" s="68"/>
      <c r="D653" s="20"/>
      <c r="H653" s="63"/>
    </row>
    <row r="654">
      <c r="A654" s="67"/>
      <c r="B654" s="70"/>
      <c r="C654" s="68"/>
      <c r="D654" s="20"/>
      <c r="H654" s="63"/>
    </row>
    <row r="655">
      <c r="A655" s="67"/>
      <c r="B655" s="70"/>
      <c r="C655" s="68"/>
      <c r="D655" s="20"/>
      <c r="H655" s="63"/>
    </row>
    <row r="656">
      <c r="A656" s="67"/>
      <c r="B656" s="70"/>
      <c r="C656" s="68"/>
      <c r="D656" s="20"/>
      <c r="H656" s="63"/>
    </row>
    <row r="657">
      <c r="A657" s="67"/>
      <c r="B657" s="70"/>
      <c r="C657" s="68"/>
      <c r="D657" s="20"/>
      <c r="H657" s="63"/>
    </row>
    <row r="658">
      <c r="A658" s="67"/>
      <c r="B658" s="70"/>
      <c r="C658" s="68"/>
      <c r="D658" s="20"/>
      <c r="H658" s="63"/>
    </row>
    <row r="659">
      <c r="A659" s="67"/>
      <c r="B659" s="70"/>
      <c r="C659" s="68"/>
      <c r="D659" s="20"/>
      <c r="H659" s="63"/>
    </row>
    <row r="660">
      <c r="A660" s="67"/>
      <c r="B660" s="70"/>
      <c r="C660" s="68"/>
      <c r="D660" s="20"/>
      <c r="H660" s="63"/>
    </row>
    <row r="661">
      <c r="A661" s="67"/>
      <c r="B661" s="70"/>
      <c r="C661" s="68"/>
      <c r="D661" s="20"/>
      <c r="H661" s="63"/>
    </row>
    <row r="662">
      <c r="A662" s="67"/>
      <c r="B662" s="70"/>
      <c r="C662" s="68"/>
      <c r="D662" s="20"/>
      <c r="H662" s="63"/>
    </row>
    <row r="663">
      <c r="A663" s="67"/>
      <c r="B663" s="70"/>
      <c r="C663" s="68"/>
      <c r="D663" s="20"/>
      <c r="H663" s="63"/>
    </row>
    <row r="664">
      <c r="A664" s="67"/>
      <c r="B664" s="70"/>
      <c r="C664" s="68"/>
      <c r="D664" s="20"/>
      <c r="H664" s="63"/>
    </row>
    <row r="665">
      <c r="A665" s="67"/>
      <c r="B665" s="70"/>
      <c r="C665" s="68"/>
      <c r="D665" s="20"/>
      <c r="H665" s="63"/>
    </row>
    <row r="666">
      <c r="A666" s="67"/>
      <c r="B666" s="70"/>
      <c r="C666" s="68"/>
      <c r="D666" s="20"/>
      <c r="H666" s="63"/>
    </row>
    <row r="667">
      <c r="A667" s="67"/>
      <c r="B667" s="70"/>
      <c r="C667" s="68"/>
      <c r="D667" s="20"/>
      <c r="H667" s="63"/>
    </row>
    <row r="668">
      <c r="A668" s="67"/>
      <c r="B668" s="70"/>
      <c r="C668" s="68"/>
      <c r="D668" s="20"/>
      <c r="H668" s="63"/>
    </row>
    <row r="669">
      <c r="A669" s="67"/>
      <c r="B669" s="70"/>
      <c r="C669" s="68"/>
      <c r="D669" s="20"/>
      <c r="H669" s="63"/>
    </row>
    <row r="670">
      <c r="A670" s="67"/>
      <c r="B670" s="70"/>
      <c r="C670" s="68"/>
      <c r="D670" s="20"/>
      <c r="H670" s="63"/>
    </row>
    <row r="671">
      <c r="A671" s="67"/>
      <c r="B671" s="70"/>
      <c r="C671" s="68"/>
      <c r="D671" s="20"/>
      <c r="H671" s="63"/>
    </row>
    <row r="672">
      <c r="A672" s="67"/>
      <c r="B672" s="70"/>
      <c r="C672" s="68"/>
      <c r="D672" s="20"/>
      <c r="H672" s="63"/>
    </row>
    <row r="673">
      <c r="A673" s="67"/>
      <c r="B673" s="70"/>
      <c r="C673" s="68"/>
      <c r="D673" s="20"/>
      <c r="H673" s="63"/>
    </row>
    <row r="674">
      <c r="A674" s="67"/>
      <c r="B674" s="70"/>
      <c r="C674" s="68"/>
      <c r="D674" s="20"/>
      <c r="H674" s="63"/>
    </row>
    <row r="675">
      <c r="A675" s="67"/>
      <c r="B675" s="70"/>
      <c r="C675" s="68"/>
      <c r="D675" s="20"/>
      <c r="H675" s="63"/>
    </row>
    <row r="676">
      <c r="A676" s="67"/>
      <c r="B676" s="70"/>
      <c r="C676" s="68"/>
      <c r="D676" s="20"/>
      <c r="H676" s="63"/>
    </row>
    <row r="677">
      <c r="A677" s="67"/>
      <c r="B677" s="70"/>
      <c r="C677" s="68"/>
      <c r="D677" s="20"/>
      <c r="H677" s="63"/>
    </row>
    <row r="678">
      <c r="A678" s="67"/>
      <c r="B678" s="70"/>
      <c r="C678" s="68"/>
      <c r="D678" s="20"/>
      <c r="H678" s="63"/>
    </row>
    <row r="679">
      <c r="A679" s="67"/>
      <c r="B679" s="70"/>
      <c r="C679" s="68"/>
      <c r="D679" s="20"/>
      <c r="H679" s="63"/>
    </row>
    <row r="680">
      <c r="A680" s="67"/>
      <c r="B680" s="70"/>
      <c r="C680" s="68"/>
      <c r="D680" s="20"/>
      <c r="H680" s="63"/>
    </row>
    <row r="681">
      <c r="A681" s="67"/>
      <c r="B681" s="70"/>
      <c r="C681" s="68"/>
      <c r="D681" s="20"/>
      <c r="H681" s="63"/>
    </row>
    <row r="682">
      <c r="A682" s="67"/>
      <c r="B682" s="70"/>
      <c r="C682" s="68"/>
      <c r="D682" s="20"/>
      <c r="H682" s="63"/>
    </row>
    <row r="683">
      <c r="A683" s="67"/>
      <c r="B683" s="70"/>
      <c r="C683" s="68"/>
      <c r="D683" s="20"/>
      <c r="H683" s="63"/>
    </row>
    <row r="684">
      <c r="A684" s="67"/>
      <c r="B684" s="70"/>
      <c r="C684" s="68"/>
      <c r="D684" s="20"/>
      <c r="H684" s="63"/>
    </row>
    <row r="685">
      <c r="A685" s="67"/>
      <c r="B685" s="70"/>
      <c r="C685" s="68"/>
      <c r="D685" s="20"/>
      <c r="H685" s="63"/>
    </row>
    <row r="686">
      <c r="A686" s="67"/>
      <c r="B686" s="70"/>
      <c r="C686" s="68"/>
      <c r="D686" s="20"/>
      <c r="H686" s="63"/>
    </row>
    <row r="687">
      <c r="A687" s="67"/>
      <c r="B687" s="70"/>
      <c r="C687" s="68"/>
      <c r="D687" s="20"/>
      <c r="H687" s="63"/>
    </row>
    <row r="688">
      <c r="A688" s="67"/>
      <c r="B688" s="70"/>
      <c r="C688" s="68"/>
      <c r="D688" s="20"/>
      <c r="H688" s="63"/>
    </row>
    <row r="689">
      <c r="A689" s="67"/>
      <c r="B689" s="70"/>
      <c r="C689" s="68"/>
      <c r="D689" s="20"/>
      <c r="H689" s="63"/>
    </row>
    <row r="690">
      <c r="A690" s="67"/>
      <c r="B690" s="70"/>
      <c r="C690" s="68"/>
      <c r="D690" s="20"/>
      <c r="H690" s="63"/>
    </row>
    <row r="691">
      <c r="A691" s="67"/>
      <c r="B691" s="70"/>
      <c r="C691" s="68"/>
      <c r="D691" s="20"/>
      <c r="H691" s="63"/>
    </row>
    <row r="692">
      <c r="A692" s="67"/>
      <c r="B692" s="70"/>
      <c r="C692" s="68"/>
      <c r="D692" s="20"/>
      <c r="H692" s="63"/>
    </row>
    <row r="693">
      <c r="A693" s="67"/>
      <c r="B693" s="70"/>
      <c r="C693" s="68"/>
      <c r="D693" s="20"/>
      <c r="H693" s="63"/>
    </row>
    <row r="694">
      <c r="A694" s="67"/>
      <c r="B694" s="70"/>
      <c r="C694" s="68"/>
      <c r="D694" s="20"/>
      <c r="H694" s="63"/>
    </row>
    <row r="695">
      <c r="A695" s="67"/>
      <c r="B695" s="70"/>
      <c r="C695" s="68"/>
      <c r="D695" s="20"/>
      <c r="H695" s="63"/>
    </row>
    <row r="696">
      <c r="A696" s="67"/>
      <c r="B696" s="70"/>
      <c r="C696" s="68"/>
      <c r="D696" s="20"/>
      <c r="H696" s="63"/>
    </row>
    <row r="697">
      <c r="A697" s="67"/>
      <c r="B697" s="70"/>
      <c r="C697" s="68"/>
      <c r="D697" s="20"/>
      <c r="H697" s="63"/>
    </row>
    <row r="698">
      <c r="A698" s="67"/>
      <c r="B698" s="70"/>
      <c r="C698" s="68"/>
      <c r="D698" s="20"/>
      <c r="H698" s="63"/>
    </row>
    <row r="699">
      <c r="A699" s="67"/>
      <c r="B699" s="70"/>
      <c r="C699" s="68"/>
      <c r="D699" s="20"/>
      <c r="H699" s="63"/>
    </row>
    <row r="700">
      <c r="A700" s="67"/>
      <c r="B700" s="70"/>
      <c r="C700" s="68"/>
      <c r="D700" s="20"/>
      <c r="H700" s="63"/>
    </row>
    <row r="701">
      <c r="A701" s="67"/>
      <c r="B701" s="70"/>
      <c r="C701" s="68"/>
      <c r="D701" s="20"/>
      <c r="H701" s="63"/>
    </row>
    <row r="702">
      <c r="A702" s="67"/>
      <c r="B702" s="70"/>
      <c r="C702" s="68"/>
      <c r="D702" s="20"/>
      <c r="H702" s="63"/>
    </row>
    <row r="703">
      <c r="A703" s="67"/>
      <c r="B703" s="70"/>
      <c r="C703" s="68"/>
      <c r="D703" s="20"/>
      <c r="H703" s="63"/>
    </row>
    <row r="704">
      <c r="A704" s="67"/>
      <c r="B704" s="70"/>
      <c r="C704" s="68"/>
      <c r="D704" s="20"/>
      <c r="H704" s="63"/>
    </row>
    <row r="705">
      <c r="A705" s="67"/>
      <c r="B705" s="70"/>
      <c r="C705" s="68"/>
      <c r="D705" s="20"/>
      <c r="H705" s="63"/>
    </row>
    <row r="706">
      <c r="A706" s="67"/>
      <c r="B706" s="70"/>
      <c r="C706" s="68"/>
      <c r="D706" s="20"/>
      <c r="H706" s="63"/>
    </row>
    <row r="707">
      <c r="A707" s="67"/>
      <c r="B707" s="70"/>
      <c r="C707" s="68"/>
      <c r="D707" s="20"/>
      <c r="H707" s="63"/>
    </row>
    <row r="708">
      <c r="A708" s="67"/>
      <c r="B708" s="70"/>
      <c r="C708" s="68"/>
      <c r="D708" s="20"/>
      <c r="H708" s="63"/>
    </row>
    <row r="709">
      <c r="A709" s="67"/>
      <c r="B709" s="70"/>
      <c r="C709" s="68"/>
      <c r="D709" s="20"/>
      <c r="H709" s="63"/>
    </row>
    <row r="710">
      <c r="A710" s="67"/>
      <c r="B710" s="70"/>
      <c r="C710" s="68"/>
      <c r="D710" s="20"/>
      <c r="H710" s="63"/>
    </row>
    <row r="711">
      <c r="A711" s="67"/>
      <c r="B711" s="70"/>
      <c r="C711" s="68"/>
      <c r="D711" s="20"/>
      <c r="H711" s="63"/>
    </row>
    <row r="712">
      <c r="A712" s="67"/>
      <c r="B712" s="70"/>
      <c r="C712" s="68"/>
      <c r="D712" s="20"/>
      <c r="H712" s="63"/>
    </row>
    <row r="713">
      <c r="A713" s="67"/>
      <c r="B713" s="70"/>
      <c r="C713" s="68"/>
      <c r="D713" s="20"/>
      <c r="H713" s="63"/>
    </row>
    <row r="714">
      <c r="A714" s="67"/>
      <c r="B714" s="70"/>
      <c r="C714" s="68"/>
      <c r="D714" s="20"/>
      <c r="H714" s="63"/>
    </row>
    <row r="715">
      <c r="A715" s="67"/>
      <c r="B715" s="70"/>
      <c r="C715" s="68"/>
      <c r="D715" s="20"/>
      <c r="H715" s="63"/>
    </row>
    <row r="716">
      <c r="A716" s="67"/>
      <c r="B716" s="70"/>
      <c r="C716" s="68"/>
      <c r="D716" s="20"/>
      <c r="H716" s="63"/>
    </row>
    <row r="717">
      <c r="A717" s="67"/>
      <c r="B717" s="70"/>
      <c r="C717" s="68"/>
      <c r="D717" s="20"/>
      <c r="H717" s="63"/>
    </row>
    <row r="718">
      <c r="A718" s="67"/>
      <c r="B718" s="70"/>
      <c r="C718" s="68"/>
      <c r="D718" s="20"/>
      <c r="H718" s="63"/>
    </row>
    <row r="719">
      <c r="A719" s="67"/>
      <c r="B719" s="70"/>
      <c r="C719" s="68"/>
      <c r="D719" s="20"/>
      <c r="H719" s="63"/>
    </row>
    <row r="720">
      <c r="A720" s="67"/>
      <c r="B720" s="70"/>
      <c r="C720" s="68"/>
      <c r="D720" s="20"/>
      <c r="H720" s="63"/>
    </row>
    <row r="721">
      <c r="A721" s="67"/>
      <c r="B721" s="70"/>
      <c r="C721" s="68"/>
      <c r="D721" s="20"/>
      <c r="H721" s="63"/>
    </row>
    <row r="722">
      <c r="A722" s="67"/>
      <c r="B722" s="70"/>
      <c r="C722" s="68"/>
      <c r="D722" s="20"/>
      <c r="H722" s="63"/>
    </row>
    <row r="723">
      <c r="A723" s="67"/>
      <c r="B723" s="70"/>
      <c r="C723" s="68"/>
      <c r="D723" s="20"/>
      <c r="H723" s="63"/>
    </row>
    <row r="724">
      <c r="A724" s="67"/>
      <c r="B724" s="70"/>
      <c r="C724" s="68"/>
      <c r="D724" s="20"/>
      <c r="H724" s="63"/>
    </row>
    <row r="725">
      <c r="A725" s="67"/>
      <c r="B725" s="70"/>
      <c r="C725" s="68"/>
      <c r="D725" s="20"/>
      <c r="H725" s="63"/>
    </row>
    <row r="726">
      <c r="A726" s="67"/>
      <c r="B726" s="70"/>
      <c r="C726" s="68"/>
      <c r="D726" s="20"/>
      <c r="H726" s="63"/>
    </row>
    <row r="727">
      <c r="A727" s="67"/>
      <c r="B727" s="70"/>
      <c r="C727" s="68"/>
      <c r="D727" s="20"/>
      <c r="H727" s="63"/>
    </row>
    <row r="728">
      <c r="A728" s="67"/>
      <c r="B728" s="70"/>
      <c r="C728" s="68"/>
      <c r="D728" s="20"/>
      <c r="H728" s="63"/>
    </row>
    <row r="729">
      <c r="A729" s="67"/>
      <c r="B729" s="70"/>
      <c r="C729" s="68"/>
      <c r="D729" s="20"/>
      <c r="H729" s="63"/>
    </row>
    <row r="730">
      <c r="A730" s="67"/>
      <c r="B730" s="70"/>
      <c r="C730" s="68"/>
      <c r="D730" s="20"/>
      <c r="H730" s="63"/>
    </row>
    <row r="731">
      <c r="A731" s="67"/>
      <c r="B731" s="70"/>
      <c r="C731" s="68"/>
      <c r="D731" s="20"/>
      <c r="H731" s="63"/>
    </row>
    <row r="732">
      <c r="A732" s="67"/>
      <c r="B732" s="70"/>
      <c r="C732" s="68"/>
      <c r="D732" s="20"/>
      <c r="H732" s="63"/>
    </row>
    <row r="733">
      <c r="A733" s="67"/>
      <c r="B733" s="70"/>
      <c r="C733" s="68"/>
      <c r="D733" s="20"/>
      <c r="H733" s="63"/>
    </row>
    <row r="734">
      <c r="A734" s="67"/>
      <c r="B734" s="70"/>
      <c r="C734" s="68"/>
      <c r="D734" s="20"/>
      <c r="H734" s="63"/>
    </row>
    <row r="735">
      <c r="A735" s="67"/>
      <c r="B735" s="70"/>
      <c r="C735" s="68"/>
      <c r="D735" s="20"/>
      <c r="H735" s="63"/>
    </row>
    <row r="736">
      <c r="A736" s="67"/>
      <c r="B736" s="70"/>
      <c r="C736" s="68"/>
      <c r="D736" s="20"/>
      <c r="H736" s="63"/>
    </row>
    <row r="737">
      <c r="A737" s="67"/>
      <c r="B737" s="70"/>
      <c r="C737" s="68"/>
      <c r="D737" s="20"/>
      <c r="H737" s="63"/>
    </row>
    <row r="738">
      <c r="A738" s="67"/>
      <c r="B738" s="70"/>
      <c r="C738" s="68"/>
      <c r="D738" s="20"/>
      <c r="H738" s="63"/>
    </row>
    <row r="739">
      <c r="A739" s="67"/>
      <c r="B739" s="70"/>
      <c r="C739" s="68"/>
      <c r="D739" s="20"/>
      <c r="H739" s="63"/>
    </row>
    <row r="740">
      <c r="A740" s="67"/>
      <c r="B740" s="70"/>
      <c r="C740" s="68"/>
      <c r="D740" s="20"/>
      <c r="H740" s="63"/>
    </row>
    <row r="741">
      <c r="A741" s="67"/>
      <c r="B741" s="70"/>
      <c r="C741" s="68"/>
      <c r="D741" s="20"/>
      <c r="H741" s="63"/>
    </row>
    <row r="742">
      <c r="A742" s="67"/>
      <c r="B742" s="70"/>
      <c r="C742" s="68"/>
      <c r="D742" s="20"/>
      <c r="H742" s="63"/>
    </row>
    <row r="743">
      <c r="A743" s="67"/>
      <c r="B743" s="70"/>
      <c r="C743" s="68"/>
      <c r="D743" s="20"/>
      <c r="H743" s="63"/>
    </row>
    <row r="744">
      <c r="A744" s="67"/>
      <c r="B744" s="70"/>
      <c r="C744" s="68"/>
      <c r="D744" s="20"/>
      <c r="H744" s="63"/>
    </row>
    <row r="745">
      <c r="A745" s="67"/>
      <c r="B745" s="70"/>
      <c r="C745" s="68"/>
      <c r="D745" s="20"/>
      <c r="H745" s="63"/>
    </row>
    <row r="746">
      <c r="A746" s="67"/>
      <c r="B746" s="70"/>
      <c r="C746" s="68"/>
      <c r="D746" s="20"/>
      <c r="H746" s="63"/>
    </row>
    <row r="747">
      <c r="A747" s="67"/>
      <c r="B747" s="70"/>
      <c r="C747" s="68"/>
      <c r="D747" s="20"/>
      <c r="H747" s="63"/>
    </row>
    <row r="748">
      <c r="A748" s="67"/>
      <c r="B748" s="70"/>
      <c r="C748" s="68"/>
      <c r="D748" s="20"/>
      <c r="H748" s="63"/>
    </row>
    <row r="749">
      <c r="A749" s="67"/>
      <c r="B749" s="70"/>
      <c r="C749" s="68"/>
      <c r="D749" s="20"/>
      <c r="H749" s="63"/>
    </row>
    <row r="750">
      <c r="A750" s="67"/>
      <c r="B750" s="70"/>
      <c r="C750" s="68"/>
      <c r="D750" s="20"/>
      <c r="H750" s="63"/>
    </row>
    <row r="751">
      <c r="A751" s="67"/>
      <c r="B751" s="70"/>
      <c r="C751" s="68"/>
      <c r="D751" s="20"/>
      <c r="H751" s="63"/>
    </row>
    <row r="752">
      <c r="A752" s="67"/>
      <c r="B752" s="70"/>
      <c r="C752" s="68"/>
      <c r="D752" s="20"/>
      <c r="H752" s="63"/>
    </row>
    <row r="753">
      <c r="A753" s="67"/>
      <c r="B753" s="70"/>
      <c r="C753" s="68"/>
      <c r="D753" s="20"/>
      <c r="H753" s="63"/>
    </row>
    <row r="754">
      <c r="A754" s="67"/>
      <c r="B754" s="70"/>
      <c r="C754" s="68"/>
      <c r="D754" s="20"/>
      <c r="H754" s="63"/>
    </row>
    <row r="755">
      <c r="A755" s="67"/>
      <c r="B755" s="70"/>
      <c r="C755" s="68"/>
      <c r="D755" s="20"/>
      <c r="H755" s="63"/>
    </row>
    <row r="756">
      <c r="A756" s="67"/>
      <c r="B756" s="70"/>
      <c r="C756" s="68"/>
      <c r="D756" s="20"/>
      <c r="H756" s="63"/>
    </row>
    <row r="757">
      <c r="A757" s="67"/>
      <c r="B757" s="70"/>
      <c r="C757" s="68"/>
      <c r="D757" s="20"/>
      <c r="H757" s="63"/>
    </row>
    <row r="758">
      <c r="A758" s="67"/>
      <c r="B758" s="70"/>
      <c r="C758" s="68"/>
      <c r="D758" s="20"/>
      <c r="H758" s="63"/>
    </row>
    <row r="759">
      <c r="A759" s="67"/>
      <c r="B759" s="70"/>
      <c r="C759" s="68"/>
      <c r="D759" s="20"/>
      <c r="H759" s="63"/>
    </row>
    <row r="760">
      <c r="A760" s="67"/>
      <c r="B760" s="70"/>
      <c r="C760" s="68"/>
      <c r="D760" s="20"/>
      <c r="H760" s="63"/>
    </row>
    <row r="761">
      <c r="A761" s="67"/>
      <c r="B761" s="70"/>
      <c r="C761" s="68"/>
      <c r="D761" s="20"/>
      <c r="H761" s="63"/>
    </row>
    <row r="762">
      <c r="A762" s="67"/>
      <c r="B762" s="70"/>
      <c r="C762" s="68"/>
      <c r="D762" s="20"/>
      <c r="H762" s="63"/>
    </row>
    <row r="763">
      <c r="A763" s="67"/>
      <c r="B763" s="70"/>
      <c r="C763" s="68"/>
      <c r="D763" s="20"/>
      <c r="H763" s="63"/>
    </row>
    <row r="764">
      <c r="A764" s="67"/>
      <c r="B764" s="70"/>
      <c r="C764" s="68"/>
      <c r="D764" s="20"/>
      <c r="H764" s="63"/>
    </row>
    <row r="765">
      <c r="A765" s="67"/>
      <c r="B765" s="70"/>
      <c r="C765" s="68"/>
      <c r="D765" s="20"/>
      <c r="H765" s="63"/>
    </row>
    <row r="766">
      <c r="A766" s="67"/>
      <c r="B766" s="70"/>
      <c r="C766" s="68"/>
      <c r="D766" s="20"/>
      <c r="H766" s="63"/>
    </row>
    <row r="767">
      <c r="A767" s="67"/>
      <c r="B767" s="70"/>
      <c r="C767" s="68"/>
      <c r="D767" s="20"/>
      <c r="H767" s="63"/>
    </row>
    <row r="768">
      <c r="A768" s="67"/>
      <c r="B768" s="70"/>
      <c r="C768" s="68"/>
      <c r="D768" s="20"/>
      <c r="H768" s="63"/>
    </row>
    <row r="769">
      <c r="A769" s="67"/>
      <c r="B769" s="70"/>
      <c r="C769" s="68"/>
      <c r="D769" s="20"/>
      <c r="H769" s="63"/>
    </row>
    <row r="770">
      <c r="A770" s="67"/>
      <c r="B770" s="70"/>
      <c r="C770" s="68"/>
      <c r="D770" s="20"/>
      <c r="H770" s="63"/>
    </row>
    <row r="771">
      <c r="A771" s="67"/>
      <c r="B771" s="70"/>
      <c r="C771" s="68"/>
      <c r="D771" s="20"/>
      <c r="H771" s="63"/>
    </row>
    <row r="772">
      <c r="A772" s="67"/>
      <c r="B772" s="70"/>
      <c r="C772" s="68"/>
      <c r="D772" s="20"/>
      <c r="H772" s="63"/>
    </row>
    <row r="773">
      <c r="A773" s="67"/>
      <c r="B773" s="70"/>
      <c r="C773" s="68"/>
      <c r="D773" s="20"/>
      <c r="H773" s="63"/>
    </row>
    <row r="774">
      <c r="A774" s="67"/>
      <c r="B774" s="70"/>
      <c r="C774" s="68"/>
      <c r="D774" s="20"/>
      <c r="H774" s="63"/>
    </row>
    <row r="775">
      <c r="A775" s="67"/>
      <c r="B775" s="70"/>
      <c r="C775" s="68"/>
      <c r="D775" s="20"/>
      <c r="H775" s="63"/>
    </row>
    <row r="776">
      <c r="A776" s="67"/>
      <c r="B776" s="70"/>
      <c r="C776" s="68"/>
      <c r="D776" s="20"/>
      <c r="H776" s="63"/>
    </row>
    <row r="777">
      <c r="A777" s="67"/>
      <c r="B777" s="70"/>
      <c r="C777" s="68"/>
      <c r="D777" s="20"/>
      <c r="H777" s="63"/>
    </row>
    <row r="778">
      <c r="A778" s="67"/>
      <c r="B778" s="70"/>
      <c r="C778" s="68"/>
      <c r="D778" s="20"/>
      <c r="H778" s="63"/>
    </row>
    <row r="779">
      <c r="A779" s="67"/>
      <c r="B779" s="70"/>
      <c r="C779" s="68"/>
      <c r="D779" s="20"/>
      <c r="H779" s="63"/>
    </row>
    <row r="780">
      <c r="A780" s="67"/>
      <c r="B780" s="70"/>
      <c r="C780" s="68"/>
      <c r="D780" s="20"/>
      <c r="H780" s="63"/>
    </row>
    <row r="781">
      <c r="A781" s="67"/>
      <c r="B781" s="70"/>
      <c r="C781" s="68"/>
      <c r="D781" s="20"/>
      <c r="H781" s="63"/>
    </row>
    <row r="782">
      <c r="A782" s="67"/>
      <c r="B782" s="70"/>
      <c r="C782" s="68"/>
      <c r="D782" s="20"/>
      <c r="H782" s="63"/>
    </row>
    <row r="783">
      <c r="A783" s="67"/>
      <c r="B783" s="70"/>
      <c r="C783" s="68"/>
      <c r="D783" s="20"/>
      <c r="H783" s="63"/>
    </row>
    <row r="784">
      <c r="A784" s="67"/>
      <c r="B784" s="70"/>
      <c r="C784" s="68"/>
      <c r="D784" s="20"/>
      <c r="H784" s="63"/>
    </row>
    <row r="785">
      <c r="A785" s="67"/>
      <c r="B785" s="70"/>
      <c r="C785" s="68"/>
      <c r="D785" s="20"/>
      <c r="H785" s="63"/>
    </row>
    <row r="786">
      <c r="A786" s="67"/>
      <c r="B786" s="70"/>
      <c r="C786" s="68"/>
      <c r="D786" s="20"/>
      <c r="H786" s="63"/>
    </row>
    <row r="787">
      <c r="A787" s="67"/>
      <c r="B787" s="70"/>
      <c r="C787" s="68"/>
      <c r="D787" s="20"/>
      <c r="H787" s="63"/>
    </row>
    <row r="788">
      <c r="A788" s="67"/>
      <c r="B788" s="70"/>
      <c r="C788" s="68"/>
      <c r="D788" s="20"/>
      <c r="H788" s="63"/>
    </row>
    <row r="789">
      <c r="A789" s="67"/>
      <c r="B789" s="70"/>
      <c r="C789" s="68"/>
      <c r="D789" s="20"/>
      <c r="H789" s="63"/>
    </row>
    <row r="790">
      <c r="A790" s="67"/>
      <c r="B790" s="70"/>
      <c r="C790" s="68"/>
      <c r="D790" s="20"/>
      <c r="H790" s="63"/>
    </row>
    <row r="791">
      <c r="A791" s="67"/>
      <c r="B791" s="70"/>
      <c r="C791" s="68"/>
      <c r="D791" s="20"/>
      <c r="H791" s="63"/>
    </row>
    <row r="792">
      <c r="A792" s="67"/>
      <c r="B792" s="70"/>
      <c r="C792" s="68"/>
      <c r="D792" s="20"/>
      <c r="H792" s="63"/>
    </row>
    <row r="793">
      <c r="A793" s="67"/>
      <c r="B793" s="70"/>
      <c r="C793" s="68"/>
      <c r="D793" s="20"/>
      <c r="H793" s="63"/>
    </row>
    <row r="794">
      <c r="A794" s="67"/>
      <c r="B794" s="70"/>
      <c r="C794" s="68"/>
      <c r="D794" s="20"/>
      <c r="H794" s="63"/>
    </row>
    <row r="795">
      <c r="A795" s="67"/>
      <c r="B795" s="70"/>
      <c r="C795" s="68"/>
      <c r="D795" s="20"/>
      <c r="H795" s="63"/>
    </row>
    <row r="796">
      <c r="A796" s="67"/>
      <c r="B796" s="70"/>
      <c r="C796" s="68"/>
      <c r="D796" s="20"/>
      <c r="H796" s="63"/>
    </row>
    <row r="797">
      <c r="A797" s="67"/>
      <c r="B797" s="70"/>
      <c r="C797" s="68"/>
      <c r="D797" s="20"/>
      <c r="H797" s="63"/>
    </row>
    <row r="798">
      <c r="A798" s="67"/>
      <c r="B798" s="70"/>
      <c r="C798" s="68"/>
      <c r="D798" s="20"/>
      <c r="H798" s="63"/>
    </row>
    <row r="799">
      <c r="A799" s="67"/>
      <c r="B799" s="70"/>
      <c r="C799" s="68"/>
      <c r="D799" s="20"/>
      <c r="H799" s="63"/>
    </row>
    <row r="800">
      <c r="A800" s="67"/>
      <c r="B800" s="70"/>
      <c r="C800" s="68"/>
      <c r="D800" s="20"/>
      <c r="H800" s="63"/>
    </row>
    <row r="801">
      <c r="A801" s="67"/>
      <c r="B801" s="70"/>
      <c r="C801" s="68"/>
      <c r="D801" s="20"/>
      <c r="H801" s="63"/>
    </row>
    <row r="802">
      <c r="A802" s="67"/>
      <c r="B802" s="70"/>
      <c r="C802" s="68"/>
      <c r="D802" s="20"/>
      <c r="H802" s="63"/>
    </row>
    <row r="803">
      <c r="A803" s="67"/>
      <c r="B803" s="70"/>
      <c r="C803" s="68"/>
      <c r="D803" s="20"/>
      <c r="H803" s="63"/>
    </row>
    <row r="804">
      <c r="A804" s="67"/>
      <c r="B804" s="70"/>
      <c r="C804" s="68"/>
      <c r="D804" s="20"/>
      <c r="H804" s="63"/>
    </row>
    <row r="805">
      <c r="A805" s="67"/>
      <c r="B805" s="70"/>
      <c r="C805" s="68"/>
      <c r="D805" s="20"/>
      <c r="H805" s="63"/>
    </row>
    <row r="806">
      <c r="A806" s="67"/>
      <c r="B806" s="70"/>
      <c r="C806" s="68"/>
      <c r="D806" s="20"/>
      <c r="H806" s="63"/>
    </row>
    <row r="807">
      <c r="A807" s="67"/>
      <c r="B807" s="70"/>
      <c r="C807" s="68"/>
      <c r="D807" s="20"/>
      <c r="H807" s="63"/>
    </row>
    <row r="808">
      <c r="A808" s="67"/>
      <c r="B808" s="70"/>
      <c r="C808" s="68"/>
      <c r="D808" s="20"/>
      <c r="H808" s="63"/>
    </row>
    <row r="809">
      <c r="A809" s="67"/>
      <c r="B809" s="70"/>
      <c r="C809" s="68"/>
      <c r="D809" s="20"/>
      <c r="H809" s="63"/>
    </row>
    <row r="810">
      <c r="A810" s="67"/>
      <c r="B810" s="70"/>
      <c r="C810" s="68"/>
      <c r="D810" s="20"/>
      <c r="H810" s="63"/>
    </row>
    <row r="811">
      <c r="A811" s="67"/>
      <c r="B811" s="70"/>
      <c r="C811" s="68"/>
      <c r="D811" s="20"/>
      <c r="H811" s="63"/>
    </row>
    <row r="812">
      <c r="A812" s="67"/>
      <c r="B812" s="70"/>
      <c r="C812" s="68"/>
      <c r="D812" s="20"/>
      <c r="H812" s="63"/>
    </row>
    <row r="813">
      <c r="A813" s="67"/>
      <c r="B813" s="70"/>
      <c r="C813" s="68"/>
      <c r="D813" s="20"/>
      <c r="H813" s="63"/>
    </row>
    <row r="814">
      <c r="A814" s="67"/>
      <c r="B814" s="70"/>
      <c r="C814" s="68"/>
      <c r="D814" s="20"/>
      <c r="H814" s="63"/>
    </row>
    <row r="815">
      <c r="A815" s="67"/>
      <c r="B815" s="70"/>
      <c r="C815" s="68"/>
      <c r="D815" s="20"/>
      <c r="H815" s="63"/>
    </row>
    <row r="816">
      <c r="A816" s="67"/>
      <c r="B816" s="70"/>
      <c r="C816" s="68"/>
      <c r="D816" s="20"/>
      <c r="H816" s="63"/>
    </row>
    <row r="817">
      <c r="A817" s="67"/>
      <c r="B817" s="70"/>
      <c r="C817" s="68"/>
      <c r="D817" s="20"/>
      <c r="H817" s="63"/>
    </row>
    <row r="818">
      <c r="A818" s="67"/>
      <c r="B818" s="70"/>
      <c r="C818" s="68"/>
      <c r="D818" s="20"/>
      <c r="H818" s="63"/>
    </row>
    <row r="819">
      <c r="A819" s="67"/>
      <c r="B819" s="70"/>
      <c r="C819" s="68"/>
      <c r="D819" s="20"/>
      <c r="H819" s="63"/>
    </row>
    <row r="820">
      <c r="A820" s="67"/>
      <c r="B820" s="70"/>
      <c r="C820" s="68"/>
      <c r="D820" s="20"/>
      <c r="H820" s="63"/>
    </row>
    <row r="821">
      <c r="A821" s="67"/>
      <c r="B821" s="70"/>
      <c r="C821" s="68"/>
      <c r="D821" s="20"/>
      <c r="H821" s="63"/>
    </row>
    <row r="822">
      <c r="A822" s="67"/>
      <c r="B822" s="70"/>
      <c r="C822" s="68"/>
      <c r="D822" s="20"/>
      <c r="H822" s="63"/>
    </row>
    <row r="823">
      <c r="A823" s="67"/>
      <c r="B823" s="70"/>
      <c r="C823" s="68"/>
      <c r="D823" s="20"/>
      <c r="H823" s="63"/>
    </row>
    <row r="824">
      <c r="A824" s="67"/>
      <c r="B824" s="70"/>
      <c r="C824" s="68"/>
      <c r="D824" s="20"/>
      <c r="H824" s="63"/>
    </row>
    <row r="825">
      <c r="A825" s="67"/>
      <c r="B825" s="70"/>
      <c r="C825" s="68"/>
      <c r="D825" s="20"/>
      <c r="H825" s="63"/>
    </row>
    <row r="826">
      <c r="A826" s="67"/>
      <c r="B826" s="70"/>
      <c r="C826" s="68"/>
      <c r="D826" s="20"/>
      <c r="H826" s="63"/>
    </row>
    <row r="827">
      <c r="A827" s="67"/>
      <c r="B827" s="70"/>
      <c r="C827" s="68"/>
      <c r="D827" s="20"/>
      <c r="H827" s="63"/>
    </row>
    <row r="828">
      <c r="A828" s="67"/>
      <c r="B828" s="70"/>
      <c r="C828" s="68"/>
      <c r="D828" s="20"/>
      <c r="H828" s="63"/>
    </row>
    <row r="829">
      <c r="A829" s="67"/>
      <c r="B829" s="70"/>
      <c r="C829" s="68"/>
      <c r="D829" s="20"/>
      <c r="H829" s="63"/>
    </row>
    <row r="830">
      <c r="A830" s="67"/>
      <c r="B830" s="70"/>
      <c r="C830" s="68"/>
      <c r="D830" s="20"/>
      <c r="H830" s="63"/>
    </row>
    <row r="831">
      <c r="A831" s="67"/>
      <c r="B831" s="70"/>
      <c r="C831" s="68"/>
      <c r="D831" s="20"/>
      <c r="H831" s="63"/>
    </row>
    <row r="832">
      <c r="A832" s="67"/>
      <c r="B832" s="70"/>
      <c r="C832" s="68"/>
      <c r="D832" s="20"/>
      <c r="H832" s="63"/>
    </row>
    <row r="833">
      <c r="A833" s="67"/>
      <c r="B833" s="70"/>
      <c r="C833" s="68"/>
      <c r="D833" s="20"/>
      <c r="H833" s="63"/>
    </row>
    <row r="834">
      <c r="A834" s="67"/>
      <c r="B834" s="70"/>
      <c r="C834" s="68"/>
      <c r="D834" s="20"/>
      <c r="H834" s="63"/>
    </row>
    <row r="835">
      <c r="A835" s="67"/>
      <c r="B835" s="70"/>
      <c r="C835" s="68"/>
      <c r="D835" s="20"/>
      <c r="H835" s="63"/>
    </row>
    <row r="836">
      <c r="A836" s="67"/>
      <c r="B836" s="70"/>
      <c r="C836" s="68"/>
      <c r="D836" s="20"/>
      <c r="H836" s="63"/>
    </row>
    <row r="837">
      <c r="A837" s="67"/>
      <c r="B837" s="70"/>
      <c r="C837" s="68"/>
      <c r="D837" s="20"/>
      <c r="H837" s="63"/>
    </row>
    <row r="838">
      <c r="A838" s="67"/>
      <c r="B838" s="70"/>
      <c r="C838" s="68"/>
      <c r="D838" s="20"/>
      <c r="H838" s="63"/>
    </row>
    <row r="839">
      <c r="A839" s="67"/>
      <c r="B839" s="70"/>
      <c r="C839" s="68"/>
      <c r="D839" s="20"/>
      <c r="H839" s="63"/>
    </row>
    <row r="840">
      <c r="A840" s="67"/>
      <c r="B840" s="70"/>
      <c r="C840" s="68"/>
      <c r="D840" s="20"/>
      <c r="H840" s="63"/>
    </row>
    <row r="841">
      <c r="A841" s="67"/>
      <c r="B841" s="70"/>
      <c r="C841" s="68"/>
      <c r="D841" s="20"/>
      <c r="H841" s="63"/>
    </row>
    <row r="842">
      <c r="A842" s="67"/>
      <c r="B842" s="70"/>
      <c r="C842" s="68"/>
      <c r="D842" s="20"/>
      <c r="H842" s="63"/>
    </row>
    <row r="843">
      <c r="A843" s="67"/>
      <c r="B843" s="70"/>
      <c r="C843" s="68"/>
      <c r="D843" s="20"/>
      <c r="H843" s="63"/>
    </row>
    <row r="844">
      <c r="A844" s="67"/>
      <c r="B844" s="70"/>
      <c r="C844" s="68"/>
      <c r="D844" s="20"/>
      <c r="H844" s="63"/>
    </row>
    <row r="845">
      <c r="A845" s="67"/>
      <c r="B845" s="70"/>
      <c r="C845" s="68"/>
      <c r="D845" s="20"/>
      <c r="H845" s="63"/>
    </row>
    <row r="846">
      <c r="A846" s="67"/>
      <c r="B846" s="70"/>
      <c r="C846" s="68"/>
      <c r="D846" s="20"/>
      <c r="H846" s="63"/>
    </row>
    <row r="847">
      <c r="A847" s="67"/>
      <c r="B847" s="70"/>
      <c r="C847" s="68"/>
      <c r="D847" s="20"/>
      <c r="H847" s="63"/>
    </row>
    <row r="848">
      <c r="A848" s="67"/>
      <c r="B848" s="70"/>
      <c r="C848" s="68"/>
      <c r="D848" s="20"/>
      <c r="H848" s="63"/>
    </row>
    <row r="849">
      <c r="A849" s="67"/>
      <c r="B849" s="70"/>
      <c r="C849" s="68"/>
      <c r="D849" s="20"/>
      <c r="H849" s="63"/>
    </row>
    <row r="850">
      <c r="A850" s="67"/>
      <c r="B850" s="70"/>
      <c r="C850" s="68"/>
      <c r="D850" s="20"/>
      <c r="H850" s="63"/>
    </row>
    <row r="851">
      <c r="A851" s="67"/>
      <c r="B851" s="70"/>
      <c r="C851" s="68"/>
      <c r="D851" s="20"/>
      <c r="H851" s="63"/>
    </row>
    <row r="852">
      <c r="A852" s="67"/>
      <c r="B852" s="70"/>
      <c r="C852" s="68"/>
      <c r="D852" s="20"/>
      <c r="H852" s="63"/>
    </row>
    <row r="853">
      <c r="A853" s="67"/>
      <c r="B853" s="70"/>
      <c r="C853" s="68"/>
      <c r="D853" s="20"/>
      <c r="H853" s="63"/>
    </row>
    <row r="854">
      <c r="A854" s="67"/>
      <c r="B854" s="70"/>
      <c r="C854" s="68"/>
      <c r="D854" s="20"/>
      <c r="H854" s="63"/>
    </row>
    <row r="855">
      <c r="A855" s="67"/>
      <c r="B855" s="70"/>
      <c r="C855" s="68"/>
      <c r="D855" s="20"/>
      <c r="H855" s="63"/>
    </row>
    <row r="856">
      <c r="A856" s="67"/>
      <c r="B856" s="70"/>
      <c r="C856" s="68"/>
      <c r="D856" s="20"/>
      <c r="H856" s="63"/>
    </row>
    <row r="857">
      <c r="A857" s="67"/>
      <c r="B857" s="70"/>
      <c r="C857" s="68"/>
      <c r="D857" s="20"/>
      <c r="H857" s="63"/>
    </row>
    <row r="858">
      <c r="A858" s="67"/>
      <c r="B858" s="70"/>
      <c r="C858" s="68"/>
      <c r="D858" s="20"/>
      <c r="H858" s="63"/>
    </row>
    <row r="859">
      <c r="A859" s="67"/>
      <c r="B859" s="70"/>
      <c r="C859" s="68"/>
      <c r="D859" s="20"/>
      <c r="H859" s="63"/>
    </row>
    <row r="860">
      <c r="A860" s="67"/>
      <c r="B860" s="70"/>
      <c r="C860" s="68"/>
      <c r="D860" s="20"/>
      <c r="H860" s="63"/>
    </row>
    <row r="861">
      <c r="A861" s="67"/>
      <c r="B861" s="70"/>
      <c r="C861" s="68"/>
      <c r="D861" s="20"/>
      <c r="H861" s="63"/>
    </row>
    <row r="862">
      <c r="A862" s="67"/>
      <c r="B862" s="70"/>
      <c r="C862" s="68"/>
      <c r="D862" s="20"/>
      <c r="H862" s="63"/>
    </row>
    <row r="863">
      <c r="A863" s="67"/>
      <c r="B863" s="70"/>
      <c r="C863" s="68"/>
      <c r="D863" s="20"/>
      <c r="H863" s="63"/>
    </row>
    <row r="864">
      <c r="A864" s="67"/>
      <c r="B864" s="70"/>
      <c r="C864" s="68"/>
      <c r="D864" s="20"/>
      <c r="H864" s="63"/>
    </row>
    <row r="865">
      <c r="A865" s="67"/>
      <c r="B865" s="70"/>
      <c r="C865" s="68"/>
      <c r="D865" s="20"/>
      <c r="H865" s="63"/>
    </row>
    <row r="866">
      <c r="A866" s="67"/>
      <c r="B866" s="70"/>
      <c r="C866" s="68"/>
      <c r="D866" s="20"/>
      <c r="H866" s="63"/>
    </row>
    <row r="867">
      <c r="A867" s="67"/>
      <c r="B867" s="70"/>
      <c r="C867" s="68"/>
      <c r="D867" s="20"/>
      <c r="H867" s="63"/>
    </row>
    <row r="868">
      <c r="A868" s="67"/>
      <c r="B868" s="70"/>
      <c r="C868" s="68"/>
      <c r="D868" s="20"/>
      <c r="H868" s="63"/>
    </row>
    <row r="869">
      <c r="A869" s="67"/>
      <c r="B869" s="70"/>
      <c r="C869" s="68"/>
      <c r="D869" s="20"/>
      <c r="H869" s="63"/>
    </row>
    <row r="870">
      <c r="A870" s="67"/>
      <c r="B870" s="70"/>
      <c r="C870" s="68"/>
      <c r="D870" s="20"/>
      <c r="H870" s="63"/>
    </row>
    <row r="871">
      <c r="A871" s="67"/>
      <c r="B871" s="70"/>
      <c r="C871" s="68"/>
      <c r="D871" s="20"/>
      <c r="H871" s="63"/>
    </row>
    <row r="872">
      <c r="A872" s="67"/>
      <c r="B872" s="70"/>
      <c r="C872" s="68"/>
      <c r="D872" s="20"/>
      <c r="H872" s="63"/>
    </row>
    <row r="873">
      <c r="A873" s="67"/>
      <c r="B873" s="70"/>
      <c r="C873" s="68"/>
      <c r="D873" s="20"/>
      <c r="H873" s="63"/>
    </row>
    <row r="874">
      <c r="A874" s="67"/>
      <c r="B874" s="70"/>
      <c r="C874" s="68"/>
      <c r="D874" s="20"/>
      <c r="H874" s="63"/>
    </row>
    <row r="875">
      <c r="A875" s="67"/>
      <c r="B875" s="70"/>
      <c r="C875" s="68"/>
      <c r="D875" s="20"/>
      <c r="H875" s="63"/>
    </row>
    <row r="876">
      <c r="A876" s="67"/>
      <c r="B876" s="70"/>
      <c r="C876" s="68"/>
      <c r="D876" s="20"/>
      <c r="H876" s="63"/>
    </row>
    <row r="877">
      <c r="A877" s="67"/>
      <c r="B877" s="70"/>
      <c r="C877" s="68"/>
      <c r="D877" s="20"/>
      <c r="H877" s="63"/>
    </row>
    <row r="878">
      <c r="A878" s="67"/>
      <c r="B878" s="70"/>
      <c r="C878" s="68"/>
      <c r="D878" s="20"/>
      <c r="H878" s="63"/>
    </row>
    <row r="879">
      <c r="A879" s="67"/>
      <c r="B879" s="70"/>
      <c r="C879" s="68"/>
      <c r="D879" s="20"/>
      <c r="H879" s="63"/>
    </row>
    <row r="880">
      <c r="A880" s="67"/>
      <c r="B880" s="70"/>
      <c r="C880" s="68"/>
      <c r="D880" s="20"/>
      <c r="H880" s="63"/>
    </row>
    <row r="881">
      <c r="A881" s="67"/>
      <c r="B881" s="70"/>
      <c r="C881" s="68"/>
      <c r="D881" s="20"/>
      <c r="H881" s="63"/>
    </row>
    <row r="882">
      <c r="A882" s="67"/>
      <c r="B882" s="70"/>
      <c r="C882" s="68"/>
      <c r="D882" s="20"/>
      <c r="H882" s="63"/>
    </row>
    <row r="883">
      <c r="A883" s="67"/>
      <c r="B883" s="70"/>
      <c r="C883" s="68"/>
      <c r="D883" s="20"/>
      <c r="H883" s="63"/>
    </row>
    <row r="884">
      <c r="A884" s="67"/>
      <c r="B884" s="70"/>
      <c r="C884" s="68"/>
      <c r="D884" s="20"/>
      <c r="H884" s="63"/>
    </row>
    <row r="885">
      <c r="A885" s="67"/>
      <c r="B885" s="70"/>
      <c r="C885" s="68"/>
      <c r="D885" s="20"/>
      <c r="H885" s="63"/>
    </row>
    <row r="886">
      <c r="A886" s="67"/>
      <c r="B886" s="70"/>
      <c r="C886" s="68"/>
      <c r="D886" s="20"/>
      <c r="H886" s="63"/>
    </row>
    <row r="887">
      <c r="A887" s="67"/>
      <c r="B887" s="70"/>
      <c r="C887" s="68"/>
      <c r="D887" s="20"/>
      <c r="H887" s="63"/>
    </row>
    <row r="888">
      <c r="A888" s="67"/>
      <c r="B888" s="70"/>
      <c r="C888" s="68"/>
      <c r="D888" s="20"/>
      <c r="H888" s="63"/>
    </row>
    <row r="889">
      <c r="A889" s="67"/>
      <c r="B889" s="70"/>
      <c r="C889" s="68"/>
      <c r="D889" s="20"/>
      <c r="H889" s="63"/>
    </row>
    <row r="890">
      <c r="A890" s="67"/>
      <c r="B890" s="70"/>
      <c r="C890" s="68"/>
      <c r="D890" s="20"/>
      <c r="H890" s="63"/>
    </row>
    <row r="891">
      <c r="A891" s="67"/>
      <c r="B891" s="70"/>
      <c r="C891" s="68"/>
      <c r="D891" s="20"/>
      <c r="H891" s="63"/>
    </row>
    <row r="892">
      <c r="A892" s="67"/>
      <c r="B892" s="70"/>
      <c r="C892" s="68"/>
      <c r="D892" s="20"/>
      <c r="H892" s="63"/>
    </row>
    <row r="893">
      <c r="A893" s="67"/>
      <c r="B893" s="70"/>
      <c r="C893" s="68"/>
      <c r="D893" s="20"/>
      <c r="H893" s="63"/>
    </row>
    <row r="894">
      <c r="A894" s="67"/>
      <c r="B894" s="70"/>
      <c r="C894" s="68"/>
      <c r="D894" s="20"/>
      <c r="H894" s="63"/>
    </row>
    <row r="895">
      <c r="A895" s="67"/>
      <c r="B895" s="70"/>
      <c r="C895" s="68"/>
      <c r="D895" s="20"/>
      <c r="H895" s="63"/>
    </row>
    <row r="896">
      <c r="A896" s="67"/>
      <c r="B896" s="70"/>
      <c r="C896" s="68"/>
      <c r="D896" s="20"/>
      <c r="H896" s="63"/>
    </row>
    <row r="897">
      <c r="A897" s="67"/>
      <c r="B897" s="70"/>
      <c r="C897" s="68"/>
      <c r="D897" s="20"/>
      <c r="H897" s="63"/>
    </row>
    <row r="898">
      <c r="A898" s="67"/>
      <c r="B898" s="70"/>
      <c r="C898" s="68"/>
      <c r="D898" s="20"/>
      <c r="H898" s="63"/>
    </row>
    <row r="899">
      <c r="A899" s="67"/>
      <c r="B899" s="70"/>
      <c r="C899" s="68"/>
      <c r="D899" s="20"/>
      <c r="H899" s="63"/>
    </row>
    <row r="900">
      <c r="A900" s="67"/>
      <c r="B900" s="70"/>
      <c r="C900" s="68"/>
      <c r="D900" s="20"/>
      <c r="H900" s="63"/>
    </row>
    <row r="901">
      <c r="A901" s="67"/>
      <c r="B901" s="70"/>
      <c r="C901" s="68"/>
      <c r="D901" s="20"/>
      <c r="H901" s="63"/>
    </row>
    <row r="902">
      <c r="A902" s="67"/>
      <c r="B902" s="70"/>
      <c r="C902" s="68"/>
      <c r="D902" s="20"/>
      <c r="H902" s="63"/>
    </row>
    <row r="903">
      <c r="A903" s="67"/>
      <c r="B903" s="70"/>
      <c r="C903" s="68"/>
      <c r="D903" s="20"/>
      <c r="H903" s="63"/>
    </row>
    <row r="904">
      <c r="A904" s="67"/>
      <c r="B904" s="70"/>
      <c r="C904" s="68"/>
      <c r="D904" s="20"/>
      <c r="H904" s="63"/>
    </row>
    <row r="905">
      <c r="A905" s="67"/>
      <c r="B905" s="70"/>
      <c r="C905" s="68"/>
      <c r="D905" s="20"/>
      <c r="H905" s="63"/>
    </row>
    <row r="906">
      <c r="A906" s="67"/>
      <c r="B906" s="70"/>
      <c r="C906" s="68"/>
      <c r="D906" s="20"/>
      <c r="H906" s="63"/>
    </row>
    <row r="907">
      <c r="A907" s="67"/>
      <c r="B907" s="70"/>
      <c r="C907" s="68"/>
      <c r="D907" s="20"/>
      <c r="H907" s="63"/>
    </row>
    <row r="908">
      <c r="A908" s="67"/>
      <c r="B908" s="70"/>
      <c r="C908" s="68"/>
      <c r="D908" s="20"/>
      <c r="H908" s="63"/>
    </row>
    <row r="909">
      <c r="A909" s="67"/>
      <c r="B909" s="70"/>
      <c r="C909" s="68"/>
      <c r="D909" s="20"/>
      <c r="H909" s="63"/>
    </row>
    <row r="910">
      <c r="A910" s="67"/>
      <c r="B910" s="70"/>
      <c r="C910" s="68"/>
      <c r="D910" s="20"/>
      <c r="H910" s="63"/>
    </row>
    <row r="911">
      <c r="A911" s="67"/>
      <c r="B911" s="70"/>
      <c r="C911" s="68"/>
      <c r="D911" s="20"/>
      <c r="H911" s="63"/>
    </row>
    <row r="912">
      <c r="A912" s="67"/>
      <c r="B912" s="70"/>
      <c r="C912" s="68"/>
      <c r="D912" s="20"/>
      <c r="H912" s="63"/>
    </row>
    <row r="913">
      <c r="A913" s="67"/>
      <c r="B913" s="70"/>
      <c r="C913" s="68"/>
      <c r="D913" s="20"/>
      <c r="H913" s="63"/>
    </row>
    <row r="914">
      <c r="A914" s="67"/>
      <c r="B914" s="70"/>
      <c r="C914" s="68"/>
      <c r="D914" s="20"/>
      <c r="H914" s="63"/>
    </row>
    <row r="915">
      <c r="A915" s="67"/>
      <c r="B915" s="70"/>
      <c r="C915" s="68"/>
      <c r="D915" s="20"/>
      <c r="H915" s="63"/>
    </row>
    <row r="916">
      <c r="A916" s="67"/>
      <c r="B916" s="70"/>
      <c r="C916" s="68"/>
      <c r="D916" s="20"/>
      <c r="H916" s="63"/>
    </row>
    <row r="917">
      <c r="A917" s="67"/>
      <c r="B917" s="70"/>
      <c r="C917" s="68"/>
      <c r="D917" s="20"/>
      <c r="H917" s="63"/>
    </row>
    <row r="918">
      <c r="A918" s="67"/>
      <c r="B918" s="70"/>
      <c r="C918" s="68"/>
      <c r="D918" s="20"/>
      <c r="H918" s="63"/>
    </row>
    <row r="919">
      <c r="A919" s="67"/>
      <c r="B919" s="70"/>
      <c r="C919" s="68"/>
      <c r="D919" s="20"/>
      <c r="H919" s="63"/>
    </row>
    <row r="920">
      <c r="A920" s="67"/>
      <c r="B920" s="70"/>
      <c r="C920" s="68"/>
      <c r="D920" s="20"/>
      <c r="H920" s="63"/>
    </row>
    <row r="921">
      <c r="A921" s="67"/>
      <c r="B921" s="70"/>
      <c r="C921" s="68"/>
      <c r="D921" s="20"/>
      <c r="H921" s="63"/>
    </row>
    <row r="922">
      <c r="A922" s="67"/>
      <c r="B922" s="70"/>
      <c r="C922" s="68"/>
      <c r="D922" s="20"/>
      <c r="H922" s="63"/>
    </row>
    <row r="923">
      <c r="A923" s="67"/>
      <c r="B923" s="70"/>
      <c r="C923" s="68"/>
      <c r="D923" s="20"/>
      <c r="H923" s="63"/>
    </row>
    <row r="924">
      <c r="A924" s="67"/>
      <c r="B924" s="70"/>
      <c r="C924" s="68"/>
      <c r="D924" s="20"/>
      <c r="H924" s="63"/>
    </row>
    <row r="925">
      <c r="A925" s="67"/>
      <c r="B925" s="70"/>
      <c r="C925" s="68"/>
      <c r="D925" s="20"/>
      <c r="H925" s="63"/>
    </row>
    <row r="926">
      <c r="A926" s="67"/>
      <c r="B926" s="70"/>
      <c r="C926" s="68"/>
      <c r="D926" s="20"/>
      <c r="H926" s="63"/>
    </row>
    <row r="927">
      <c r="A927" s="67"/>
      <c r="B927" s="70"/>
      <c r="C927" s="68"/>
      <c r="D927" s="20"/>
      <c r="H927" s="63"/>
    </row>
    <row r="928">
      <c r="A928" s="67"/>
      <c r="B928" s="70"/>
      <c r="C928" s="68"/>
      <c r="D928" s="20"/>
      <c r="H928" s="63"/>
    </row>
    <row r="929">
      <c r="A929" s="67"/>
      <c r="B929" s="70"/>
      <c r="C929" s="68"/>
      <c r="D929" s="20"/>
      <c r="H929" s="63"/>
    </row>
    <row r="930">
      <c r="A930" s="67"/>
      <c r="B930" s="70"/>
      <c r="C930" s="68"/>
      <c r="D930" s="20"/>
      <c r="H930" s="63"/>
    </row>
    <row r="931">
      <c r="A931" s="67"/>
      <c r="B931" s="70"/>
      <c r="C931" s="68"/>
      <c r="D931" s="20"/>
      <c r="H931" s="63"/>
    </row>
    <row r="932">
      <c r="A932" s="67"/>
      <c r="B932" s="70"/>
      <c r="C932" s="68"/>
      <c r="D932" s="20"/>
      <c r="H932" s="63"/>
    </row>
    <row r="933">
      <c r="A933" s="67"/>
      <c r="B933" s="70"/>
      <c r="C933" s="68"/>
      <c r="D933" s="20"/>
      <c r="H933" s="63"/>
    </row>
    <row r="934">
      <c r="A934" s="67"/>
      <c r="B934" s="70"/>
      <c r="C934" s="68"/>
      <c r="D934" s="20"/>
      <c r="H934" s="63"/>
    </row>
    <row r="935">
      <c r="A935" s="67"/>
      <c r="B935" s="70"/>
      <c r="C935" s="68"/>
      <c r="D935" s="20"/>
      <c r="H935" s="63"/>
    </row>
    <row r="936">
      <c r="A936" s="67"/>
      <c r="B936" s="70"/>
      <c r="C936" s="68"/>
      <c r="D936" s="20"/>
      <c r="H936" s="63"/>
    </row>
    <row r="937">
      <c r="A937" s="67"/>
      <c r="B937" s="70"/>
      <c r="C937" s="68"/>
      <c r="D937" s="20"/>
      <c r="H937" s="63"/>
    </row>
    <row r="938">
      <c r="A938" s="67"/>
      <c r="B938" s="70"/>
      <c r="C938" s="68"/>
      <c r="D938" s="20"/>
      <c r="H938" s="63"/>
    </row>
    <row r="939">
      <c r="A939" s="67"/>
      <c r="B939" s="70"/>
      <c r="C939" s="68"/>
      <c r="D939" s="20"/>
      <c r="H939" s="63"/>
    </row>
    <row r="940">
      <c r="A940" s="67"/>
      <c r="B940" s="70"/>
      <c r="C940" s="68"/>
      <c r="D940" s="20"/>
      <c r="H940" s="63"/>
    </row>
    <row r="941">
      <c r="A941" s="67"/>
      <c r="B941" s="70"/>
      <c r="C941" s="68"/>
      <c r="D941" s="20"/>
      <c r="H941" s="63"/>
    </row>
    <row r="942">
      <c r="A942" s="67"/>
      <c r="B942" s="70"/>
      <c r="C942" s="68"/>
      <c r="D942" s="20"/>
      <c r="H942" s="63"/>
    </row>
    <row r="943">
      <c r="A943" s="67"/>
      <c r="B943" s="70"/>
      <c r="C943" s="68"/>
      <c r="D943" s="20"/>
      <c r="H943" s="63"/>
    </row>
    <row r="944">
      <c r="A944" s="67"/>
      <c r="B944" s="70"/>
      <c r="C944" s="68"/>
      <c r="D944" s="20"/>
      <c r="H944" s="63"/>
    </row>
    <row r="945">
      <c r="A945" s="67"/>
      <c r="B945" s="70"/>
      <c r="C945" s="68"/>
      <c r="D945" s="20"/>
      <c r="H945" s="63"/>
    </row>
    <row r="946">
      <c r="A946" s="67"/>
      <c r="B946" s="70"/>
      <c r="C946" s="68"/>
      <c r="D946" s="20"/>
      <c r="H946" s="63"/>
    </row>
    <row r="947">
      <c r="A947" s="67"/>
      <c r="B947" s="70"/>
      <c r="C947" s="68"/>
      <c r="D947" s="20"/>
      <c r="H947" s="63"/>
    </row>
    <row r="948">
      <c r="A948" s="67"/>
      <c r="B948" s="70"/>
      <c r="C948" s="68"/>
      <c r="D948" s="20"/>
      <c r="H948" s="63"/>
    </row>
    <row r="949">
      <c r="A949" s="67"/>
      <c r="B949" s="70"/>
      <c r="C949" s="68"/>
      <c r="D949" s="20"/>
      <c r="H949" s="63"/>
    </row>
    <row r="950">
      <c r="A950" s="67"/>
      <c r="B950" s="70"/>
      <c r="C950" s="68"/>
      <c r="D950" s="20"/>
      <c r="H950" s="63"/>
    </row>
    <row r="951">
      <c r="A951" s="67"/>
      <c r="B951" s="70"/>
      <c r="C951" s="68"/>
      <c r="D951" s="20"/>
      <c r="H951" s="63"/>
    </row>
    <row r="952">
      <c r="A952" s="67"/>
      <c r="B952" s="70"/>
      <c r="C952" s="68"/>
      <c r="D952" s="20"/>
      <c r="H952" s="63"/>
    </row>
    <row r="953">
      <c r="A953" s="67"/>
      <c r="B953" s="70"/>
      <c r="C953" s="68"/>
      <c r="D953" s="20"/>
      <c r="H953" s="63"/>
    </row>
    <row r="954">
      <c r="A954" s="67"/>
      <c r="B954" s="70"/>
      <c r="C954" s="68"/>
      <c r="D954" s="20"/>
      <c r="H954" s="63"/>
    </row>
    <row r="955">
      <c r="A955" s="67"/>
      <c r="B955" s="70"/>
      <c r="C955" s="68"/>
      <c r="D955" s="20"/>
      <c r="H955" s="63"/>
    </row>
    <row r="956">
      <c r="A956" s="67"/>
      <c r="B956" s="70"/>
      <c r="C956" s="68"/>
      <c r="D956" s="20"/>
      <c r="H956" s="63"/>
    </row>
    <row r="957">
      <c r="A957" s="67"/>
      <c r="B957" s="70"/>
      <c r="C957" s="68"/>
      <c r="D957" s="20"/>
      <c r="H957" s="63"/>
    </row>
    <row r="958">
      <c r="A958" s="67"/>
      <c r="B958" s="70"/>
      <c r="C958" s="68"/>
      <c r="D958" s="20"/>
      <c r="H958" s="63"/>
    </row>
    <row r="959">
      <c r="A959" s="67"/>
      <c r="B959" s="70"/>
      <c r="C959" s="68"/>
      <c r="D959" s="20"/>
      <c r="H959" s="63"/>
    </row>
    <row r="960">
      <c r="A960" s="67"/>
      <c r="B960" s="70"/>
      <c r="C960" s="68"/>
      <c r="D960" s="20"/>
      <c r="H960" s="63"/>
    </row>
    <row r="961">
      <c r="A961" s="67"/>
      <c r="B961" s="70"/>
      <c r="C961" s="68"/>
      <c r="D961" s="20"/>
      <c r="H961" s="63"/>
    </row>
    <row r="962">
      <c r="A962" s="67"/>
      <c r="B962" s="70"/>
      <c r="C962" s="68"/>
      <c r="D962" s="20"/>
      <c r="H962" s="63"/>
    </row>
    <row r="963">
      <c r="A963" s="67"/>
      <c r="B963" s="70"/>
      <c r="C963" s="68"/>
      <c r="D963" s="20"/>
      <c r="H963" s="63"/>
    </row>
    <row r="964">
      <c r="A964" s="67"/>
      <c r="B964" s="70"/>
      <c r="C964" s="68"/>
      <c r="D964" s="20"/>
      <c r="H964" s="63"/>
    </row>
    <row r="965">
      <c r="A965" s="67"/>
      <c r="B965" s="70"/>
      <c r="C965" s="68"/>
      <c r="D965" s="20"/>
      <c r="H965" s="63"/>
    </row>
    <row r="966">
      <c r="A966" s="67"/>
      <c r="B966" s="70"/>
      <c r="C966" s="68"/>
      <c r="D966" s="20"/>
      <c r="H966" s="63"/>
    </row>
    <row r="967">
      <c r="A967" s="67"/>
      <c r="B967" s="70"/>
      <c r="C967" s="68"/>
      <c r="D967" s="20"/>
      <c r="H967" s="63"/>
    </row>
    <row r="968">
      <c r="A968" s="67"/>
      <c r="B968" s="70"/>
      <c r="C968" s="68"/>
      <c r="D968" s="20"/>
      <c r="H968" s="63"/>
    </row>
    <row r="969">
      <c r="A969" s="67"/>
      <c r="B969" s="70"/>
      <c r="C969" s="68"/>
      <c r="D969" s="20"/>
      <c r="H969" s="63"/>
    </row>
    <row r="970">
      <c r="A970" s="67"/>
      <c r="B970" s="70"/>
      <c r="C970" s="68"/>
      <c r="D970" s="20"/>
      <c r="H970" s="63"/>
    </row>
    <row r="971">
      <c r="A971" s="67"/>
      <c r="B971" s="70"/>
      <c r="C971" s="68"/>
      <c r="D971" s="20"/>
      <c r="H971" s="63"/>
    </row>
    <row r="972">
      <c r="A972" s="67"/>
      <c r="B972" s="70"/>
      <c r="C972" s="68"/>
      <c r="D972" s="20"/>
      <c r="H972" s="63"/>
    </row>
    <row r="973">
      <c r="A973" s="67"/>
      <c r="B973" s="70"/>
      <c r="C973" s="68"/>
      <c r="D973" s="20"/>
      <c r="H973" s="63"/>
    </row>
    <row r="974">
      <c r="A974" s="67"/>
      <c r="B974" s="70"/>
      <c r="C974" s="68"/>
      <c r="D974" s="20"/>
      <c r="H974" s="63"/>
    </row>
    <row r="975">
      <c r="A975" s="67"/>
      <c r="B975" s="70"/>
      <c r="C975" s="68"/>
      <c r="D975" s="20"/>
      <c r="H975" s="63"/>
    </row>
    <row r="976">
      <c r="A976" s="67"/>
      <c r="B976" s="70"/>
      <c r="C976" s="68"/>
      <c r="D976" s="20"/>
      <c r="H976" s="63"/>
    </row>
    <row r="977">
      <c r="A977" s="67"/>
      <c r="B977" s="70"/>
      <c r="C977" s="68"/>
      <c r="D977" s="20"/>
      <c r="H977" s="63"/>
    </row>
    <row r="978">
      <c r="A978" s="67"/>
      <c r="B978" s="70"/>
      <c r="C978" s="68"/>
      <c r="D978" s="20"/>
      <c r="H978" s="63"/>
    </row>
    <row r="979">
      <c r="A979" s="67"/>
      <c r="B979" s="70"/>
      <c r="C979" s="68"/>
      <c r="D979" s="20"/>
      <c r="H979" s="63"/>
    </row>
    <row r="980">
      <c r="A980" s="67"/>
      <c r="B980" s="70"/>
      <c r="C980" s="68"/>
      <c r="D980" s="20"/>
      <c r="H980" s="63"/>
    </row>
    <row r="981">
      <c r="A981" s="67"/>
      <c r="B981" s="70"/>
      <c r="C981" s="68"/>
      <c r="D981" s="20"/>
      <c r="H981" s="63"/>
    </row>
    <row r="982">
      <c r="A982" s="67"/>
      <c r="B982" s="70"/>
      <c r="C982" s="68"/>
      <c r="D982" s="20"/>
      <c r="H982" s="63"/>
    </row>
    <row r="983">
      <c r="A983" s="67"/>
      <c r="B983" s="70"/>
      <c r="C983" s="68"/>
      <c r="D983" s="20"/>
      <c r="H983" s="63"/>
    </row>
    <row r="984">
      <c r="A984" s="67"/>
      <c r="B984" s="70"/>
      <c r="C984" s="68"/>
      <c r="D984" s="20"/>
      <c r="H984" s="6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8" width="17.38"/>
  </cols>
  <sheetData>
    <row r="1">
      <c r="A1" s="81" t="str">
        <f>IFERROR(__xludf.DUMMYFUNCTION("IMPORTRANGE(""https://docs.google.com/spreadsheets/d/1UYeSnzxFVXnGBq4OuLQtCoVR1HS8q6M_na7GJJ09G1s/edit?usp=sharing"",""'user_table'!A:z"")"),"row_number")</f>
        <v>row_number</v>
      </c>
      <c r="B1" s="82" t="str">
        <f>IFERROR(__xludf.DUMMYFUNCTION("""COMPUTED_VALUE"""),"user_id")</f>
        <v>user_id</v>
      </c>
      <c r="C1" s="82" t="str">
        <f>IFERROR(__xludf.DUMMYFUNCTION("""COMPUTED_VALUE"""),"user_name")</f>
        <v>user_name</v>
      </c>
      <c r="D1" s="83" t="str">
        <f>IFERROR(__xludf.DUMMYFUNCTION("""COMPUTED_VALUE"""),"user_interest_category")</f>
        <v>user_interest_category</v>
      </c>
      <c r="E1" s="82" t="str">
        <f>IFERROR(__xludf.DUMMYFUNCTION("""COMPUTED_VALUE"""),"user_past_event_category")</f>
        <v>user_past_event_category</v>
      </c>
      <c r="F1" s="82" t="str">
        <f>IFERROR(__xludf.DUMMYFUNCTION("""COMPUTED_VALUE"""),"user_past_event")</f>
        <v>user_past_event</v>
      </c>
      <c r="G1" s="82" t="str">
        <f>IFERROR(__xludf.DUMMYFUNCTION("""COMPUTED_VALUE"""),"latitude")</f>
        <v>latitude</v>
      </c>
      <c r="H1" s="84" t="str">
        <f>IFERROR(__xludf.DUMMYFUNCTION("""COMPUTED_VALUE"""),"longitude")</f>
        <v>longitude</v>
      </c>
      <c r="I1" s="85"/>
      <c r="J1" s="85"/>
      <c r="K1" s="85"/>
      <c r="L1" s="85"/>
      <c r="M1" s="85"/>
      <c r="N1" s="85"/>
      <c r="O1" s="85"/>
      <c r="P1" s="85"/>
      <c r="Q1" s="85"/>
      <c r="R1" s="43"/>
      <c r="S1" s="43"/>
      <c r="T1" s="43"/>
      <c r="U1" s="43"/>
      <c r="V1" s="43"/>
      <c r="W1" s="43"/>
      <c r="X1" s="43"/>
      <c r="Y1" s="43"/>
      <c r="Z1" s="43"/>
    </row>
    <row r="2">
      <c r="A2" s="86">
        <f>IFERROR(__xludf.DUMMYFUNCTION("""COMPUTED_VALUE"""),1.0)</f>
        <v>1</v>
      </c>
      <c r="B2" s="87">
        <f>IFERROR(__xludf.DUMMYFUNCTION("""COMPUTED_VALUE"""),1.0)</f>
        <v>1</v>
      </c>
      <c r="C2" s="88" t="str">
        <f>IFERROR(__xludf.DUMMYFUNCTION("""COMPUTED_VALUE"""),"Maya Putri")</f>
        <v>Maya Putri</v>
      </c>
      <c r="D2" s="87" t="str">
        <f>IFERROR(__xludf.DUMMYFUNCTION("""COMPUTED_VALUE"""),"2, 1")</f>
        <v>2, 1</v>
      </c>
      <c r="E2" s="87" t="str">
        <f>IFERROR(__xludf.DUMMYFUNCTION("""COMPUTED_VALUE"""),"5, 6")</f>
        <v>5, 6</v>
      </c>
      <c r="F2" s="87" t="str">
        <f>IFERROR(__xludf.DUMMYFUNCTION("""COMPUTED_VALUE"""),"3163, 1646")</f>
        <v>3163, 1646</v>
      </c>
      <c r="G2" s="87">
        <f>IFERROR(__xludf.DUMMYFUNCTION("""COMPUTED_VALUE"""),-6.33318335253757)</f>
        <v>-6.333183353</v>
      </c>
      <c r="H2" s="86">
        <f>IFERROR(__xludf.DUMMYFUNCTION("""COMPUTED_VALUE"""),106.774398292137)</f>
        <v>106.7743983</v>
      </c>
      <c r="I2" s="85"/>
      <c r="J2" s="85"/>
      <c r="K2" s="85"/>
      <c r="L2" s="85"/>
      <c r="M2" s="85"/>
      <c r="N2" s="85"/>
      <c r="O2" s="85"/>
      <c r="P2" s="85"/>
      <c r="Q2" s="85"/>
      <c r="R2" s="43"/>
      <c r="S2" s="43"/>
      <c r="T2" s="43"/>
      <c r="U2" s="43"/>
      <c r="V2" s="43"/>
      <c r="W2" s="43"/>
      <c r="X2" s="43"/>
      <c r="Y2" s="43"/>
      <c r="Z2" s="43"/>
    </row>
    <row r="3">
      <c r="A3" s="86">
        <f>IFERROR(__xludf.DUMMYFUNCTION("""COMPUTED_VALUE"""),2.0)</f>
        <v>2</v>
      </c>
      <c r="B3" s="87">
        <f>IFERROR(__xludf.DUMMYFUNCTION("""COMPUTED_VALUE"""),2.0)</f>
        <v>2</v>
      </c>
      <c r="C3" s="88" t="str">
        <f>IFERROR(__xludf.DUMMYFUNCTION("""COMPUTED_VALUE"""),"Dian Putri")</f>
        <v>Dian Putri</v>
      </c>
      <c r="D3" s="87" t="str">
        <f>IFERROR(__xludf.DUMMYFUNCTION("""COMPUTED_VALUE"""),"1, 5")</f>
        <v>1, 5</v>
      </c>
      <c r="E3" s="87" t="str">
        <f>IFERROR(__xludf.DUMMYFUNCTION("""COMPUTED_VALUE"""),"1, 6")</f>
        <v>1, 6</v>
      </c>
      <c r="F3" s="87" t="str">
        <f>IFERROR(__xludf.DUMMYFUNCTION("""COMPUTED_VALUE"""),"113, 3163")</f>
        <v>113, 3163</v>
      </c>
      <c r="G3" s="87">
        <f>IFERROR(__xludf.DUMMYFUNCTION("""COMPUTED_VALUE"""),-6.27490527093247)</f>
        <v>-6.274905271</v>
      </c>
      <c r="H3" s="86">
        <f>IFERROR(__xludf.DUMMYFUNCTION("""COMPUTED_VALUE"""),106.821413156849)</f>
        <v>106.8214132</v>
      </c>
      <c r="I3" s="85"/>
      <c r="J3" s="85"/>
      <c r="K3" s="85"/>
      <c r="L3" s="85"/>
      <c r="M3" s="85"/>
      <c r="N3" s="85"/>
      <c r="O3" s="85"/>
      <c r="P3" s="85"/>
      <c r="Q3" s="85"/>
      <c r="R3" s="43"/>
      <c r="S3" s="43"/>
      <c r="T3" s="43"/>
      <c r="U3" s="43"/>
      <c r="V3" s="43"/>
      <c r="W3" s="43"/>
      <c r="X3" s="43"/>
      <c r="Y3" s="43"/>
      <c r="Z3" s="43"/>
    </row>
    <row r="4">
      <c r="A4" s="86">
        <f>IFERROR(__xludf.DUMMYFUNCTION("""COMPUTED_VALUE"""),3.0)</f>
        <v>3</v>
      </c>
      <c r="B4" s="87">
        <f>IFERROR(__xludf.DUMMYFUNCTION("""COMPUTED_VALUE"""),3.0)</f>
        <v>3</v>
      </c>
      <c r="C4" s="88" t="str">
        <f>IFERROR(__xludf.DUMMYFUNCTION("""COMPUTED_VALUE"""),"Fandi Wijaya")</f>
        <v>Fandi Wijaya</v>
      </c>
      <c r="D4" s="87" t="str">
        <f>IFERROR(__xludf.DUMMYFUNCTION("""COMPUTED_VALUE"""),"3, 6")</f>
        <v>3, 6</v>
      </c>
      <c r="E4" s="87" t="str">
        <f>IFERROR(__xludf.DUMMYFUNCTION("""COMPUTED_VALUE"""),"6, 1")</f>
        <v>6, 1</v>
      </c>
      <c r="F4" s="87" t="str">
        <f>IFERROR(__xludf.DUMMYFUNCTION("""COMPUTED_VALUE"""),"1645, 1642")</f>
        <v>1645, 1642</v>
      </c>
      <c r="G4" s="87">
        <f>IFERROR(__xludf.DUMMYFUNCTION("""COMPUTED_VALUE"""),-6.11496611328579)</f>
        <v>-6.114966113</v>
      </c>
      <c r="H4" s="86">
        <f>IFERROR(__xludf.DUMMYFUNCTION("""COMPUTED_VALUE"""),106.839932356705)</f>
        <v>106.8399324</v>
      </c>
      <c r="I4" s="85"/>
      <c r="J4" s="85"/>
      <c r="K4" s="85"/>
      <c r="L4" s="85"/>
      <c r="M4" s="85"/>
      <c r="N4" s="85"/>
      <c r="O4" s="85"/>
      <c r="P4" s="85"/>
      <c r="Q4" s="85"/>
      <c r="R4" s="43"/>
      <c r="S4" s="43"/>
      <c r="T4" s="43"/>
      <c r="U4" s="43"/>
      <c r="V4" s="43"/>
      <c r="W4" s="43"/>
      <c r="X4" s="43"/>
      <c r="Y4" s="43"/>
      <c r="Z4" s="43"/>
    </row>
    <row r="5">
      <c r="A5" s="86">
        <f>IFERROR(__xludf.DUMMYFUNCTION("""COMPUTED_VALUE"""),4.0)</f>
        <v>4</v>
      </c>
      <c r="B5" s="87">
        <f>IFERROR(__xludf.DUMMYFUNCTION("""COMPUTED_VALUE"""),4.0)</f>
        <v>4</v>
      </c>
      <c r="C5" s="88" t="str">
        <f>IFERROR(__xludf.DUMMYFUNCTION("""COMPUTED_VALUE"""),"Dina Utami")</f>
        <v>Dina Utami</v>
      </c>
      <c r="D5" s="87" t="str">
        <f>IFERROR(__xludf.DUMMYFUNCTION("""COMPUTED_VALUE"""),"2, 6")</f>
        <v>2, 6</v>
      </c>
      <c r="E5" s="87" t="str">
        <f>IFERROR(__xludf.DUMMYFUNCTION("""COMPUTED_VALUE"""),"6, 2")</f>
        <v>6, 2</v>
      </c>
      <c r="F5" s="87" t="str">
        <f>IFERROR(__xludf.DUMMYFUNCTION("""COMPUTED_VALUE"""),"1640, 1420")</f>
        <v>1640, 1420</v>
      </c>
      <c r="G5" s="87">
        <f>IFERROR(__xludf.DUMMYFUNCTION("""COMPUTED_VALUE"""),-6.13815615590365)</f>
        <v>-6.138156156</v>
      </c>
      <c r="H5" s="86">
        <f>IFERROR(__xludf.DUMMYFUNCTION("""COMPUTED_VALUE"""),106.698396166007)</f>
        <v>106.6983962</v>
      </c>
      <c r="I5" s="85"/>
      <c r="J5" s="85"/>
      <c r="K5" s="85"/>
      <c r="L5" s="85"/>
      <c r="M5" s="85"/>
      <c r="N5" s="85"/>
      <c r="O5" s="85"/>
      <c r="P5" s="85"/>
      <c r="Q5" s="85"/>
      <c r="R5" s="43"/>
      <c r="S5" s="43"/>
      <c r="T5" s="43"/>
      <c r="U5" s="43"/>
      <c r="V5" s="43"/>
      <c r="W5" s="43"/>
      <c r="X5" s="43"/>
      <c r="Y5" s="43"/>
      <c r="Z5" s="43"/>
    </row>
    <row r="6">
      <c r="A6" s="86">
        <f>IFERROR(__xludf.DUMMYFUNCTION("""COMPUTED_VALUE"""),5.0)</f>
        <v>5</v>
      </c>
      <c r="B6" s="87">
        <f>IFERROR(__xludf.DUMMYFUNCTION("""COMPUTED_VALUE"""),5.0)</f>
        <v>5</v>
      </c>
      <c r="C6" s="88" t="str">
        <f>IFERROR(__xludf.DUMMYFUNCTION("""COMPUTED_VALUE"""),"Hadi Nurhayati")</f>
        <v>Hadi Nurhayati</v>
      </c>
      <c r="D6" s="87" t="str">
        <f>IFERROR(__xludf.DUMMYFUNCTION("""COMPUTED_VALUE"""),"1, 2")</f>
        <v>1, 2</v>
      </c>
      <c r="E6" s="87" t="str">
        <f>IFERROR(__xludf.DUMMYFUNCTION("""COMPUTED_VALUE"""),"1, 5")</f>
        <v>1, 5</v>
      </c>
      <c r="F6" s="87" t="str">
        <f>IFERROR(__xludf.DUMMYFUNCTION("""COMPUTED_VALUE"""),"3163, 3170")</f>
        <v>3163, 3170</v>
      </c>
      <c r="G6" s="87">
        <f>IFERROR(__xludf.DUMMYFUNCTION("""COMPUTED_VALUE"""),-6.28131660156761)</f>
        <v>-6.281316602</v>
      </c>
      <c r="H6" s="86">
        <f>IFERROR(__xludf.DUMMYFUNCTION("""COMPUTED_VALUE"""),106.688194871161)</f>
        <v>106.6881949</v>
      </c>
      <c r="I6" s="85"/>
      <c r="J6" s="85"/>
      <c r="K6" s="85"/>
      <c r="L6" s="85"/>
      <c r="M6" s="85"/>
      <c r="N6" s="85"/>
      <c r="O6" s="85"/>
      <c r="P6" s="85"/>
      <c r="Q6" s="85"/>
      <c r="R6" s="43"/>
      <c r="S6" s="43"/>
      <c r="T6" s="43"/>
      <c r="U6" s="43"/>
      <c r="V6" s="43"/>
      <c r="W6" s="43"/>
      <c r="X6" s="43"/>
      <c r="Y6" s="43"/>
      <c r="Z6" s="43"/>
    </row>
    <row r="7">
      <c r="A7" s="86">
        <f>IFERROR(__xludf.DUMMYFUNCTION("""COMPUTED_VALUE"""),6.0)</f>
        <v>6</v>
      </c>
      <c r="B7" s="87">
        <f>IFERROR(__xludf.DUMMYFUNCTION("""COMPUTED_VALUE"""),6.0)</f>
        <v>6</v>
      </c>
      <c r="C7" s="88" t="str">
        <f>IFERROR(__xludf.DUMMYFUNCTION("""COMPUTED_VALUE"""),"Arif Putri")</f>
        <v>Arif Putri</v>
      </c>
      <c r="D7" s="87" t="str">
        <f>IFERROR(__xludf.DUMMYFUNCTION("""COMPUTED_VALUE"""),"6, 3")</f>
        <v>6, 3</v>
      </c>
      <c r="E7" s="87" t="str">
        <f>IFERROR(__xludf.DUMMYFUNCTION("""COMPUTED_VALUE"""),"5, 2")</f>
        <v>5, 2</v>
      </c>
      <c r="F7" s="87" t="str">
        <f>IFERROR(__xludf.DUMMYFUNCTION("""COMPUTED_VALUE"""),"1427, 1639")</f>
        <v>1427, 1639</v>
      </c>
      <c r="G7" s="87">
        <f>IFERROR(__xludf.DUMMYFUNCTION("""COMPUTED_VALUE"""),-6.26607032223485)</f>
        <v>-6.266070322</v>
      </c>
      <c r="H7" s="86">
        <f>IFERROR(__xludf.DUMMYFUNCTION("""COMPUTED_VALUE"""),106.64830183513)</f>
        <v>106.6483018</v>
      </c>
      <c r="I7" s="85"/>
      <c r="J7" s="85"/>
      <c r="K7" s="85"/>
      <c r="L7" s="85"/>
      <c r="M7" s="85"/>
      <c r="N7" s="85"/>
      <c r="O7" s="85"/>
      <c r="P7" s="85"/>
      <c r="Q7" s="85"/>
      <c r="R7" s="43"/>
      <c r="S7" s="43"/>
      <c r="T7" s="43"/>
      <c r="U7" s="43"/>
      <c r="V7" s="43"/>
      <c r="W7" s="43"/>
      <c r="X7" s="43"/>
      <c r="Y7" s="43"/>
      <c r="Z7" s="43"/>
    </row>
    <row r="8">
      <c r="A8" s="86">
        <f>IFERROR(__xludf.DUMMYFUNCTION("""COMPUTED_VALUE"""),7.0)</f>
        <v>7</v>
      </c>
      <c r="B8" s="87">
        <f>IFERROR(__xludf.DUMMYFUNCTION("""COMPUTED_VALUE"""),7.0)</f>
        <v>7</v>
      </c>
      <c r="C8" s="88" t="str">
        <f>IFERROR(__xludf.DUMMYFUNCTION("""COMPUTED_VALUE"""),"Maya Sari")</f>
        <v>Maya Sari</v>
      </c>
      <c r="D8" s="87" t="str">
        <f>IFERROR(__xludf.DUMMYFUNCTION("""COMPUTED_VALUE"""),"2, 3")</f>
        <v>2, 3</v>
      </c>
      <c r="E8" s="87" t="str">
        <f>IFERROR(__xludf.DUMMYFUNCTION("""COMPUTED_VALUE"""),"5, 2")</f>
        <v>5, 2</v>
      </c>
      <c r="F8" s="87" t="str">
        <f>IFERROR(__xludf.DUMMYFUNCTION("""COMPUTED_VALUE"""),"3455, 1111")</f>
        <v>3455, 1111</v>
      </c>
      <c r="G8" s="87">
        <f>IFERROR(__xludf.DUMMYFUNCTION("""COMPUTED_VALUE"""),-6.2185813675259)</f>
        <v>-6.218581368</v>
      </c>
      <c r="H8" s="86">
        <f>IFERROR(__xludf.DUMMYFUNCTION("""COMPUTED_VALUE"""),106.635850556297)</f>
        <v>106.6358506</v>
      </c>
      <c r="I8" s="85"/>
      <c r="J8" s="85"/>
      <c r="K8" s="85"/>
      <c r="L8" s="85"/>
      <c r="M8" s="85"/>
      <c r="N8" s="85"/>
      <c r="O8" s="85"/>
      <c r="P8" s="85"/>
      <c r="Q8" s="85"/>
      <c r="R8" s="43"/>
      <c r="S8" s="43"/>
      <c r="T8" s="43"/>
      <c r="U8" s="43"/>
      <c r="V8" s="43"/>
      <c r="W8" s="43"/>
      <c r="X8" s="43"/>
      <c r="Y8" s="43"/>
      <c r="Z8" s="43"/>
    </row>
    <row r="9">
      <c r="A9" s="86">
        <f>IFERROR(__xludf.DUMMYFUNCTION("""COMPUTED_VALUE"""),8.0)</f>
        <v>8</v>
      </c>
      <c r="B9" s="87">
        <f>IFERROR(__xludf.DUMMYFUNCTION("""COMPUTED_VALUE"""),8.0)</f>
        <v>8</v>
      </c>
      <c r="C9" s="88" t="str">
        <f>IFERROR(__xludf.DUMMYFUNCTION("""COMPUTED_VALUE"""),"Bambang Kurniawan")</f>
        <v>Bambang Kurniawan</v>
      </c>
      <c r="D9" s="87" t="str">
        <f>IFERROR(__xludf.DUMMYFUNCTION("""COMPUTED_VALUE"""),"3, 4")</f>
        <v>3, 4</v>
      </c>
      <c r="E9" s="87" t="str">
        <f>IFERROR(__xludf.DUMMYFUNCTION("""COMPUTED_VALUE"""),"2, 1")</f>
        <v>2, 1</v>
      </c>
      <c r="F9" s="87" t="str">
        <f>IFERROR(__xludf.DUMMYFUNCTION("""COMPUTED_VALUE"""),"1420, 3168")</f>
        <v>1420, 3168</v>
      </c>
      <c r="G9" s="87">
        <f>IFERROR(__xludf.DUMMYFUNCTION("""COMPUTED_VALUE"""),-6.11123629313511)</f>
        <v>-6.111236293</v>
      </c>
      <c r="H9" s="86">
        <f>IFERROR(__xludf.DUMMYFUNCTION("""COMPUTED_VALUE"""),106.764848507322)</f>
        <v>106.7648485</v>
      </c>
      <c r="I9" s="85"/>
      <c r="J9" s="85"/>
      <c r="K9" s="85"/>
      <c r="L9" s="85"/>
      <c r="M9" s="85"/>
      <c r="N9" s="85"/>
      <c r="O9" s="85"/>
      <c r="P9" s="85"/>
      <c r="Q9" s="85"/>
      <c r="R9" s="43"/>
      <c r="S9" s="43"/>
      <c r="T9" s="43"/>
      <c r="U9" s="43"/>
      <c r="V9" s="43"/>
      <c r="W9" s="43"/>
      <c r="X9" s="43"/>
      <c r="Y9" s="43"/>
      <c r="Z9" s="43"/>
    </row>
    <row r="10">
      <c r="A10" s="86">
        <f>IFERROR(__xludf.DUMMYFUNCTION("""COMPUTED_VALUE"""),9.0)</f>
        <v>9</v>
      </c>
      <c r="B10" s="87">
        <f>IFERROR(__xludf.DUMMYFUNCTION("""COMPUTED_VALUE"""),9.0)</f>
        <v>9</v>
      </c>
      <c r="C10" s="88" t="str">
        <f>IFERROR(__xludf.DUMMYFUNCTION("""COMPUTED_VALUE"""),"Dina Pratama")</f>
        <v>Dina Pratama</v>
      </c>
      <c r="D10" s="87" t="str">
        <f>IFERROR(__xludf.DUMMYFUNCTION("""COMPUTED_VALUE"""),"1, 2")</f>
        <v>1, 2</v>
      </c>
      <c r="E10" s="87" t="str">
        <f>IFERROR(__xludf.DUMMYFUNCTION("""COMPUTED_VALUE"""),"2, 3")</f>
        <v>2, 3</v>
      </c>
      <c r="F10" s="87" t="str">
        <f>IFERROR(__xludf.DUMMYFUNCTION("""COMPUTED_VALUE"""),"1528, 3657")</f>
        <v>1528, 3657</v>
      </c>
      <c r="G10" s="87">
        <f>IFERROR(__xludf.DUMMYFUNCTION("""COMPUTED_VALUE"""),-6.13772670293605)</f>
        <v>-6.137726703</v>
      </c>
      <c r="H10" s="86">
        <f>IFERROR(__xludf.DUMMYFUNCTION("""COMPUTED_VALUE"""),106.606146277455)</f>
        <v>106.6061463</v>
      </c>
      <c r="I10" s="85"/>
      <c r="J10" s="85"/>
      <c r="K10" s="85"/>
      <c r="L10" s="85"/>
      <c r="M10" s="85"/>
      <c r="N10" s="85"/>
      <c r="O10" s="85"/>
      <c r="P10" s="85"/>
      <c r="Q10" s="85"/>
      <c r="R10" s="43"/>
      <c r="S10" s="43"/>
      <c r="T10" s="43"/>
      <c r="U10" s="43"/>
      <c r="V10" s="43"/>
      <c r="W10" s="43"/>
      <c r="X10" s="43"/>
      <c r="Y10" s="43"/>
      <c r="Z10" s="43"/>
    </row>
    <row r="11">
      <c r="A11" s="86">
        <f>IFERROR(__xludf.DUMMYFUNCTION("""COMPUTED_VALUE"""),10.0)</f>
        <v>10</v>
      </c>
      <c r="B11" s="87">
        <f>IFERROR(__xludf.DUMMYFUNCTION("""COMPUTED_VALUE"""),10.0)</f>
        <v>10</v>
      </c>
      <c r="C11" s="88" t="str">
        <f>IFERROR(__xludf.DUMMYFUNCTION("""COMPUTED_VALUE"""),"Dina Susanto")</f>
        <v>Dina Susanto</v>
      </c>
      <c r="D11" s="87" t="str">
        <f>IFERROR(__xludf.DUMMYFUNCTION("""COMPUTED_VALUE"""),"1, 6")</f>
        <v>1, 6</v>
      </c>
      <c r="E11" s="87" t="str">
        <f>IFERROR(__xludf.DUMMYFUNCTION("""COMPUTED_VALUE"""),"4, 5")</f>
        <v>4, 5</v>
      </c>
      <c r="F11" s="87" t="str">
        <f>IFERROR(__xludf.DUMMYFUNCTION("""COMPUTED_VALUE"""),"3167, 3170")</f>
        <v>3167, 3170</v>
      </c>
      <c r="G11" s="87">
        <f>IFERROR(__xludf.DUMMYFUNCTION("""COMPUTED_VALUE"""),-6.11850576798502)</f>
        <v>-6.118505768</v>
      </c>
      <c r="H11" s="86">
        <f>IFERROR(__xludf.DUMMYFUNCTION("""COMPUTED_VALUE"""),106.637647770006)</f>
        <v>106.6376478</v>
      </c>
      <c r="I11" s="85"/>
      <c r="J11" s="85"/>
      <c r="K11" s="85"/>
      <c r="L11" s="85"/>
      <c r="M11" s="85"/>
      <c r="N11" s="85"/>
      <c r="O11" s="85"/>
      <c r="P11" s="85"/>
      <c r="Q11" s="85"/>
      <c r="R11" s="43"/>
      <c r="S11" s="43"/>
      <c r="T11" s="43"/>
      <c r="U11" s="43"/>
      <c r="V11" s="43"/>
      <c r="W11" s="43"/>
      <c r="X11" s="43"/>
      <c r="Y11" s="43"/>
      <c r="Z11" s="43"/>
    </row>
    <row r="12">
      <c r="A12" s="86">
        <f>IFERROR(__xludf.DUMMYFUNCTION("""COMPUTED_VALUE"""),11.0)</f>
        <v>11</v>
      </c>
      <c r="B12" s="87">
        <f>IFERROR(__xludf.DUMMYFUNCTION("""COMPUTED_VALUE"""),11.0)</f>
        <v>11</v>
      </c>
      <c r="C12" s="88" t="str">
        <f>IFERROR(__xludf.DUMMYFUNCTION("""COMPUTED_VALUE"""),"Arif Sari")</f>
        <v>Arif Sari</v>
      </c>
      <c r="D12" s="87" t="str">
        <f>IFERROR(__xludf.DUMMYFUNCTION("""COMPUTED_VALUE"""),"1, 1")</f>
        <v>1, 1</v>
      </c>
      <c r="E12" s="87" t="str">
        <f>IFERROR(__xludf.DUMMYFUNCTION("""COMPUTED_VALUE"""),"5, 2")</f>
        <v>5, 2</v>
      </c>
      <c r="F12" s="87" t="str">
        <f>IFERROR(__xludf.DUMMYFUNCTION("""COMPUTED_VALUE"""),"116, 1423")</f>
        <v>116, 1423</v>
      </c>
      <c r="G12" s="87">
        <f>IFERROR(__xludf.DUMMYFUNCTION("""COMPUTED_VALUE"""),-6.18585466317123)</f>
        <v>-6.185854663</v>
      </c>
      <c r="H12" s="86">
        <f>IFERROR(__xludf.DUMMYFUNCTION("""COMPUTED_VALUE"""),106.57870170144)</f>
        <v>106.5787017</v>
      </c>
      <c r="I12" s="85"/>
      <c r="J12" s="85"/>
      <c r="K12" s="85"/>
      <c r="L12" s="85"/>
      <c r="M12" s="85"/>
      <c r="N12" s="85"/>
      <c r="O12" s="85"/>
      <c r="P12" s="85"/>
      <c r="Q12" s="85"/>
      <c r="R12" s="43"/>
      <c r="S12" s="43"/>
      <c r="T12" s="43"/>
      <c r="U12" s="43"/>
      <c r="V12" s="43"/>
      <c r="W12" s="43"/>
      <c r="X12" s="43"/>
      <c r="Y12" s="43"/>
      <c r="Z12" s="43"/>
    </row>
    <row r="13">
      <c r="A13" s="86">
        <f>IFERROR(__xludf.DUMMYFUNCTION("""COMPUTED_VALUE"""),12.0)</f>
        <v>12</v>
      </c>
      <c r="B13" s="87">
        <f>IFERROR(__xludf.DUMMYFUNCTION("""COMPUTED_VALUE"""),12.0)</f>
        <v>12</v>
      </c>
      <c r="C13" s="88" t="str">
        <f>IFERROR(__xludf.DUMMYFUNCTION("""COMPUTED_VALUE"""),"Joko Susanto")</f>
        <v>Joko Susanto</v>
      </c>
      <c r="D13" s="87" t="str">
        <f>IFERROR(__xludf.DUMMYFUNCTION("""COMPUTED_VALUE"""),"6, 3")</f>
        <v>6, 3</v>
      </c>
      <c r="E13" s="87" t="str">
        <f>IFERROR(__xludf.DUMMYFUNCTION("""COMPUTED_VALUE"""),"4, 2")</f>
        <v>4, 2</v>
      </c>
      <c r="F13" s="87" t="str">
        <f>IFERROR(__xludf.DUMMYFUNCTION("""COMPUTED_VALUE"""),"3166, 1114")</f>
        <v>3166, 1114</v>
      </c>
      <c r="G13" s="87">
        <f>IFERROR(__xludf.DUMMYFUNCTION("""COMPUTED_VALUE"""),-6.11893570813835)</f>
        <v>-6.118935708</v>
      </c>
      <c r="H13" s="86">
        <f>IFERROR(__xludf.DUMMYFUNCTION("""COMPUTED_VALUE"""),106.806809194208)</f>
        <v>106.8068092</v>
      </c>
      <c r="I13" s="85"/>
      <c r="J13" s="85"/>
      <c r="K13" s="85"/>
      <c r="L13" s="85"/>
      <c r="M13" s="85"/>
      <c r="N13" s="85"/>
      <c r="O13" s="85"/>
      <c r="P13" s="85"/>
      <c r="Q13" s="85"/>
      <c r="R13" s="43"/>
      <c r="S13" s="43"/>
      <c r="T13" s="43"/>
      <c r="U13" s="43"/>
      <c r="V13" s="43"/>
      <c r="W13" s="43"/>
      <c r="X13" s="43"/>
      <c r="Y13" s="43"/>
      <c r="Z13" s="43"/>
    </row>
    <row r="14">
      <c r="A14" s="86">
        <f>IFERROR(__xludf.DUMMYFUNCTION("""COMPUTED_VALUE"""),13.0)</f>
        <v>13</v>
      </c>
      <c r="B14" s="87">
        <f>IFERROR(__xludf.DUMMYFUNCTION("""COMPUTED_VALUE"""),13.0)</f>
        <v>13</v>
      </c>
      <c r="C14" s="88" t="str">
        <f>IFERROR(__xludf.DUMMYFUNCTION("""COMPUTED_VALUE"""),"Hadi Kurniawan")</f>
        <v>Hadi Kurniawan</v>
      </c>
      <c r="D14" s="87" t="str">
        <f>IFERROR(__xludf.DUMMYFUNCTION("""COMPUTED_VALUE"""),"2, 6")</f>
        <v>2, 6</v>
      </c>
      <c r="E14" s="87" t="str">
        <f>IFERROR(__xludf.DUMMYFUNCTION("""COMPUTED_VALUE"""),"4, 3")</f>
        <v>4, 3</v>
      </c>
      <c r="F14" s="87" t="str">
        <f>IFERROR(__xludf.DUMMYFUNCTION("""COMPUTED_VALUE"""),"1642, 1647")</f>
        <v>1642, 1647</v>
      </c>
      <c r="G14" s="87">
        <f>IFERROR(__xludf.DUMMYFUNCTION("""COMPUTED_VALUE"""),-6.34190328874716)</f>
        <v>-6.341903289</v>
      </c>
      <c r="H14" s="86">
        <f>IFERROR(__xludf.DUMMYFUNCTION("""COMPUTED_VALUE"""),106.771317994925)</f>
        <v>106.771318</v>
      </c>
      <c r="I14" s="85"/>
      <c r="J14" s="85"/>
      <c r="K14" s="85"/>
      <c r="L14" s="85"/>
      <c r="M14" s="85"/>
      <c r="N14" s="85"/>
      <c r="O14" s="85"/>
      <c r="P14" s="85"/>
      <c r="Q14" s="85"/>
      <c r="R14" s="43"/>
      <c r="S14" s="43"/>
      <c r="T14" s="43"/>
      <c r="U14" s="43"/>
      <c r="V14" s="43"/>
      <c r="W14" s="43"/>
      <c r="X14" s="43"/>
      <c r="Y14" s="43"/>
      <c r="Z14" s="43"/>
    </row>
    <row r="15">
      <c r="A15" s="86">
        <f>IFERROR(__xludf.DUMMYFUNCTION("""COMPUTED_VALUE"""),14.0)</f>
        <v>14</v>
      </c>
      <c r="B15" s="87">
        <f>IFERROR(__xludf.DUMMYFUNCTION("""COMPUTED_VALUE"""),14.0)</f>
        <v>14</v>
      </c>
      <c r="C15" s="88" t="str">
        <f>IFERROR(__xludf.DUMMYFUNCTION("""COMPUTED_VALUE"""),"Ani Purnama")</f>
        <v>Ani Purnama</v>
      </c>
      <c r="D15" s="87" t="str">
        <f>IFERROR(__xludf.DUMMYFUNCTION("""COMPUTED_VALUE"""),"6, 3")</f>
        <v>6, 3</v>
      </c>
      <c r="E15" s="87" t="str">
        <f>IFERROR(__xludf.DUMMYFUNCTION("""COMPUTED_VALUE"""),"6, 2")</f>
        <v>6, 2</v>
      </c>
      <c r="F15" s="87" t="str">
        <f>IFERROR(__xludf.DUMMYFUNCTION("""COMPUTED_VALUE"""),"3164, 1313")</f>
        <v>3164, 1313</v>
      </c>
      <c r="G15" s="87">
        <f>IFERROR(__xludf.DUMMYFUNCTION("""COMPUTED_VALUE"""),-6.09226780455274)</f>
        <v>-6.092267805</v>
      </c>
      <c r="H15" s="86">
        <f>IFERROR(__xludf.DUMMYFUNCTION("""COMPUTED_VALUE"""),106.692896012431)</f>
        <v>106.692896</v>
      </c>
      <c r="I15" s="85"/>
      <c r="J15" s="85"/>
      <c r="K15" s="85"/>
      <c r="L15" s="85"/>
      <c r="M15" s="85"/>
      <c r="N15" s="85"/>
      <c r="O15" s="85"/>
      <c r="P15" s="85"/>
      <c r="Q15" s="85"/>
      <c r="R15" s="43"/>
      <c r="S15" s="43"/>
      <c r="T15" s="43"/>
      <c r="U15" s="43"/>
      <c r="V15" s="43"/>
      <c r="W15" s="43"/>
      <c r="X15" s="43"/>
      <c r="Y15" s="43"/>
      <c r="Z15" s="43"/>
    </row>
    <row r="16">
      <c r="A16" s="86">
        <f>IFERROR(__xludf.DUMMYFUNCTION("""COMPUTED_VALUE"""),15.0)</f>
        <v>15</v>
      </c>
      <c r="B16" s="87">
        <f>IFERROR(__xludf.DUMMYFUNCTION("""COMPUTED_VALUE"""),15.0)</f>
        <v>15</v>
      </c>
      <c r="C16" s="88" t="str">
        <f>IFERROR(__xludf.DUMMYFUNCTION("""COMPUTED_VALUE"""),"Arif Kurniawan")</f>
        <v>Arif Kurniawan</v>
      </c>
      <c r="D16" s="87" t="str">
        <f>IFERROR(__xludf.DUMMYFUNCTION("""COMPUTED_VALUE"""),"5, 3")</f>
        <v>5, 3</v>
      </c>
      <c r="E16" s="87" t="str">
        <f>IFERROR(__xludf.DUMMYFUNCTION("""COMPUTED_VALUE"""),"3, 1")</f>
        <v>3, 1</v>
      </c>
      <c r="F16" s="87" t="str">
        <f>IFERROR(__xludf.DUMMYFUNCTION("""COMPUTED_VALUE"""),"3454, 1647")</f>
        <v>3454, 1647</v>
      </c>
      <c r="G16" s="87">
        <f>IFERROR(__xludf.DUMMYFUNCTION("""COMPUTED_VALUE"""),-6.13655348619651)</f>
        <v>-6.136553486</v>
      </c>
      <c r="H16" s="86">
        <f>IFERROR(__xludf.DUMMYFUNCTION("""COMPUTED_VALUE"""),106.643823213054)</f>
        <v>106.6438232</v>
      </c>
      <c r="I16" s="85"/>
      <c r="J16" s="85"/>
      <c r="K16" s="85"/>
      <c r="L16" s="85"/>
      <c r="M16" s="85"/>
      <c r="N16" s="85"/>
      <c r="O16" s="85"/>
      <c r="P16" s="85"/>
      <c r="Q16" s="85"/>
      <c r="R16" s="43"/>
      <c r="S16" s="43"/>
      <c r="T16" s="43"/>
      <c r="U16" s="43"/>
      <c r="V16" s="43"/>
      <c r="W16" s="43"/>
      <c r="X16" s="43"/>
      <c r="Y16" s="43"/>
      <c r="Z16" s="43"/>
    </row>
    <row r="17">
      <c r="A17" s="86">
        <f>IFERROR(__xludf.DUMMYFUNCTION("""COMPUTED_VALUE"""),16.0)</f>
        <v>16</v>
      </c>
      <c r="B17" s="87">
        <f>IFERROR(__xludf.DUMMYFUNCTION("""COMPUTED_VALUE"""),16.0)</f>
        <v>16</v>
      </c>
      <c r="C17" s="88" t="str">
        <f>IFERROR(__xludf.DUMMYFUNCTION("""COMPUTED_VALUE"""),"Siti Utami")</f>
        <v>Siti Utami</v>
      </c>
      <c r="D17" s="87" t="str">
        <f>IFERROR(__xludf.DUMMYFUNCTION("""COMPUTED_VALUE"""),"5, 3")</f>
        <v>5, 3</v>
      </c>
      <c r="E17" s="87" t="str">
        <f>IFERROR(__xludf.DUMMYFUNCTION("""COMPUTED_VALUE"""),"1, 2")</f>
        <v>1, 2</v>
      </c>
      <c r="F17" s="87" t="str">
        <f>IFERROR(__xludf.DUMMYFUNCTION("""COMPUTED_VALUE"""),"1420, 1215")</f>
        <v>1420, 1215</v>
      </c>
      <c r="G17" s="87">
        <f>IFERROR(__xludf.DUMMYFUNCTION("""COMPUTED_VALUE"""),-6.24489613810583)</f>
        <v>-6.244896138</v>
      </c>
      <c r="H17" s="86">
        <f>IFERROR(__xludf.DUMMYFUNCTION("""COMPUTED_VALUE"""),106.684196221731)</f>
        <v>106.6841962</v>
      </c>
      <c r="I17" s="85"/>
      <c r="J17" s="85"/>
      <c r="K17" s="85"/>
      <c r="L17" s="85"/>
      <c r="M17" s="85"/>
      <c r="N17" s="85"/>
      <c r="O17" s="85"/>
      <c r="P17" s="85"/>
      <c r="Q17" s="85"/>
      <c r="R17" s="43"/>
      <c r="S17" s="43"/>
      <c r="T17" s="43"/>
      <c r="U17" s="43"/>
      <c r="V17" s="43"/>
      <c r="W17" s="43"/>
      <c r="X17" s="43"/>
      <c r="Y17" s="43"/>
      <c r="Z17" s="43"/>
    </row>
    <row r="18">
      <c r="A18" s="86">
        <f>IFERROR(__xludf.DUMMYFUNCTION("""COMPUTED_VALUE"""),17.0)</f>
        <v>17</v>
      </c>
      <c r="B18" s="87">
        <f>IFERROR(__xludf.DUMMYFUNCTION("""COMPUTED_VALUE"""),17.0)</f>
        <v>17</v>
      </c>
      <c r="C18" s="88" t="str">
        <f>IFERROR(__xludf.DUMMYFUNCTION("""COMPUTED_VALUE"""),"Fajar Wijaya")</f>
        <v>Fajar Wijaya</v>
      </c>
      <c r="D18" s="87" t="str">
        <f>IFERROR(__xludf.DUMMYFUNCTION("""COMPUTED_VALUE"""),"2, 1")</f>
        <v>2, 1</v>
      </c>
      <c r="E18" s="87" t="str">
        <f>IFERROR(__xludf.DUMMYFUNCTION("""COMPUTED_VALUE"""),"1, 1")</f>
        <v>1, 1</v>
      </c>
      <c r="F18" s="87" t="str">
        <f>IFERROR(__xludf.DUMMYFUNCTION("""COMPUTED_VALUE"""),"1333, 1528")</f>
        <v>1333, 1528</v>
      </c>
      <c r="G18" s="87">
        <f>IFERROR(__xludf.DUMMYFUNCTION("""COMPUTED_VALUE"""),-6.21987310345171)</f>
        <v>-6.219873103</v>
      </c>
      <c r="H18" s="86">
        <f>IFERROR(__xludf.DUMMYFUNCTION("""COMPUTED_VALUE"""),106.58695949448)</f>
        <v>106.5869595</v>
      </c>
      <c r="I18" s="85"/>
      <c r="J18" s="85"/>
      <c r="K18" s="85"/>
      <c r="L18" s="85"/>
      <c r="M18" s="85"/>
      <c r="N18" s="85"/>
      <c r="O18" s="85"/>
      <c r="P18" s="85"/>
      <c r="Q18" s="85"/>
      <c r="R18" s="43"/>
      <c r="S18" s="43"/>
      <c r="T18" s="43"/>
      <c r="U18" s="43"/>
      <c r="V18" s="43"/>
      <c r="W18" s="43"/>
      <c r="X18" s="43"/>
      <c r="Y18" s="43"/>
      <c r="Z18" s="43"/>
    </row>
    <row r="19">
      <c r="A19" s="86">
        <f>IFERROR(__xludf.DUMMYFUNCTION("""COMPUTED_VALUE"""),18.0)</f>
        <v>18</v>
      </c>
      <c r="B19" s="87">
        <f>IFERROR(__xludf.DUMMYFUNCTION("""COMPUTED_VALUE"""),18.0)</f>
        <v>18</v>
      </c>
      <c r="C19" s="88" t="str">
        <f>IFERROR(__xludf.DUMMYFUNCTION("""COMPUTED_VALUE"""),"Rudi Santoso")</f>
        <v>Rudi Santoso</v>
      </c>
      <c r="D19" s="87" t="str">
        <f>IFERROR(__xludf.DUMMYFUNCTION("""COMPUTED_VALUE"""),"6, 2")</f>
        <v>6, 2</v>
      </c>
      <c r="E19" s="87" t="str">
        <f>IFERROR(__xludf.DUMMYFUNCTION("""COMPUTED_VALUE"""),"4, 2")</f>
        <v>4, 2</v>
      </c>
      <c r="F19" s="87" t="str">
        <f>IFERROR(__xludf.DUMMYFUNCTION("""COMPUTED_VALUE"""),"1636, 115")</f>
        <v>1636, 115</v>
      </c>
      <c r="G19" s="87">
        <f>IFERROR(__xludf.DUMMYFUNCTION("""COMPUTED_VALUE"""),-6.09670206605991)</f>
        <v>-6.096702066</v>
      </c>
      <c r="H19" s="86">
        <f>IFERROR(__xludf.DUMMYFUNCTION("""COMPUTED_VALUE"""),106.930842631196)</f>
        <v>106.9308426</v>
      </c>
      <c r="I19" s="85"/>
      <c r="J19" s="85"/>
      <c r="K19" s="85"/>
      <c r="L19" s="85"/>
      <c r="M19" s="85"/>
      <c r="N19" s="85"/>
      <c r="O19" s="85"/>
      <c r="P19" s="85"/>
      <c r="Q19" s="85"/>
      <c r="R19" s="43"/>
      <c r="S19" s="43"/>
      <c r="T19" s="43"/>
      <c r="U19" s="43"/>
      <c r="V19" s="43"/>
      <c r="W19" s="43"/>
      <c r="X19" s="43"/>
      <c r="Y19" s="43"/>
      <c r="Z19" s="43"/>
    </row>
    <row r="20">
      <c r="A20" s="86">
        <f>IFERROR(__xludf.DUMMYFUNCTION("""COMPUTED_VALUE"""),19.0)</f>
        <v>19</v>
      </c>
      <c r="B20" s="87">
        <f>IFERROR(__xludf.DUMMYFUNCTION("""COMPUTED_VALUE"""),19.0)</f>
        <v>19</v>
      </c>
      <c r="C20" s="88" t="str">
        <f>IFERROR(__xludf.DUMMYFUNCTION("""COMPUTED_VALUE"""),"Siti Purnama")</f>
        <v>Siti Purnama</v>
      </c>
      <c r="D20" s="87" t="str">
        <f>IFERROR(__xludf.DUMMYFUNCTION("""COMPUTED_VALUE"""),"3, 1")</f>
        <v>3, 1</v>
      </c>
      <c r="E20" s="87" t="str">
        <f>IFERROR(__xludf.DUMMYFUNCTION("""COMPUTED_VALUE"""),"2, 1")</f>
        <v>2, 1</v>
      </c>
      <c r="F20" s="87" t="str">
        <f>IFERROR(__xludf.DUMMYFUNCTION("""COMPUTED_VALUE"""),"1638, 1636")</f>
        <v>1638, 1636</v>
      </c>
      <c r="G20" s="87">
        <f>IFERROR(__xludf.DUMMYFUNCTION("""COMPUTED_VALUE"""),-6.27383959873409)</f>
        <v>-6.273839599</v>
      </c>
      <c r="H20" s="86">
        <f>IFERROR(__xludf.DUMMYFUNCTION("""COMPUTED_VALUE"""),106.619961834068)</f>
        <v>106.6199618</v>
      </c>
      <c r="I20" s="85"/>
      <c r="J20" s="85"/>
      <c r="K20" s="85"/>
      <c r="L20" s="85"/>
      <c r="M20" s="85"/>
      <c r="N20" s="85"/>
      <c r="O20" s="85"/>
      <c r="P20" s="85"/>
      <c r="Q20" s="85"/>
      <c r="R20" s="43"/>
      <c r="S20" s="43"/>
      <c r="T20" s="43"/>
      <c r="U20" s="43"/>
      <c r="V20" s="43"/>
      <c r="W20" s="43"/>
      <c r="X20" s="43"/>
      <c r="Y20" s="43"/>
      <c r="Z20" s="43"/>
    </row>
    <row r="21">
      <c r="A21" s="86">
        <f>IFERROR(__xludf.DUMMYFUNCTION("""COMPUTED_VALUE"""),20.0)</f>
        <v>20</v>
      </c>
      <c r="B21" s="87">
        <f>IFERROR(__xludf.DUMMYFUNCTION("""COMPUTED_VALUE"""),20.0)</f>
        <v>20</v>
      </c>
      <c r="C21" s="88" t="str">
        <f>IFERROR(__xludf.DUMMYFUNCTION("""COMPUTED_VALUE"""),"Arif Septiani")</f>
        <v>Arif Septiani</v>
      </c>
      <c r="D21" s="87" t="str">
        <f>IFERROR(__xludf.DUMMYFUNCTION("""COMPUTED_VALUE"""),"1, 5")</f>
        <v>1, 5</v>
      </c>
      <c r="E21" s="87" t="str">
        <f>IFERROR(__xludf.DUMMYFUNCTION("""COMPUTED_VALUE"""),"6, 3")</f>
        <v>6, 3</v>
      </c>
      <c r="F21" s="87" t="str">
        <f>IFERROR(__xludf.DUMMYFUNCTION("""COMPUTED_VALUE"""),"1651, 3169")</f>
        <v>1651, 3169</v>
      </c>
      <c r="G21" s="87">
        <f>IFERROR(__xludf.DUMMYFUNCTION("""COMPUTED_VALUE"""),-6.16402077751184)</f>
        <v>-6.164020778</v>
      </c>
      <c r="H21" s="86">
        <f>IFERROR(__xludf.DUMMYFUNCTION("""COMPUTED_VALUE"""),106.693384124086)</f>
        <v>106.6933841</v>
      </c>
      <c r="I21" s="85"/>
      <c r="J21" s="85"/>
      <c r="K21" s="85"/>
      <c r="L21" s="85"/>
      <c r="M21" s="85"/>
      <c r="N21" s="85"/>
      <c r="O21" s="85"/>
      <c r="P21" s="85"/>
      <c r="Q21" s="85"/>
      <c r="R21" s="43"/>
      <c r="S21" s="43"/>
      <c r="T21" s="43"/>
      <c r="U21" s="43"/>
      <c r="V21" s="43"/>
      <c r="W21" s="43"/>
      <c r="X21" s="43"/>
      <c r="Y21" s="43"/>
      <c r="Z21" s="43"/>
    </row>
    <row r="22">
      <c r="A22" s="86">
        <f>IFERROR(__xludf.DUMMYFUNCTION("""COMPUTED_VALUE"""),21.0)</f>
        <v>21</v>
      </c>
      <c r="B22" s="87">
        <f>IFERROR(__xludf.DUMMYFUNCTION("""COMPUTED_VALUE"""),21.0)</f>
        <v>21</v>
      </c>
      <c r="C22" s="88" t="str">
        <f>IFERROR(__xludf.DUMMYFUNCTION("""COMPUTED_VALUE"""),"Budi Santoso")</f>
        <v>Budi Santoso</v>
      </c>
      <c r="D22" s="87" t="str">
        <f>IFERROR(__xludf.DUMMYFUNCTION("""COMPUTED_VALUE"""),"1, 6")</f>
        <v>1, 6</v>
      </c>
      <c r="E22" s="87" t="str">
        <f>IFERROR(__xludf.DUMMYFUNCTION("""COMPUTED_VALUE"""),"6, 1")</f>
        <v>6, 1</v>
      </c>
      <c r="F22" s="87" t="str">
        <f>IFERROR(__xludf.DUMMYFUNCTION("""COMPUTED_VALUE"""),"1422, 3168")</f>
        <v>1422, 3168</v>
      </c>
      <c r="G22" s="87">
        <f>IFERROR(__xludf.DUMMYFUNCTION("""COMPUTED_VALUE"""),-6.27303312440354)</f>
        <v>-6.273033124</v>
      </c>
      <c r="H22" s="86">
        <f>IFERROR(__xludf.DUMMYFUNCTION("""COMPUTED_VALUE"""),106.958598839249)</f>
        <v>106.9585988</v>
      </c>
      <c r="I22" s="85"/>
      <c r="J22" s="85"/>
      <c r="K22" s="85"/>
      <c r="L22" s="85"/>
      <c r="M22" s="85"/>
      <c r="N22" s="85"/>
      <c r="O22" s="85"/>
      <c r="P22" s="85"/>
      <c r="Q22" s="85"/>
      <c r="R22" s="43"/>
      <c r="S22" s="43"/>
      <c r="T22" s="43"/>
      <c r="U22" s="43"/>
      <c r="V22" s="43"/>
      <c r="W22" s="43"/>
      <c r="X22" s="43"/>
      <c r="Y22" s="43"/>
      <c r="Z22" s="43"/>
    </row>
    <row r="23">
      <c r="A23" s="86">
        <f>IFERROR(__xludf.DUMMYFUNCTION("""COMPUTED_VALUE"""),22.0)</f>
        <v>22</v>
      </c>
      <c r="B23" s="87">
        <f>IFERROR(__xludf.DUMMYFUNCTION("""COMPUTED_VALUE"""),22.0)</f>
        <v>22</v>
      </c>
      <c r="C23" s="88" t="str">
        <f>IFERROR(__xludf.DUMMYFUNCTION("""COMPUTED_VALUE"""),"Fajar Wijaya")</f>
        <v>Fajar Wijaya</v>
      </c>
      <c r="D23" s="87" t="str">
        <f>IFERROR(__xludf.DUMMYFUNCTION("""COMPUTED_VALUE"""),"2, 2")</f>
        <v>2, 2</v>
      </c>
      <c r="E23" s="87" t="str">
        <f>IFERROR(__xludf.DUMMYFUNCTION("""COMPUTED_VALUE"""),"2, 6")</f>
        <v>2, 6</v>
      </c>
      <c r="F23" s="87" t="str">
        <f>IFERROR(__xludf.DUMMYFUNCTION("""COMPUTED_VALUE"""),"1639, 1640")</f>
        <v>1639, 1640</v>
      </c>
      <c r="G23" s="87">
        <f>IFERROR(__xludf.DUMMYFUNCTION("""COMPUTED_VALUE"""),-6.13020138550931)</f>
        <v>-6.130201386</v>
      </c>
      <c r="H23" s="86">
        <f>IFERROR(__xludf.DUMMYFUNCTION("""COMPUTED_VALUE"""),106.693322299244)</f>
        <v>106.6933223</v>
      </c>
      <c r="I23" s="85"/>
      <c r="J23" s="85"/>
      <c r="K23" s="85"/>
      <c r="L23" s="85"/>
      <c r="M23" s="85"/>
      <c r="N23" s="85"/>
      <c r="O23" s="85"/>
      <c r="P23" s="85"/>
      <c r="Q23" s="85"/>
      <c r="R23" s="43"/>
      <c r="S23" s="43"/>
      <c r="T23" s="43"/>
      <c r="U23" s="43"/>
      <c r="V23" s="43"/>
      <c r="W23" s="43"/>
      <c r="X23" s="43"/>
      <c r="Y23" s="43"/>
      <c r="Z23" s="43"/>
    </row>
    <row r="24">
      <c r="A24" s="86">
        <f>IFERROR(__xludf.DUMMYFUNCTION("""COMPUTED_VALUE"""),23.0)</f>
        <v>23</v>
      </c>
      <c r="B24" s="87">
        <f>IFERROR(__xludf.DUMMYFUNCTION("""COMPUTED_VALUE"""),23.0)</f>
        <v>23</v>
      </c>
      <c r="C24" s="88" t="str">
        <f>IFERROR(__xludf.DUMMYFUNCTION("""COMPUTED_VALUE"""),"Fajar Kusuma")</f>
        <v>Fajar Kusuma</v>
      </c>
      <c r="D24" s="87" t="str">
        <f>IFERROR(__xludf.DUMMYFUNCTION("""COMPUTED_VALUE"""),"5, 2")</f>
        <v>5, 2</v>
      </c>
      <c r="E24" s="87" t="str">
        <f>IFERROR(__xludf.DUMMYFUNCTION("""COMPUTED_VALUE"""),"4, 1")</f>
        <v>4, 1</v>
      </c>
      <c r="F24" s="87" t="str">
        <f>IFERROR(__xludf.DUMMYFUNCTION("""COMPUTED_VALUE"""),"1650, 1650")</f>
        <v>1650, 1650</v>
      </c>
      <c r="G24" s="87">
        <f>IFERROR(__xludf.DUMMYFUNCTION("""COMPUTED_VALUE"""),-6.29763864191298)</f>
        <v>-6.297638642</v>
      </c>
      <c r="H24" s="86">
        <f>IFERROR(__xludf.DUMMYFUNCTION("""COMPUTED_VALUE"""),106.880367776097)</f>
        <v>106.8803678</v>
      </c>
      <c r="I24" s="85"/>
      <c r="J24" s="85"/>
      <c r="K24" s="85"/>
      <c r="L24" s="85"/>
      <c r="M24" s="85"/>
      <c r="N24" s="85"/>
      <c r="O24" s="85"/>
      <c r="P24" s="85"/>
      <c r="Q24" s="85"/>
      <c r="R24" s="43"/>
      <c r="S24" s="43"/>
      <c r="T24" s="43"/>
      <c r="U24" s="43"/>
      <c r="V24" s="43"/>
      <c r="W24" s="43"/>
      <c r="X24" s="43"/>
      <c r="Y24" s="43"/>
      <c r="Z24" s="43"/>
    </row>
    <row r="25">
      <c r="A25" s="86">
        <f>IFERROR(__xludf.DUMMYFUNCTION("""COMPUTED_VALUE"""),24.0)</f>
        <v>24</v>
      </c>
      <c r="B25" s="87">
        <f>IFERROR(__xludf.DUMMYFUNCTION("""COMPUTED_VALUE"""),24.0)</f>
        <v>24</v>
      </c>
      <c r="C25" s="88" t="str">
        <f>IFERROR(__xludf.DUMMYFUNCTION("""COMPUTED_VALUE"""),"Andi Septiani")</f>
        <v>Andi Septiani</v>
      </c>
      <c r="D25" s="87" t="str">
        <f>IFERROR(__xludf.DUMMYFUNCTION("""COMPUTED_VALUE"""),"5, 2")</f>
        <v>5, 2</v>
      </c>
      <c r="E25" s="87" t="str">
        <f>IFERROR(__xludf.DUMMYFUNCTION("""COMPUTED_VALUE"""),"2, 2")</f>
        <v>2, 2</v>
      </c>
      <c r="F25" s="87" t="str">
        <f>IFERROR(__xludf.DUMMYFUNCTION("""COMPUTED_VALUE"""),"1650, 1421")</f>
        <v>1650, 1421</v>
      </c>
      <c r="G25" s="87">
        <f>IFERROR(__xludf.DUMMYFUNCTION("""COMPUTED_VALUE"""),-6.246988043703)</f>
        <v>-6.246988044</v>
      </c>
      <c r="H25" s="86">
        <f>IFERROR(__xludf.DUMMYFUNCTION("""COMPUTED_VALUE"""),106.606358147919)</f>
        <v>106.6063581</v>
      </c>
      <c r="I25" s="85"/>
      <c r="J25" s="85"/>
      <c r="K25" s="85"/>
      <c r="L25" s="85"/>
      <c r="M25" s="85"/>
      <c r="N25" s="85"/>
      <c r="O25" s="85"/>
      <c r="P25" s="85"/>
      <c r="Q25" s="85"/>
      <c r="R25" s="43"/>
      <c r="S25" s="43"/>
      <c r="T25" s="43"/>
      <c r="U25" s="43"/>
      <c r="V25" s="43"/>
      <c r="W25" s="43"/>
      <c r="X25" s="43"/>
      <c r="Y25" s="43"/>
      <c r="Z25" s="43"/>
    </row>
    <row r="26">
      <c r="A26" s="86">
        <f>IFERROR(__xludf.DUMMYFUNCTION("""COMPUTED_VALUE"""),25.0)</f>
        <v>25</v>
      </c>
      <c r="B26" s="87">
        <f>IFERROR(__xludf.DUMMYFUNCTION("""COMPUTED_VALUE"""),25.0)</f>
        <v>25</v>
      </c>
      <c r="C26" s="88" t="str">
        <f>IFERROR(__xludf.DUMMYFUNCTION("""COMPUTED_VALUE"""),"Agus Hartono")</f>
        <v>Agus Hartono</v>
      </c>
      <c r="D26" s="87" t="str">
        <f>IFERROR(__xludf.DUMMYFUNCTION("""COMPUTED_VALUE"""),"1, 2")</f>
        <v>1, 2</v>
      </c>
      <c r="E26" s="87" t="str">
        <f>IFERROR(__xludf.DUMMYFUNCTION("""COMPUTED_VALUE"""),"6, 3")</f>
        <v>6, 3</v>
      </c>
      <c r="F26" s="87" t="str">
        <f>IFERROR(__xludf.DUMMYFUNCTION("""COMPUTED_VALUE"""),"1313, 1335")</f>
        <v>1313, 1335</v>
      </c>
      <c r="G26" s="87">
        <f>IFERROR(__xludf.DUMMYFUNCTION("""COMPUTED_VALUE"""),-6.21897111720914)</f>
        <v>-6.218971117</v>
      </c>
      <c r="H26" s="86">
        <f>IFERROR(__xludf.DUMMYFUNCTION("""COMPUTED_VALUE"""),106.827762383557)</f>
        <v>106.8277624</v>
      </c>
      <c r="I26" s="85"/>
      <c r="J26" s="85"/>
      <c r="K26" s="85"/>
      <c r="L26" s="85"/>
      <c r="M26" s="85"/>
      <c r="N26" s="85"/>
      <c r="O26" s="85"/>
      <c r="P26" s="85"/>
      <c r="Q26" s="85"/>
      <c r="R26" s="43"/>
      <c r="S26" s="43"/>
      <c r="T26" s="43"/>
      <c r="U26" s="43"/>
      <c r="V26" s="43"/>
      <c r="W26" s="43"/>
      <c r="X26" s="43"/>
      <c r="Y26" s="43"/>
      <c r="Z26" s="43"/>
    </row>
    <row r="27">
      <c r="A27" s="86">
        <f>IFERROR(__xludf.DUMMYFUNCTION("""COMPUTED_VALUE"""),26.0)</f>
        <v>26</v>
      </c>
      <c r="B27" s="87">
        <f>IFERROR(__xludf.DUMMYFUNCTION("""COMPUTED_VALUE"""),26.0)</f>
        <v>26</v>
      </c>
      <c r="C27" s="88" t="str">
        <f>IFERROR(__xludf.DUMMYFUNCTION("""COMPUTED_VALUE"""),"Citra Sari")</f>
        <v>Citra Sari</v>
      </c>
      <c r="D27" s="87" t="str">
        <f>IFERROR(__xludf.DUMMYFUNCTION("""COMPUTED_VALUE"""),"2, 1")</f>
        <v>2, 1</v>
      </c>
      <c r="E27" s="87" t="str">
        <f>IFERROR(__xludf.DUMMYFUNCTION("""COMPUTED_VALUE"""),"5, 1")</f>
        <v>5, 1</v>
      </c>
      <c r="F27" s="87" t="str">
        <f>IFERROR(__xludf.DUMMYFUNCTION("""COMPUTED_VALUE"""),"1332, 3658")</f>
        <v>1332, 3658</v>
      </c>
      <c r="G27" s="87">
        <f>IFERROR(__xludf.DUMMYFUNCTION("""COMPUTED_VALUE"""),-6.11912373319762)</f>
        <v>-6.119123733</v>
      </c>
      <c r="H27" s="86">
        <f>IFERROR(__xludf.DUMMYFUNCTION("""COMPUTED_VALUE"""),106.815018537837)</f>
        <v>106.8150185</v>
      </c>
      <c r="I27" s="85"/>
      <c r="J27" s="85"/>
      <c r="K27" s="85"/>
      <c r="L27" s="85"/>
      <c r="M27" s="85"/>
      <c r="N27" s="85"/>
      <c r="O27" s="85"/>
      <c r="P27" s="85"/>
      <c r="Q27" s="85"/>
      <c r="R27" s="43"/>
      <c r="S27" s="43"/>
      <c r="T27" s="43"/>
      <c r="U27" s="43"/>
      <c r="V27" s="43"/>
      <c r="W27" s="43"/>
      <c r="X27" s="43"/>
      <c r="Y27" s="43"/>
      <c r="Z27" s="43"/>
    </row>
    <row r="28">
      <c r="A28" s="86">
        <f>IFERROR(__xludf.DUMMYFUNCTION("""COMPUTED_VALUE"""),27.0)</f>
        <v>27</v>
      </c>
      <c r="B28" s="87">
        <f>IFERROR(__xludf.DUMMYFUNCTION("""COMPUTED_VALUE"""),27.0)</f>
        <v>27</v>
      </c>
      <c r="C28" s="88" t="str">
        <f>IFERROR(__xludf.DUMMYFUNCTION("""COMPUTED_VALUE"""),"Fandi Purnama")</f>
        <v>Fandi Purnama</v>
      </c>
      <c r="D28" s="87" t="str">
        <f>IFERROR(__xludf.DUMMYFUNCTION("""COMPUTED_VALUE"""),"6, 2")</f>
        <v>6, 2</v>
      </c>
      <c r="E28" s="87" t="str">
        <f>IFERROR(__xludf.DUMMYFUNCTION("""COMPUTED_VALUE"""),"4, 6")</f>
        <v>4, 6</v>
      </c>
      <c r="F28" s="87" t="str">
        <f>IFERROR(__xludf.DUMMYFUNCTION("""COMPUTED_VALUE"""),"3162, 1417")</f>
        <v>3162, 1417</v>
      </c>
      <c r="G28" s="87">
        <f>IFERROR(__xludf.DUMMYFUNCTION("""COMPUTED_VALUE"""),-6.21700112319076)</f>
        <v>-6.217001123</v>
      </c>
      <c r="H28" s="86">
        <f>IFERROR(__xludf.DUMMYFUNCTION("""COMPUTED_VALUE"""),106.736298359885)</f>
        <v>106.7362984</v>
      </c>
      <c r="I28" s="85"/>
      <c r="J28" s="85"/>
      <c r="K28" s="85"/>
      <c r="L28" s="85"/>
      <c r="M28" s="85"/>
      <c r="N28" s="85"/>
      <c r="O28" s="85"/>
      <c r="P28" s="85"/>
      <c r="Q28" s="85"/>
      <c r="R28" s="43"/>
      <c r="S28" s="43"/>
      <c r="T28" s="43"/>
      <c r="U28" s="43"/>
      <c r="V28" s="43"/>
      <c r="W28" s="43"/>
      <c r="X28" s="43"/>
      <c r="Y28" s="43"/>
      <c r="Z28" s="43"/>
    </row>
    <row r="29">
      <c r="A29" s="86">
        <f>IFERROR(__xludf.DUMMYFUNCTION("""COMPUTED_VALUE"""),28.0)</f>
        <v>28</v>
      </c>
      <c r="B29" s="87">
        <f>IFERROR(__xludf.DUMMYFUNCTION("""COMPUTED_VALUE"""),28.0)</f>
        <v>28</v>
      </c>
      <c r="C29" s="88" t="str">
        <f>IFERROR(__xludf.DUMMYFUNCTION("""COMPUTED_VALUE"""),"Fandi Putri")</f>
        <v>Fandi Putri</v>
      </c>
      <c r="D29" s="87" t="str">
        <f>IFERROR(__xludf.DUMMYFUNCTION("""COMPUTED_VALUE"""),"5, 4")</f>
        <v>5, 4</v>
      </c>
      <c r="E29" s="87" t="str">
        <f>IFERROR(__xludf.DUMMYFUNCTION("""COMPUTED_VALUE"""),"5, 1")</f>
        <v>5, 1</v>
      </c>
      <c r="F29" s="87" t="str">
        <f>IFERROR(__xludf.DUMMYFUNCTION("""COMPUTED_VALUE"""),"1652, 1333")</f>
        <v>1652, 1333</v>
      </c>
      <c r="G29" s="87">
        <f>IFERROR(__xludf.DUMMYFUNCTION("""COMPUTED_VALUE"""),-6.30740018916843)</f>
        <v>-6.307400189</v>
      </c>
      <c r="H29" s="86">
        <f>IFERROR(__xludf.DUMMYFUNCTION("""COMPUTED_VALUE"""),107.017957536094)</f>
        <v>107.0179575</v>
      </c>
      <c r="I29" s="85"/>
      <c r="J29" s="85"/>
      <c r="K29" s="85"/>
      <c r="L29" s="85"/>
      <c r="M29" s="85"/>
      <c r="N29" s="85"/>
      <c r="O29" s="85"/>
      <c r="P29" s="85"/>
      <c r="Q29" s="85"/>
      <c r="R29" s="43"/>
      <c r="S29" s="43"/>
      <c r="T29" s="43"/>
      <c r="U29" s="43"/>
      <c r="V29" s="43"/>
      <c r="W29" s="43"/>
      <c r="X29" s="43"/>
      <c r="Y29" s="43"/>
      <c r="Z29" s="43"/>
    </row>
    <row r="30">
      <c r="A30" s="86">
        <f>IFERROR(__xludf.DUMMYFUNCTION("""COMPUTED_VALUE"""),29.0)</f>
        <v>29</v>
      </c>
      <c r="B30" s="87">
        <f>IFERROR(__xludf.DUMMYFUNCTION("""COMPUTED_VALUE"""),29.0)</f>
        <v>29</v>
      </c>
      <c r="C30" s="88" t="str">
        <f>IFERROR(__xludf.DUMMYFUNCTION("""COMPUTED_VALUE"""),"Bambang Putri")</f>
        <v>Bambang Putri</v>
      </c>
      <c r="D30" s="87" t="str">
        <f>IFERROR(__xludf.DUMMYFUNCTION("""COMPUTED_VALUE"""),"6, 6")</f>
        <v>6, 6</v>
      </c>
      <c r="E30" s="87" t="str">
        <f>IFERROR(__xludf.DUMMYFUNCTION("""COMPUTED_VALUE"""),"3, 4")</f>
        <v>3, 4</v>
      </c>
      <c r="F30" s="87" t="str">
        <f>IFERROR(__xludf.DUMMYFUNCTION("""COMPUTED_VALUE"""),"3658, 1422")</f>
        <v>3658, 1422</v>
      </c>
      <c r="G30" s="87">
        <f>IFERROR(__xludf.DUMMYFUNCTION("""COMPUTED_VALUE"""),-6.19848380848975)</f>
        <v>-6.198483808</v>
      </c>
      <c r="H30" s="86">
        <f>IFERROR(__xludf.DUMMYFUNCTION("""COMPUTED_VALUE"""),106.930614693309)</f>
        <v>106.9306147</v>
      </c>
      <c r="I30" s="85"/>
      <c r="J30" s="85"/>
      <c r="K30" s="85"/>
      <c r="L30" s="85"/>
      <c r="M30" s="85"/>
      <c r="N30" s="85"/>
      <c r="O30" s="85"/>
      <c r="P30" s="85"/>
      <c r="Q30" s="85"/>
      <c r="R30" s="43"/>
      <c r="S30" s="43"/>
      <c r="T30" s="43"/>
      <c r="U30" s="43"/>
      <c r="V30" s="43"/>
      <c r="W30" s="43"/>
      <c r="X30" s="43"/>
      <c r="Y30" s="43"/>
      <c r="Z30" s="43"/>
    </row>
    <row r="31">
      <c r="A31" s="86">
        <f>IFERROR(__xludf.DUMMYFUNCTION("""COMPUTED_VALUE"""),30.0)</f>
        <v>30</v>
      </c>
      <c r="B31" s="87">
        <f>IFERROR(__xludf.DUMMYFUNCTION("""COMPUTED_VALUE"""),30.0)</f>
        <v>30</v>
      </c>
      <c r="C31" s="88" t="str">
        <f>IFERROR(__xludf.DUMMYFUNCTION("""COMPUTED_VALUE"""),"Fajar Kurniawan")</f>
        <v>Fajar Kurniawan</v>
      </c>
      <c r="D31" s="87" t="str">
        <f>IFERROR(__xludf.DUMMYFUNCTION("""COMPUTED_VALUE"""),"5, 2")</f>
        <v>5, 2</v>
      </c>
      <c r="E31" s="87" t="str">
        <f>IFERROR(__xludf.DUMMYFUNCTION("""COMPUTED_VALUE"""),"5, 3")</f>
        <v>5, 3</v>
      </c>
      <c r="F31" s="87" t="str">
        <f>IFERROR(__xludf.DUMMYFUNCTION("""COMPUTED_VALUE"""),"1651, 1212")</f>
        <v>1651, 1212</v>
      </c>
      <c r="G31" s="87">
        <f>IFERROR(__xludf.DUMMYFUNCTION("""COMPUTED_VALUE"""),-6.10707194988724)</f>
        <v>-6.10707195</v>
      </c>
      <c r="H31" s="86">
        <f>IFERROR(__xludf.DUMMYFUNCTION("""COMPUTED_VALUE"""),106.886379377364)</f>
        <v>106.8863794</v>
      </c>
      <c r="I31" s="85"/>
      <c r="J31" s="85"/>
      <c r="K31" s="85"/>
      <c r="L31" s="85"/>
      <c r="M31" s="85"/>
      <c r="N31" s="85"/>
      <c r="O31" s="85"/>
      <c r="P31" s="85"/>
      <c r="Q31" s="85"/>
      <c r="R31" s="43"/>
      <c r="S31" s="43"/>
      <c r="T31" s="43"/>
      <c r="U31" s="43"/>
      <c r="V31" s="43"/>
      <c r="W31" s="43"/>
      <c r="X31" s="43"/>
      <c r="Y31" s="43"/>
      <c r="Z31" s="43"/>
    </row>
    <row r="32">
      <c r="A32" s="86">
        <f>IFERROR(__xludf.DUMMYFUNCTION("""COMPUTED_VALUE"""),31.0)</f>
        <v>31</v>
      </c>
      <c r="B32" s="87">
        <f>IFERROR(__xludf.DUMMYFUNCTION("""COMPUTED_VALUE"""),31.0)</f>
        <v>31</v>
      </c>
      <c r="C32" s="88" t="str">
        <f>IFERROR(__xludf.DUMMYFUNCTION("""COMPUTED_VALUE"""),"Dian Hidayat")</f>
        <v>Dian Hidayat</v>
      </c>
      <c r="D32" s="87" t="str">
        <f>IFERROR(__xludf.DUMMYFUNCTION("""COMPUTED_VALUE"""),"5, 6")</f>
        <v>5, 6</v>
      </c>
      <c r="E32" s="87" t="str">
        <f>IFERROR(__xludf.DUMMYFUNCTION("""COMPUTED_VALUE"""),"3, 5")</f>
        <v>3, 5</v>
      </c>
      <c r="F32" s="87" t="str">
        <f>IFERROR(__xludf.DUMMYFUNCTION("""COMPUTED_VALUE"""),"3356, 3455")</f>
        <v>3356, 3455</v>
      </c>
      <c r="G32" s="87">
        <f>IFERROR(__xludf.DUMMYFUNCTION("""COMPUTED_VALUE"""),-6.24757099034711)</f>
        <v>-6.24757099</v>
      </c>
      <c r="H32" s="86">
        <f>IFERROR(__xludf.DUMMYFUNCTION("""COMPUTED_VALUE"""),106.604038575517)</f>
        <v>106.6040386</v>
      </c>
      <c r="I32" s="85"/>
      <c r="J32" s="85"/>
      <c r="K32" s="85"/>
      <c r="L32" s="85"/>
      <c r="M32" s="85"/>
      <c r="N32" s="85"/>
      <c r="O32" s="85"/>
      <c r="P32" s="85"/>
      <c r="Q32" s="85"/>
      <c r="R32" s="43"/>
      <c r="S32" s="43"/>
      <c r="T32" s="43"/>
      <c r="U32" s="43"/>
      <c r="V32" s="43"/>
      <c r="W32" s="43"/>
      <c r="X32" s="43"/>
      <c r="Y32" s="43"/>
      <c r="Z32" s="43"/>
    </row>
    <row r="33">
      <c r="A33" s="86">
        <f>IFERROR(__xludf.DUMMYFUNCTION("""COMPUTED_VALUE"""),32.0)</f>
        <v>32</v>
      </c>
      <c r="B33" s="87">
        <f>IFERROR(__xludf.DUMMYFUNCTION("""COMPUTED_VALUE"""),32.0)</f>
        <v>32</v>
      </c>
      <c r="C33" s="88" t="str">
        <f>IFERROR(__xludf.DUMMYFUNCTION("""COMPUTED_VALUE"""),"Ani Setiawan")</f>
        <v>Ani Setiawan</v>
      </c>
      <c r="D33" s="87" t="str">
        <f>IFERROR(__xludf.DUMMYFUNCTION("""COMPUTED_VALUE"""),"4, 4")</f>
        <v>4, 4</v>
      </c>
      <c r="E33" s="87" t="str">
        <f>IFERROR(__xludf.DUMMYFUNCTION("""COMPUTED_VALUE"""),"6, 3")</f>
        <v>6, 3</v>
      </c>
      <c r="F33" s="87" t="str">
        <f>IFERROR(__xludf.DUMMYFUNCTION("""COMPUTED_VALUE"""),"1640, 3170")</f>
        <v>1640, 3170</v>
      </c>
      <c r="G33" s="87">
        <f>IFERROR(__xludf.DUMMYFUNCTION("""COMPUTED_VALUE"""),-6.24574264587543)</f>
        <v>-6.245742646</v>
      </c>
      <c r="H33" s="86">
        <f>IFERROR(__xludf.DUMMYFUNCTION("""COMPUTED_VALUE"""),106.609436376304)</f>
        <v>106.6094364</v>
      </c>
      <c r="I33" s="85"/>
      <c r="J33" s="85"/>
      <c r="K33" s="85"/>
      <c r="L33" s="85"/>
      <c r="M33" s="85"/>
      <c r="N33" s="85"/>
      <c r="O33" s="85"/>
      <c r="P33" s="85"/>
      <c r="Q33" s="85"/>
      <c r="R33" s="43"/>
      <c r="S33" s="43"/>
      <c r="T33" s="43"/>
      <c r="U33" s="43"/>
      <c r="V33" s="43"/>
      <c r="W33" s="43"/>
      <c r="X33" s="43"/>
      <c r="Y33" s="43"/>
      <c r="Z33" s="43"/>
    </row>
    <row r="34">
      <c r="A34" s="86">
        <f>IFERROR(__xludf.DUMMYFUNCTION("""COMPUTED_VALUE"""),33.0)</f>
        <v>33</v>
      </c>
      <c r="B34" s="87">
        <f>IFERROR(__xludf.DUMMYFUNCTION("""COMPUTED_VALUE"""),33.0)</f>
        <v>33</v>
      </c>
      <c r="C34" s="88" t="str">
        <f>IFERROR(__xludf.DUMMYFUNCTION("""COMPUTED_VALUE"""),"Dewi Wijaya")</f>
        <v>Dewi Wijaya</v>
      </c>
      <c r="D34" s="87" t="str">
        <f>IFERROR(__xludf.DUMMYFUNCTION("""COMPUTED_VALUE"""),"5, 4")</f>
        <v>5, 4</v>
      </c>
      <c r="E34" s="87" t="str">
        <f>IFERROR(__xludf.DUMMYFUNCTION("""COMPUTED_VALUE"""),"4, 2")</f>
        <v>4, 2</v>
      </c>
      <c r="F34" s="87" t="str">
        <f>IFERROR(__xludf.DUMMYFUNCTION("""COMPUTED_VALUE"""),"3659, 3168")</f>
        <v>3659, 3168</v>
      </c>
      <c r="G34" s="87">
        <f>IFERROR(__xludf.DUMMYFUNCTION("""COMPUTED_VALUE"""),-6.13769067565789)</f>
        <v>-6.137690676</v>
      </c>
      <c r="H34" s="86">
        <f>IFERROR(__xludf.DUMMYFUNCTION("""COMPUTED_VALUE"""),106.937218276097)</f>
        <v>106.9372183</v>
      </c>
      <c r="I34" s="85"/>
      <c r="J34" s="85"/>
      <c r="K34" s="85"/>
      <c r="L34" s="85"/>
      <c r="M34" s="85"/>
      <c r="N34" s="85"/>
      <c r="O34" s="85"/>
      <c r="P34" s="85"/>
      <c r="Q34" s="85"/>
      <c r="R34" s="43"/>
      <c r="S34" s="43"/>
      <c r="T34" s="43"/>
      <c r="U34" s="43"/>
      <c r="V34" s="43"/>
      <c r="W34" s="43"/>
      <c r="X34" s="43"/>
      <c r="Y34" s="43"/>
      <c r="Z34" s="43"/>
    </row>
    <row r="35">
      <c r="A35" s="86">
        <f>IFERROR(__xludf.DUMMYFUNCTION("""COMPUTED_VALUE"""),34.0)</f>
        <v>34</v>
      </c>
      <c r="B35" s="87">
        <f>IFERROR(__xludf.DUMMYFUNCTION("""COMPUTED_VALUE"""),34.0)</f>
        <v>34</v>
      </c>
      <c r="C35" s="88" t="str">
        <f>IFERROR(__xludf.DUMMYFUNCTION("""COMPUTED_VALUE"""),"Bambang Putri")</f>
        <v>Bambang Putri</v>
      </c>
      <c r="D35" s="87" t="str">
        <f>IFERROR(__xludf.DUMMYFUNCTION("""COMPUTED_VALUE"""),"3, 6")</f>
        <v>3, 6</v>
      </c>
      <c r="E35" s="87" t="str">
        <f>IFERROR(__xludf.DUMMYFUNCTION("""COMPUTED_VALUE"""),"3, 5")</f>
        <v>3, 5</v>
      </c>
      <c r="F35" s="87" t="str">
        <f>IFERROR(__xludf.DUMMYFUNCTION("""COMPUTED_VALUE"""),"1110, 3163")</f>
        <v>1110, 3163</v>
      </c>
      <c r="G35" s="87">
        <f>IFERROR(__xludf.DUMMYFUNCTION("""COMPUTED_VALUE"""),-6.31954242700096)</f>
        <v>-6.319542427</v>
      </c>
      <c r="H35" s="86">
        <f>IFERROR(__xludf.DUMMYFUNCTION("""COMPUTED_VALUE"""),106.895295199305)</f>
        <v>106.8952952</v>
      </c>
      <c r="I35" s="85"/>
      <c r="J35" s="85"/>
      <c r="K35" s="85"/>
      <c r="L35" s="85"/>
      <c r="M35" s="85"/>
      <c r="N35" s="85"/>
      <c r="O35" s="85"/>
      <c r="P35" s="85"/>
      <c r="Q35" s="85"/>
      <c r="R35" s="43"/>
      <c r="S35" s="43"/>
      <c r="T35" s="43"/>
      <c r="U35" s="43"/>
      <c r="V35" s="43"/>
      <c r="W35" s="43"/>
      <c r="X35" s="43"/>
      <c r="Y35" s="43"/>
      <c r="Z35" s="43"/>
    </row>
    <row r="36">
      <c r="A36" s="86">
        <f>IFERROR(__xludf.DUMMYFUNCTION("""COMPUTED_VALUE"""),35.0)</f>
        <v>35</v>
      </c>
      <c r="B36" s="87">
        <f>IFERROR(__xludf.DUMMYFUNCTION("""COMPUTED_VALUE"""),35.0)</f>
        <v>35</v>
      </c>
      <c r="C36" s="88" t="str">
        <f>IFERROR(__xludf.DUMMYFUNCTION("""COMPUTED_VALUE"""),"Maya Nugroho")</f>
        <v>Maya Nugroho</v>
      </c>
      <c r="D36" s="87" t="str">
        <f>IFERROR(__xludf.DUMMYFUNCTION("""COMPUTED_VALUE"""),"2, 3")</f>
        <v>2, 3</v>
      </c>
      <c r="E36" s="87" t="str">
        <f>IFERROR(__xludf.DUMMYFUNCTION("""COMPUTED_VALUE"""),"6, 2")</f>
        <v>6, 2</v>
      </c>
      <c r="F36" s="87" t="str">
        <f>IFERROR(__xludf.DUMMYFUNCTION("""COMPUTED_VALUE"""),"1648, 119")</f>
        <v>1648, 119</v>
      </c>
      <c r="G36" s="87">
        <f>IFERROR(__xludf.DUMMYFUNCTION("""COMPUTED_VALUE"""),-6.24412900838206)</f>
        <v>-6.244129008</v>
      </c>
      <c r="H36" s="86">
        <f>IFERROR(__xludf.DUMMYFUNCTION("""COMPUTED_VALUE"""),106.632025199598)</f>
        <v>106.6320252</v>
      </c>
      <c r="I36" s="85"/>
      <c r="J36" s="85"/>
      <c r="K36" s="85"/>
      <c r="L36" s="85"/>
      <c r="M36" s="85"/>
      <c r="N36" s="85"/>
      <c r="O36" s="85"/>
      <c r="P36" s="85"/>
      <c r="Q36" s="85"/>
      <c r="R36" s="43"/>
      <c r="S36" s="43"/>
      <c r="T36" s="43"/>
      <c r="U36" s="43"/>
      <c r="V36" s="43"/>
      <c r="W36" s="43"/>
      <c r="X36" s="43"/>
      <c r="Y36" s="43"/>
      <c r="Z36" s="43"/>
    </row>
    <row r="37">
      <c r="A37" s="86">
        <f>IFERROR(__xludf.DUMMYFUNCTION("""COMPUTED_VALUE"""),36.0)</f>
        <v>36</v>
      </c>
      <c r="B37" s="87">
        <f>IFERROR(__xludf.DUMMYFUNCTION("""COMPUTED_VALUE"""),36.0)</f>
        <v>36</v>
      </c>
      <c r="C37" s="88" t="str">
        <f>IFERROR(__xludf.DUMMYFUNCTION("""COMPUTED_VALUE"""),"Arif Susanto")</f>
        <v>Arif Susanto</v>
      </c>
      <c r="D37" s="87" t="str">
        <f>IFERROR(__xludf.DUMMYFUNCTION("""COMPUTED_VALUE"""),"2, 5")</f>
        <v>2, 5</v>
      </c>
      <c r="E37" s="87" t="str">
        <f>IFERROR(__xludf.DUMMYFUNCTION("""COMPUTED_VALUE"""),"3, 5")</f>
        <v>3, 5</v>
      </c>
      <c r="F37" s="87" t="str">
        <f>IFERROR(__xludf.DUMMYFUNCTION("""COMPUTED_VALUE"""),"1639, 1650")</f>
        <v>1639, 1650</v>
      </c>
      <c r="G37" s="87">
        <f>IFERROR(__xludf.DUMMYFUNCTION("""COMPUTED_VALUE"""),-6.19575534599764)</f>
        <v>-6.195755346</v>
      </c>
      <c r="H37" s="86">
        <f>IFERROR(__xludf.DUMMYFUNCTION("""COMPUTED_VALUE"""),106.693740645745)</f>
        <v>106.6937406</v>
      </c>
      <c r="I37" s="85"/>
      <c r="J37" s="85"/>
      <c r="K37" s="85"/>
      <c r="L37" s="85"/>
      <c r="M37" s="85"/>
      <c r="N37" s="85"/>
      <c r="O37" s="85"/>
      <c r="P37" s="85"/>
      <c r="Q37" s="85"/>
      <c r="R37" s="43"/>
      <c r="S37" s="43"/>
      <c r="T37" s="43"/>
      <c r="U37" s="43"/>
      <c r="V37" s="43"/>
      <c r="W37" s="43"/>
      <c r="X37" s="43"/>
      <c r="Y37" s="43"/>
      <c r="Z37" s="43"/>
    </row>
    <row r="38">
      <c r="A38" s="86">
        <f>IFERROR(__xludf.DUMMYFUNCTION("""COMPUTED_VALUE"""),37.0)</f>
        <v>37</v>
      </c>
      <c r="B38" s="87">
        <f>IFERROR(__xludf.DUMMYFUNCTION("""COMPUTED_VALUE"""),37.0)</f>
        <v>37</v>
      </c>
      <c r="C38" s="88" t="str">
        <f>IFERROR(__xludf.DUMMYFUNCTION("""COMPUTED_VALUE"""),"Lina Susanto")</f>
        <v>Lina Susanto</v>
      </c>
      <c r="D38" s="87" t="str">
        <f>IFERROR(__xludf.DUMMYFUNCTION("""COMPUTED_VALUE"""),"6, 3")</f>
        <v>6, 3</v>
      </c>
      <c r="E38" s="87" t="str">
        <f>IFERROR(__xludf.DUMMYFUNCTION("""COMPUTED_VALUE"""),"2, 2")</f>
        <v>2, 2</v>
      </c>
      <c r="F38" s="87" t="str">
        <f>IFERROR(__xludf.DUMMYFUNCTION("""COMPUTED_VALUE"""),"1531, 111")</f>
        <v>1531, 111</v>
      </c>
      <c r="G38" s="87">
        <f>IFERROR(__xludf.DUMMYFUNCTION("""COMPUTED_VALUE"""),-6.34461538980739)</f>
        <v>-6.34461539</v>
      </c>
      <c r="H38" s="86">
        <f>IFERROR(__xludf.DUMMYFUNCTION("""COMPUTED_VALUE"""),106.908589321126)</f>
        <v>106.9085893</v>
      </c>
      <c r="I38" s="85"/>
      <c r="J38" s="85"/>
      <c r="K38" s="85"/>
      <c r="L38" s="85"/>
      <c r="M38" s="85"/>
      <c r="N38" s="85"/>
      <c r="O38" s="85"/>
      <c r="P38" s="85"/>
      <c r="Q38" s="85"/>
      <c r="R38" s="43"/>
      <c r="S38" s="43"/>
      <c r="T38" s="43"/>
      <c r="U38" s="43"/>
      <c r="V38" s="43"/>
      <c r="W38" s="43"/>
      <c r="X38" s="43"/>
      <c r="Y38" s="43"/>
      <c r="Z38" s="43"/>
    </row>
    <row r="39">
      <c r="A39" s="86">
        <f>IFERROR(__xludf.DUMMYFUNCTION("""COMPUTED_VALUE"""),38.0)</f>
        <v>38</v>
      </c>
      <c r="B39" s="87">
        <f>IFERROR(__xludf.DUMMYFUNCTION("""COMPUTED_VALUE"""),38.0)</f>
        <v>38</v>
      </c>
      <c r="C39" s="88" t="str">
        <f>IFERROR(__xludf.DUMMYFUNCTION("""COMPUTED_VALUE"""),"Maya Utami")</f>
        <v>Maya Utami</v>
      </c>
      <c r="D39" s="87" t="str">
        <f>IFERROR(__xludf.DUMMYFUNCTION("""COMPUTED_VALUE"""),"5, 3")</f>
        <v>5, 3</v>
      </c>
      <c r="E39" s="87" t="str">
        <f>IFERROR(__xludf.DUMMYFUNCTION("""COMPUTED_VALUE"""),"2, 1")</f>
        <v>2, 1</v>
      </c>
      <c r="F39" s="87" t="str">
        <f>IFERROR(__xludf.DUMMYFUNCTION("""COMPUTED_VALUE"""),"1639, 1530")</f>
        <v>1639, 1530</v>
      </c>
      <c r="G39" s="87">
        <f>IFERROR(__xludf.DUMMYFUNCTION("""COMPUTED_VALUE"""),-6.30146204163851)</f>
        <v>-6.301462042</v>
      </c>
      <c r="H39" s="86">
        <f>IFERROR(__xludf.DUMMYFUNCTION("""COMPUTED_VALUE"""),106.705518076447)</f>
        <v>106.7055181</v>
      </c>
      <c r="I39" s="85"/>
      <c r="J39" s="85"/>
      <c r="K39" s="85"/>
      <c r="L39" s="85"/>
      <c r="M39" s="85"/>
      <c r="N39" s="85"/>
      <c r="O39" s="85"/>
      <c r="P39" s="85"/>
      <c r="Q39" s="85"/>
      <c r="R39" s="43"/>
      <c r="S39" s="43"/>
      <c r="T39" s="43"/>
      <c r="U39" s="43"/>
      <c r="V39" s="43"/>
      <c r="W39" s="43"/>
      <c r="X39" s="43"/>
      <c r="Y39" s="43"/>
      <c r="Z39" s="43"/>
    </row>
    <row r="40">
      <c r="A40" s="86">
        <f>IFERROR(__xludf.DUMMYFUNCTION("""COMPUTED_VALUE"""),39.0)</f>
        <v>39</v>
      </c>
      <c r="B40" s="87">
        <f>IFERROR(__xludf.DUMMYFUNCTION("""COMPUTED_VALUE"""),39.0)</f>
        <v>39</v>
      </c>
      <c r="C40" s="88" t="str">
        <f>IFERROR(__xludf.DUMMYFUNCTION("""COMPUTED_VALUE"""),"Desi Utami")</f>
        <v>Desi Utami</v>
      </c>
      <c r="D40" s="87" t="str">
        <f>IFERROR(__xludf.DUMMYFUNCTION("""COMPUTED_VALUE"""),"3, 1")</f>
        <v>3, 1</v>
      </c>
      <c r="E40" s="87" t="str">
        <f>IFERROR(__xludf.DUMMYFUNCTION("""COMPUTED_VALUE"""),"3, 1")</f>
        <v>3, 1</v>
      </c>
      <c r="F40" s="87" t="str">
        <f>IFERROR(__xludf.DUMMYFUNCTION("""COMPUTED_VALUE"""),"1638, 1645")</f>
        <v>1638, 1645</v>
      </c>
      <c r="G40" s="87">
        <f>IFERROR(__xludf.DUMMYFUNCTION("""COMPUTED_VALUE"""),-6.34426325635418)</f>
        <v>-6.344263256</v>
      </c>
      <c r="H40" s="86">
        <f>IFERROR(__xludf.DUMMYFUNCTION("""COMPUTED_VALUE"""),106.882947182917)</f>
        <v>106.8829472</v>
      </c>
      <c r="I40" s="85"/>
      <c r="J40" s="85"/>
      <c r="K40" s="85"/>
      <c r="L40" s="85"/>
      <c r="M40" s="85"/>
      <c r="N40" s="85"/>
      <c r="O40" s="85"/>
      <c r="P40" s="85"/>
      <c r="Q40" s="85"/>
      <c r="R40" s="43"/>
      <c r="S40" s="43"/>
      <c r="T40" s="43"/>
      <c r="U40" s="43"/>
      <c r="V40" s="43"/>
      <c r="W40" s="43"/>
      <c r="X40" s="43"/>
      <c r="Y40" s="43"/>
      <c r="Z40" s="43"/>
    </row>
    <row r="41">
      <c r="A41" s="86">
        <f>IFERROR(__xludf.DUMMYFUNCTION("""COMPUTED_VALUE"""),40.0)</f>
        <v>40</v>
      </c>
      <c r="B41" s="87">
        <f>IFERROR(__xludf.DUMMYFUNCTION("""COMPUTED_VALUE"""),40.0)</f>
        <v>40</v>
      </c>
      <c r="C41" s="88" t="str">
        <f>IFERROR(__xludf.DUMMYFUNCTION("""COMPUTED_VALUE"""),"Joko Sari")</f>
        <v>Joko Sari</v>
      </c>
      <c r="D41" s="87" t="str">
        <f>IFERROR(__xludf.DUMMYFUNCTION("""COMPUTED_VALUE"""),"6, 3")</f>
        <v>6, 3</v>
      </c>
      <c r="E41" s="87" t="str">
        <f>IFERROR(__xludf.DUMMYFUNCTION("""COMPUTED_VALUE"""),"5, 6")</f>
        <v>5, 6</v>
      </c>
      <c r="F41" s="87" t="str">
        <f>IFERROR(__xludf.DUMMYFUNCTION("""COMPUTED_VALUE"""),"111, 1418")</f>
        <v>111, 1418</v>
      </c>
      <c r="G41" s="87">
        <f>IFERROR(__xludf.DUMMYFUNCTION("""COMPUTED_VALUE"""),-6.24572948693772)</f>
        <v>-6.245729487</v>
      </c>
      <c r="H41" s="86">
        <f>IFERROR(__xludf.DUMMYFUNCTION("""COMPUTED_VALUE"""),106.841470785383)</f>
        <v>106.8414708</v>
      </c>
      <c r="I41" s="85"/>
      <c r="J41" s="85"/>
      <c r="K41" s="85"/>
      <c r="L41" s="85"/>
      <c r="M41" s="85"/>
      <c r="N41" s="85"/>
      <c r="O41" s="85"/>
      <c r="P41" s="85"/>
      <c r="Q41" s="85"/>
      <c r="R41" s="43"/>
      <c r="S41" s="43"/>
      <c r="T41" s="43"/>
      <c r="U41" s="43"/>
      <c r="V41" s="43"/>
      <c r="W41" s="43"/>
      <c r="X41" s="43"/>
      <c r="Y41" s="43"/>
      <c r="Z41" s="43"/>
    </row>
    <row r="42">
      <c r="A42" s="86">
        <f>IFERROR(__xludf.DUMMYFUNCTION("""COMPUTED_VALUE"""),41.0)</f>
        <v>41</v>
      </c>
      <c r="B42" s="87">
        <f>IFERROR(__xludf.DUMMYFUNCTION("""COMPUTED_VALUE"""),41.0)</f>
        <v>41</v>
      </c>
      <c r="C42" s="88" t="str">
        <f>IFERROR(__xludf.DUMMYFUNCTION("""COMPUTED_VALUE"""),"Wahyu Susanto")</f>
        <v>Wahyu Susanto</v>
      </c>
      <c r="D42" s="87" t="str">
        <f>IFERROR(__xludf.DUMMYFUNCTION("""COMPUTED_VALUE"""),"4, 2")</f>
        <v>4, 2</v>
      </c>
      <c r="E42" s="87" t="str">
        <f>IFERROR(__xludf.DUMMYFUNCTION("""COMPUTED_VALUE"""),"5, 4")</f>
        <v>5, 4</v>
      </c>
      <c r="F42" s="87" t="str">
        <f>IFERROR(__xludf.DUMMYFUNCTION("""COMPUTED_VALUE"""),"1529, 1651")</f>
        <v>1529, 1651</v>
      </c>
      <c r="G42" s="87">
        <f>IFERROR(__xludf.DUMMYFUNCTION("""COMPUTED_VALUE"""),-6.09584921403951)</f>
        <v>-6.095849214</v>
      </c>
      <c r="H42" s="86">
        <f>IFERROR(__xludf.DUMMYFUNCTION("""COMPUTED_VALUE"""),106.710285756035)</f>
        <v>106.7102858</v>
      </c>
      <c r="I42" s="85"/>
      <c r="J42" s="85"/>
      <c r="K42" s="85"/>
      <c r="L42" s="85"/>
      <c r="M42" s="85"/>
      <c r="N42" s="85"/>
      <c r="O42" s="85"/>
      <c r="P42" s="85"/>
      <c r="Q42" s="85"/>
      <c r="R42" s="43"/>
      <c r="S42" s="43"/>
      <c r="T42" s="43"/>
      <c r="U42" s="43"/>
      <c r="V42" s="43"/>
      <c r="W42" s="43"/>
      <c r="X42" s="43"/>
      <c r="Y42" s="43"/>
      <c r="Z42" s="43"/>
    </row>
    <row r="43">
      <c r="A43" s="86">
        <f>IFERROR(__xludf.DUMMYFUNCTION("""COMPUTED_VALUE"""),42.0)</f>
        <v>42</v>
      </c>
      <c r="B43" s="87">
        <f>IFERROR(__xludf.DUMMYFUNCTION("""COMPUTED_VALUE"""),42.0)</f>
        <v>42</v>
      </c>
      <c r="C43" s="88" t="str">
        <f>IFERROR(__xludf.DUMMYFUNCTION("""COMPUTED_VALUE"""),"Desi Putri")</f>
        <v>Desi Putri</v>
      </c>
      <c r="D43" s="87" t="str">
        <f>IFERROR(__xludf.DUMMYFUNCTION("""COMPUTED_VALUE"""),"6, 1")</f>
        <v>6, 1</v>
      </c>
      <c r="E43" s="87" t="str">
        <f>IFERROR(__xludf.DUMMYFUNCTION("""COMPUTED_VALUE"""),"4, 6")</f>
        <v>4, 6</v>
      </c>
      <c r="F43" s="87" t="str">
        <f>IFERROR(__xludf.DUMMYFUNCTION("""COMPUTED_VALUE"""),"1334, 1313")</f>
        <v>1334, 1313</v>
      </c>
      <c r="G43" s="87">
        <f>IFERROR(__xludf.DUMMYFUNCTION("""COMPUTED_VALUE"""),-6.18836378100224)</f>
        <v>-6.188363781</v>
      </c>
      <c r="H43" s="86">
        <f>IFERROR(__xludf.DUMMYFUNCTION("""COMPUTED_VALUE"""),106.7314462513)</f>
        <v>106.7314463</v>
      </c>
      <c r="I43" s="85"/>
      <c r="J43" s="85"/>
      <c r="K43" s="85"/>
      <c r="L43" s="85"/>
      <c r="M43" s="85"/>
      <c r="N43" s="85"/>
      <c r="O43" s="85"/>
      <c r="P43" s="85"/>
      <c r="Q43" s="85"/>
      <c r="R43" s="43"/>
      <c r="S43" s="43"/>
      <c r="T43" s="43"/>
      <c r="U43" s="43"/>
      <c r="V43" s="43"/>
      <c r="W43" s="43"/>
      <c r="X43" s="43"/>
      <c r="Y43" s="43"/>
      <c r="Z43" s="43"/>
    </row>
    <row r="44">
      <c r="A44" s="86">
        <f>IFERROR(__xludf.DUMMYFUNCTION("""COMPUTED_VALUE"""),43.0)</f>
        <v>43</v>
      </c>
      <c r="B44" s="87">
        <f>IFERROR(__xludf.DUMMYFUNCTION("""COMPUTED_VALUE"""),43.0)</f>
        <v>43</v>
      </c>
      <c r="C44" s="88" t="str">
        <f>IFERROR(__xludf.DUMMYFUNCTION("""COMPUTED_VALUE"""),"Lina Putri")</f>
        <v>Lina Putri</v>
      </c>
      <c r="D44" s="87" t="str">
        <f>IFERROR(__xludf.DUMMYFUNCTION("""COMPUTED_VALUE"""),"6, 1")</f>
        <v>6, 1</v>
      </c>
      <c r="E44" s="87" t="str">
        <f>IFERROR(__xludf.DUMMYFUNCTION("""COMPUTED_VALUE"""),"1, 6")</f>
        <v>1, 6</v>
      </c>
      <c r="F44" s="87" t="str">
        <f>IFERROR(__xludf.DUMMYFUNCTION("""COMPUTED_VALUE"""),"3165, 3162")</f>
        <v>3165, 3162</v>
      </c>
      <c r="G44" s="87">
        <f>IFERROR(__xludf.DUMMYFUNCTION("""COMPUTED_VALUE"""),-6.33454526460775)</f>
        <v>-6.334545265</v>
      </c>
      <c r="H44" s="86">
        <f>IFERROR(__xludf.DUMMYFUNCTION("""COMPUTED_VALUE"""),106.851742337186)</f>
        <v>106.8517423</v>
      </c>
      <c r="I44" s="85"/>
      <c r="J44" s="85"/>
      <c r="K44" s="85"/>
      <c r="L44" s="85"/>
      <c r="M44" s="85"/>
      <c r="N44" s="85"/>
      <c r="O44" s="85"/>
      <c r="P44" s="85"/>
      <c r="Q44" s="85"/>
      <c r="R44" s="43"/>
      <c r="S44" s="43"/>
      <c r="T44" s="43"/>
      <c r="U44" s="43"/>
      <c r="V44" s="43"/>
      <c r="W44" s="43"/>
      <c r="X44" s="43"/>
      <c r="Y44" s="43"/>
      <c r="Z44" s="43"/>
    </row>
    <row r="45">
      <c r="A45" s="86">
        <f>IFERROR(__xludf.DUMMYFUNCTION("""COMPUTED_VALUE"""),44.0)</f>
        <v>44</v>
      </c>
      <c r="B45" s="87">
        <f>IFERROR(__xludf.DUMMYFUNCTION("""COMPUTED_VALUE"""),44.0)</f>
        <v>44</v>
      </c>
      <c r="C45" s="88" t="str">
        <f>IFERROR(__xludf.DUMMYFUNCTION("""COMPUTED_VALUE"""),"Arif Sari")</f>
        <v>Arif Sari</v>
      </c>
      <c r="D45" s="87" t="str">
        <f>IFERROR(__xludf.DUMMYFUNCTION("""COMPUTED_VALUE"""),"5, 4")</f>
        <v>5, 4</v>
      </c>
      <c r="E45" s="87" t="str">
        <f>IFERROR(__xludf.DUMMYFUNCTION("""COMPUTED_VALUE"""),"2, 4")</f>
        <v>2, 4</v>
      </c>
      <c r="F45" s="87" t="str">
        <f>IFERROR(__xludf.DUMMYFUNCTION("""COMPUTED_VALUE"""),"1652, 3454")</f>
        <v>1652, 3454</v>
      </c>
      <c r="G45" s="87">
        <f>IFERROR(__xludf.DUMMYFUNCTION("""COMPUTED_VALUE"""),-6.30789232918822)</f>
        <v>-6.307892329</v>
      </c>
      <c r="H45" s="86">
        <f>IFERROR(__xludf.DUMMYFUNCTION("""COMPUTED_VALUE"""),106.863207336659)</f>
        <v>106.8632073</v>
      </c>
      <c r="I45" s="85"/>
      <c r="J45" s="85"/>
      <c r="K45" s="85"/>
      <c r="L45" s="85"/>
      <c r="M45" s="85"/>
      <c r="N45" s="85"/>
      <c r="O45" s="85"/>
      <c r="P45" s="85"/>
      <c r="Q45" s="85"/>
      <c r="R45" s="43"/>
      <c r="S45" s="43"/>
      <c r="T45" s="43"/>
      <c r="U45" s="43"/>
      <c r="V45" s="43"/>
      <c r="W45" s="43"/>
      <c r="X45" s="43"/>
      <c r="Y45" s="43"/>
      <c r="Z45" s="43"/>
    </row>
    <row r="46">
      <c r="A46" s="86">
        <f>IFERROR(__xludf.DUMMYFUNCTION("""COMPUTED_VALUE"""),45.0)</f>
        <v>45</v>
      </c>
      <c r="B46" s="87">
        <f>IFERROR(__xludf.DUMMYFUNCTION("""COMPUTED_VALUE"""),45.0)</f>
        <v>45</v>
      </c>
      <c r="C46" s="88" t="str">
        <f>IFERROR(__xludf.DUMMYFUNCTION("""COMPUTED_VALUE"""),"Siti Kurniawan")</f>
        <v>Siti Kurniawan</v>
      </c>
      <c r="D46" s="87" t="str">
        <f>IFERROR(__xludf.DUMMYFUNCTION("""COMPUTED_VALUE"""),"4, 3")</f>
        <v>4, 3</v>
      </c>
      <c r="E46" s="87" t="str">
        <f>IFERROR(__xludf.DUMMYFUNCTION("""COMPUTED_VALUE"""),"1, 1")</f>
        <v>1, 1</v>
      </c>
      <c r="F46" s="87" t="str">
        <f>IFERROR(__xludf.DUMMYFUNCTION("""COMPUTED_VALUE"""),"3169, 3169")</f>
        <v>3169, 3169</v>
      </c>
      <c r="G46" s="87">
        <f>IFERROR(__xludf.DUMMYFUNCTION("""COMPUTED_VALUE"""),-6.1601875771767)</f>
        <v>-6.160187577</v>
      </c>
      <c r="H46" s="86">
        <f>IFERROR(__xludf.DUMMYFUNCTION("""COMPUTED_VALUE"""),106.862713542403)</f>
        <v>106.8627135</v>
      </c>
      <c r="I46" s="85"/>
      <c r="J46" s="85"/>
      <c r="K46" s="85"/>
      <c r="L46" s="85"/>
      <c r="M46" s="85"/>
      <c r="N46" s="85"/>
      <c r="O46" s="85"/>
      <c r="P46" s="85"/>
      <c r="Q46" s="85"/>
      <c r="R46" s="43"/>
      <c r="S46" s="43"/>
      <c r="T46" s="43"/>
      <c r="U46" s="43"/>
      <c r="V46" s="43"/>
      <c r="W46" s="43"/>
      <c r="X46" s="43"/>
      <c r="Y46" s="43"/>
      <c r="Z46" s="43"/>
    </row>
    <row r="47">
      <c r="A47" s="86">
        <f>IFERROR(__xludf.DUMMYFUNCTION("""COMPUTED_VALUE"""),46.0)</f>
        <v>46</v>
      </c>
      <c r="B47" s="87">
        <f>IFERROR(__xludf.DUMMYFUNCTION("""COMPUTED_VALUE"""),46.0)</f>
        <v>46</v>
      </c>
      <c r="C47" s="88" t="str">
        <f>IFERROR(__xludf.DUMMYFUNCTION("""COMPUTED_VALUE"""),"Dian Wijaya")</f>
        <v>Dian Wijaya</v>
      </c>
      <c r="D47" s="87" t="str">
        <f>IFERROR(__xludf.DUMMYFUNCTION("""COMPUTED_VALUE"""),"6, 4")</f>
        <v>6, 4</v>
      </c>
      <c r="E47" s="87" t="str">
        <f>IFERROR(__xludf.DUMMYFUNCTION("""COMPUTED_VALUE"""),"2, 2")</f>
        <v>2, 2</v>
      </c>
      <c r="F47" s="87" t="str">
        <f>IFERROR(__xludf.DUMMYFUNCTION("""COMPUTED_VALUE"""),"1422, 3165")</f>
        <v>1422, 3165</v>
      </c>
      <c r="G47" s="87">
        <f>IFERROR(__xludf.DUMMYFUNCTION("""COMPUTED_VALUE"""),-6.09596645772221)</f>
        <v>-6.095966458</v>
      </c>
      <c r="H47" s="86">
        <f>IFERROR(__xludf.DUMMYFUNCTION("""COMPUTED_VALUE"""),106.792673336342)</f>
        <v>106.7926733</v>
      </c>
      <c r="I47" s="85"/>
      <c r="J47" s="85"/>
      <c r="K47" s="85"/>
      <c r="L47" s="85"/>
      <c r="M47" s="85"/>
      <c r="N47" s="85"/>
      <c r="O47" s="85"/>
      <c r="P47" s="85"/>
      <c r="Q47" s="85"/>
      <c r="R47" s="43"/>
      <c r="S47" s="43"/>
      <c r="T47" s="43"/>
      <c r="U47" s="43"/>
      <c r="V47" s="43"/>
      <c r="W47" s="43"/>
      <c r="X47" s="43"/>
      <c r="Y47" s="43"/>
      <c r="Z47" s="43"/>
    </row>
    <row r="48">
      <c r="A48" s="86">
        <f>IFERROR(__xludf.DUMMYFUNCTION("""COMPUTED_VALUE"""),47.0)</f>
        <v>47</v>
      </c>
      <c r="B48" s="87">
        <f>IFERROR(__xludf.DUMMYFUNCTION("""COMPUTED_VALUE"""),47.0)</f>
        <v>47</v>
      </c>
      <c r="C48" s="88" t="str">
        <f>IFERROR(__xludf.DUMMYFUNCTION("""COMPUTED_VALUE"""),"Fandi Kurniawan")</f>
        <v>Fandi Kurniawan</v>
      </c>
      <c r="D48" s="87" t="str">
        <f>IFERROR(__xludf.DUMMYFUNCTION("""COMPUTED_VALUE"""),"3, 6")</f>
        <v>3, 6</v>
      </c>
      <c r="E48" s="87" t="str">
        <f>IFERROR(__xludf.DUMMYFUNCTION("""COMPUTED_VALUE"""),"5, 6")</f>
        <v>5, 6</v>
      </c>
      <c r="F48" s="87" t="str">
        <f>IFERROR(__xludf.DUMMYFUNCTION("""COMPUTED_VALUE"""),"1423, 3163")</f>
        <v>1423, 3163</v>
      </c>
      <c r="G48" s="87">
        <f>IFERROR(__xludf.DUMMYFUNCTION("""COMPUTED_VALUE"""),-6.0915518389245)</f>
        <v>-6.091551839</v>
      </c>
      <c r="H48" s="86">
        <f>IFERROR(__xludf.DUMMYFUNCTION("""COMPUTED_VALUE"""),106.690067184466)</f>
        <v>106.6900672</v>
      </c>
      <c r="I48" s="85"/>
      <c r="J48" s="85"/>
      <c r="K48" s="85"/>
      <c r="L48" s="85"/>
      <c r="M48" s="85"/>
      <c r="N48" s="85"/>
      <c r="O48" s="85"/>
      <c r="P48" s="85"/>
      <c r="Q48" s="85"/>
      <c r="R48" s="43"/>
      <c r="S48" s="43"/>
      <c r="T48" s="43"/>
      <c r="U48" s="43"/>
      <c r="V48" s="43"/>
      <c r="W48" s="43"/>
      <c r="X48" s="43"/>
      <c r="Y48" s="43"/>
      <c r="Z48" s="43"/>
    </row>
    <row r="49">
      <c r="A49" s="86">
        <f>IFERROR(__xludf.DUMMYFUNCTION("""COMPUTED_VALUE"""),48.0)</f>
        <v>48</v>
      </c>
      <c r="B49" s="87">
        <f>IFERROR(__xludf.DUMMYFUNCTION("""COMPUTED_VALUE"""),48.0)</f>
        <v>48</v>
      </c>
      <c r="C49" s="88" t="str">
        <f>IFERROR(__xludf.DUMMYFUNCTION("""COMPUTED_VALUE"""),"Maya Kusuma")</f>
        <v>Maya Kusuma</v>
      </c>
      <c r="D49" s="87" t="str">
        <f>IFERROR(__xludf.DUMMYFUNCTION("""COMPUTED_VALUE"""),"3, 5")</f>
        <v>3, 5</v>
      </c>
      <c r="E49" s="87" t="str">
        <f>IFERROR(__xludf.DUMMYFUNCTION("""COMPUTED_VALUE"""),"2, 3")</f>
        <v>2, 3</v>
      </c>
      <c r="F49" s="87" t="str">
        <f>IFERROR(__xludf.DUMMYFUNCTION("""COMPUTED_VALUE"""),"1637, 1639")</f>
        <v>1637, 1639</v>
      </c>
      <c r="G49" s="87">
        <f>IFERROR(__xludf.DUMMYFUNCTION("""COMPUTED_VALUE"""),-6.10984395614984)</f>
        <v>-6.109843956</v>
      </c>
      <c r="H49" s="86">
        <f>IFERROR(__xludf.DUMMYFUNCTION("""COMPUTED_VALUE"""),106.946286379814)</f>
        <v>106.9462864</v>
      </c>
      <c r="I49" s="85"/>
      <c r="J49" s="85"/>
      <c r="K49" s="85"/>
      <c r="L49" s="85"/>
      <c r="M49" s="85"/>
      <c r="N49" s="85"/>
      <c r="O49" s="85"/>
      <c r="P49" s="85"/>
      <c r="Q49" s="85"/>
      <c r="R49" s="43"/>
      <c r="S49" s="43"/>
      <c r="T49" s="43"/>
      <c r="U49" s="43"/>
      <c r="V49" s="43"/>
      <c r="W49" s="43"/>
      <c r="X49" s="43"/>
      <c r="Y49" s="43"/>
      <c r="Z49" s="43"/>
    </row>
    <row r="50">
      <c r="A50" s="86">
        <f>IFERROR(__xludf.DUMMYFUNCTION("""COMPUTED_VALUE"""),49.0)</f>
        <v>49</v>
      </c>
      <c r="B50" s="87">
        <f>IFERROR(__xludf.DUMMYFUNCTION("""COMPUTED_VALUE"""),49.0)</f>
        <v>49</v>
      </c>
      <c r="C50" s="88" t="str">
        <f>IFERROR(__xludf.DUMMYFUNCTION("""COMPUTED_VALUE"""),"Fajar Hidayat")</f>
        <v>Fajar Hidayat</v>
      </c>
      <c r="D50" s="87" t="str">
        <f>IFERROR(__xludf.DUMMYFUNCTION("""COMPUTED_VALUE"""),"2, 1")</f>
        <v>2, 1</v>
      </c>
      <c r="E50" s="87" t="str">
        <f>IFERROR(__xludf.DUMMYFUNCTION("""COMPUTED_VALUE"""),"3, 1")</f>
        <v>3, 1</v>
      </c>
      <c r="F50" s="87" t="str">
        <f>IFERROR(__xludf.DUMMYFUNCTION("""COMPUTED_VALUE"""),"117, 3164")</f>
        <v>117, 3164</v>
      </c>
      <c r="G50" s="87">
        <f>IFERROR(__xludf.DUMMYFUNCTION("""COMPUTED_VALUE"""),-6.27399847639925)</f>
        <v>-6.273998476</v>
      </c>
      <c r="H50" s="86">
        <f>IFERROR(__xludf.DUMMYFUNCTION("""COMPUTED_VALUE"""),106.630079467914)</f>
        <v>106.6300795</v>
      </c>
      <c r="I50" s="85"/>
      <c r="J50" s="85"/>
      <c r="K50" s="85"/>
      <c r="L50" s="85"/>
      <c r="M50" s="85"/>
      <c r="N50" s="85"/>
      <c r="O50" s="85"/>
      <c r="P50" s="85"/>
      <c r="Q50" s="85"/>
      <c r="R50" s="43"/>
      <c r="S50" s="43"/>
      <c r="T50" s="43"/>
      <c r="U50" s="43"/>
      <c r="V50" s="43"/>
      <c r="W50" s="43"/>
      <c r="X50" s="43"/>
      <c r="Y50" s="43"/>
      <c r="Z50" s="43"/>
    </row>
    <row r="51">
      <c r="A51" s="86">
        <f>IFERROR(__xludf.DUMMYFUNCTION("""COMPUTED_VALUE"""),50.0)</f>
        <v>50</v>
      </c>
      <c r="B51" s="87">
        <f>IFERROR(__xludf.DUMMYFUNCTION("""COMPUTED_VALUE"""),50.0)</f>
        <v>50</v>
      </c>
      <c r="C51" s="88" t="str">
        <f>IFERROR(__xludf.DUMMYFUNCTION("""COMPUTED_VALUE"""),"Hadi Santoso")</f>
        <v>Hadi Santoso</v>
      </c>
      <c r="D51" s="87" t="str">
        <f>IFERROR(__xludf.DUMMYFUNCTION("""COMPUTED_VALUE"""),"4, 6")</f>
        <v>4, 6</v>
      </c>
      <c r="E51" s="87" t="str">
        <f>IFERROR(__xludf.DUMMYFUNCTION("""COMPUTED_VALUE"""),"5, 4")</f>
        <v>5, 4</v>
      </c>
      <c r="F51" s="87" t="str">
        <f>IFERROR(__xludf.DUMMYFUNCTION("""COMPUTED_VALUE"""),"1212, 1530")</f>
        <v>1212, 1530</v>
      </c>
      <c r="G51" s="87">
        <f>IFERROR(__xludf.DUMMYFUNCTION("""COMPUTED_VALUE"""),-6.1832639914257)</f>
        <v>-6.183263991</v>
      </c>
      <c r="H51" s="86">
        <f>IFERROR(__xludf.DUMMYFUNCTION("""COMPUTED_VALUE"""),106.803894748406)</f>
        <v>106.8038947</v>
      </c>
      <c r="I51" s="85"/>
      <c r="J51" s="85"/>
      <c r="K51" s="85"/>
      <c r="L51" s="85"/>
      <c r="M51" s="85"/>
      <c r="N51" s="85"/>
      <c r="O51" s="85"/>
      <c r="P51" s="85"/>
      <c r="Q51" s="85"/>
      <c r="R51" s="43"/>
      <c r="S51" s="43"/>
      <c r="T51" s="43"/>
      <c r="U51" s="43"/>
      <c r="V51" s="43"/>
      <c r="W51" s="43"/>
      <c r="X51" s="43"/>
      <c r="Y51" s="43"/>
      <c r="Z51" s="43"/>
    </row>
    <row r="52">
      <c r="A52" s="86">
        <f>IFERROR(__xludf.DUMMYFUNCTION("""COMPUTED_VALUE"""),51.0)</f>
        <v>51</v>
      </c>
      <c r="B52" s="87">
        <f>IFERROR(__xludf.DUMMYFUNCTION("""COMPUTED_VALUE"""),51.0)</f>
        <v>51</v>
      </c>
      <c r="C52" s="88" t="str">
        <f>IFERROR(__xludf.DUMMYFUNCTION("""COMPUTED_VALUE"""),"Fandi Pratama")</f>
        <v>Fandi Pratama</v>
      </c>
      <c r="D52" s="87" t="str">
        <f>IFERROR(__xludf.DUMMYFUNCTION("""COMPUTED_VALUE"""),"4, 6")</f>
        <v>4, 6</v>
      </c>
      <c r="E52" s="87" t="str">
        <f>IFERROR(__xludf.DUMMYFUNCTION("""COMPUTED_VALUE"""),"2, 1")</f>
        <v>2, 1</v>
      </c>
      <c r="F52" s="87" t="str">
        <f>IFERROR(__xludf.DUMMYFUNCTION("""COMPUTED_VALUE"""),"1114, 1642")</f>
        <v>1114, 1642</v>
      </c>
      <c r="G52" s="87">
        <f>IFERROR(__xludf.DUMMYFUNCTION("""COMPUTED_VALUE"""),-6.32672143415552)</f>
        <v>-6.326721434</v>
      </c>
      <c r="H52" s="86">
        <f>IFERROR(__xludf.DUMMYFUNCTION("""COMPUTED_VALUE"""),106.958863746232)</f>
        <v>106.9588637</v>
      </c>
      <c r="I52" s="85"/>
      <c r="J52" s="85"/>
      <c r="K52" s="85"/>
      <c r="L52" s="85"/>
      <c r="M52" s="85"/>
      <c r="N52" s="85"/>
      <c r="O52" s="85"/>
      <c r="P52" s="85"/>
      <c r="Q52" s="85"/>
      <c r="R52" s="43"/>
      <c r="S52" s="43"/>
      <c r="T52" s="43"/>
      <c r="U52" s="43"/>
      <c r="V52" s="43"/>
      <c r="W52" s="43"/>
      <c r="X52" s="43"/>
      <c r="Y52" s="43"/>
      <c r="Z52" s="43"/>
    </row>
    <row r="53">
      <c r="A53" s="86">
        <f>IFERROR(__xludf.DUMMYFUNCTION("""COMPUTED_VALUE"""),52.0)</f>
        <v>52</v>
      </c>
      <c r="B53" s="87">
        <f>IFERROR(__xludf.DUMMYFUNCTION("""COMPUTED_VALUE"""),52.0)</f>
        <v>52</v>
      </c>
      <c r="C53" s="88" t="str">
        <f>IFERROR(__xludf.DUMMYFUNCTION("""COMPUTED_VALUE"""),"Ani Nurhayati")</f>
        <v>Ani Nurhayati</v>
      </c>
      <c r="D53" s="87" t="str">
        <f>IFERROR(__xludf.DUMMYFUNCTION("""COMPUTED_VALUE"""),"2, 2")</f>
        <v>2, 2</v>
      </c>
      <c r="E53" s="87" t="str">
        <f>IFERROR(__xludf.DUMMYFUNCTION("""COMPUTED_VALUE"""),"2, 2")</f>
        <v>2, 2</v>
      </c>
      <c r="F53" s="87" t="str">
        <f>IFERROR(__xludf.DUMMYFUNCTION("""COMPUTED_VALUE"""),"3170, 118")</f>
        <v>3170, 118</v>
      </c>
      <c r="G53" s="87">
        <f>IFERROR(__xludf.DUMMYFUNCTION("""COMPUTED_VALUE"""),-6.33309065279389)</f>
        <v>-6.333090653</v>
      </c>
      <c r="H53" s="86">
        <f>IFERROR(__xludf.DUMMYFUNCTION("""COMPUTED_VALUE"""),107.021600712743)</f>
        <v>107.0216007</v>
      </c>
      <c r="I53" s="85"/>
      <c r="J53" s="85"/>
      <c r="K53" s="85"/>
      <c r="L53" s="85"/>
      <c r="M53" s="85"/>
      <c r="N53" s="85"/>
      <c r="O53" s="85"/>
      <c r="P53" s="85"/>
      <c r="Q53" s="85"/>
      <c r="R53" s="43"/>
      <c r="S53" s="43"/>
      <c r="T53" s="43"/>
      <c r="U53" s="43"/>
      <c r="V53" s="43"/>
      <c r="W53" s="43"/>
      <c r="X53" s="43"/>
      <c r="Y53" s="43"/>
      <c r="Z53" s="43"/>
    </row>
    <row r="54">
      <c r="A54" s="86">
        <f>IFERROR(__xludf.DUMMYFUNCTION("""COMPUTED_VALUE"""),53.0)</f>
        <v>53</v>
      </c>
      <c r="B54" s="87">
        <f>IFERROR(__xludf.DUMMYFUNCTION("""COMPUTED_VALUE"""),53.0)</f>
        <v>53</v>
      </c>
      <c r="C54" s="88" t="str">
        <f>IFERROR(__xludf.DUMMYFUNCTION("""COMPUTED_VALUE"""),"Wahyu Santoso")</f>
        <v>Wahyu Santoso</v>
      </c>
      <c r="D54" s="87" t="str">
        <f>IFERROR(__xludf.DUMMYFUNCTION("""COMPUTED_VALUE"""),"6, 5")</f>
        <v>6, 5</v>
      </c>
      <c r="E54" s="87" t="str">
        <f>IFERROR(__xludf.DUMMYFUNCTION("""COMPUTED_VALUE"""),"4, 5")</f>
        <v>4, 5</v>
      </c>
      <c r="F54" s="87" t="str">
        <f>IFERROR(__xludf.DUMMYFUNCTION("""COMPUTED_VALUE"""),"117, 1652")</f>
        <v>117, 1652</v>
      </c>
      <c r="G54" s="87">
        <f>IFERROR(__xludf.DUMMYFUNCTION("""COMPUTED_VALUE"""),-6.16496036476307)</f>
        <v>-6.164960365</v>
      </c>
      <c r="H54" s="86">
        <f>IFERROR(__xludf.DUMMYFUNCTION("""COMPUTED_VALUE"""),106.922816551048)</f>
        <v>106.9228166</v>
      </c>
      <c r="I54" s="85"/>
      <c r="J54" s="85"/>
      <c r="K54" s="85"/>
      <c r="L54" s="85"/>
      <c r="M54" s="85"/>
      <c r="N54" s="85"/>
      <c r="O54" s="85"/>
      <c r="P54" s="85"/>
      <c r="Q54" s="85"/>
      <c r="R54" s="43"/>
      <c r="S54" s="43"/>
      <c r="T54" s="43"/>
      <c r="U54" s="43"/>
      <c r="V54" s="43"/>
      <c r="W54" s="43"/>
      <c r="X54" s="43"/>
      <c r="Y54" s="43"/>
      <c r="Z54" s="43"/>
    </row>
    <row r="55">
      <c r="A55" s="86">
        <f>IFERROR(__xludf.DUMMYFUNCTION("""COMPUTED_VALUE"""),54.0)</f>
        <v>54</v>
      </c>
      <c r="B55" s="87">
        <f>IFERROR(__xludf.DUMMYFUNCTION("""COMPUTED_VALUE"""),54.0)</f>
        <v>54</v>
      </c>
      <c r="C55" s="88" t="str">
        <f>IFERROR(__xludf.DUMMYFUNCTION("""COMPUTED_VALUE"""),"Andi Kurniawan")</f>
        <v>Andi Kurniawan</v>
      </c>
      <c r="D55" s="87" t="str">
        <f>IFERROR(__xludf.DUMMYFUNCTION("""COMPUTED_VALUE"""),"4, 6")</f>
        <v>4, 6</v>
      </c>
      <c r="E55" s="87" t="str">
        <f>IFERROR(__xludf.DUMMYFUNCTION("""COMPUTED_VALUE"""),"4, 4")</f>
        <v>4, 4</v>
      </c>
      <c r="F55" s="87" t="str">
        <f>IFERROR(__xludf.DUMMYFUNCTION("""COMPUTED_VALUE"""),"3167, 1422")</f>
        <v>3167, 1422</v>
      </c>
      <c r="G55" s="87">
        <f>IFERROR(__xludf.DUMMYFUNCTION("""COMPUTED_VALUE"""),-6.13719145091802)</f>
        <v>-6.137191451</v>
      </c>
      <c r="H55" s="86">
        <f>IFERROR(__xludf.DUMMYFUNCTION("""COMPUTED_VALUE"""),106.673959160298)</f>
        <v>106.6739592</v>
      </c>
      <c r="I55" s="85"/>
      <c r="J55" s="85"/>
      <c r="K55" s="85"/>
      <c r="L55" s="85"/>
      <c r="M55" s="85"/>
      <c r="N55" s="85"/>
      <c r="O55" s="85"/>
      <c r="P55" s="85"/>
      <c r="Q55" s="85"/>
      <c r="R55" s="43"/>
      <c r="S55" s="43"/>
      <c r="T55" s="43"/>
      <c r="U55" s="43"/>
      <c r="V55" s="43"/>
      <c r="W55" s="43"/>
      <c r="X55" s="43"/>
      <c r="Y55" s="43"/>
      <c r="Z55" s="43"/>
    </row>
    <row r="56">
      <c r="A56" s="86">
        <f>IFERROR(__xludf.DUMMYFUNCTION("""COMPUTED_VALUE"""),55.0)</f>
        <v>55</v>
      </c>
      <c r="B56" s="87">
        <f>IFERROR(__xludf.DUMMYFUNCTION("""COMPUTED_VALUE"""),55.0)</f>
        <v>55</v>
      </c>
      <c r="C56" s="88" t="str">
        <f>IFERROR(__xludf.DUMMYFUNCTION("""COMPUTED_VALUE"""),"Joko Sari")</f>
        <v>Joko Sari</v>
      </c>
      <c r="D56" s="87" t="str">
        <f>IFERROR(__xludf.DUMMYFUNCTION("""COMPUTED_VALUE"""),"3, 6")</f>
        <v>3, 6</v>
      </c>
      <c r="E56" s="87" t="str">
        <f>IFERROR(__xludf.DUMMYFUNCTION("""COMPUTED_VALUE"""),"6, 6")</f>
        <v>6, 6</v>
      </c>
      <c r="F56" s="87" t="str">
        <f>IFERROR(__xludf.DUMMYFUNCTION("""COMPUTED_VALUE"""),"1528, 1530")</f>
        <v>1528, 1530</v>
      </c>
      <c r="G56" s="87">
        <f>IFERROR(__xludf.DUMMYFUNCTION("""COMPUTED_VALUE"""),-6.12417010506712)</f>
        <v>-6.124170105</v>
      </c>
      <c r="H56" s="86">
        <f>IFERROR(__xludf.DUMMYFUNCTION("""COMPUTED_VALUE"""),106.721156753275)</f>
        <v>106.7211568</v>
      </c>
      <c r="I56" s="85"/>
      <c r="J56" s="85"/>
      <c r="K56" s="85"/>
      <c r="L56" s="85"/>
      <c r="M56" s="85"/>
      <c r="N56" s="85"/>
      <c r="O56" s="85"/>
      <c r="P56" s="85"/>
      <c r="Q56" s="85"/>
      <c r="R56" s="43"/>
      <c r="S56" s="43"/>
      <c r="T56" s="43"/>
      <c r="U56" s="43"/>
      <c r="V56" s="43"/>
      <c r="W56" s="43"/>
      <c r="X56" s="43"/>
      <c r="Y56" s="43"/>
      <c r="Z56" s="43"/>
    </row>
    <row r="57">
      <c r="A57" s="86">
        <f>IFERROR(__xludf.DUMMYFUNCTION("""COMPUTED_VALUE"""),56.0)</f>
        <v>56</v>
      </c>
      <c r="B57" s="87">
        <f>IFERROR(__xludf.DUMMYFUNCTION("""COMPUTED_VALUE"""),56.0)</f>
        <v>56</v>
      </c>
      <c r="C57" s="88" t="str">
        <f>IFERROR(__xludf.DUMMYFUNCTION("""COMPUTED_VALUE"""),"Desi Putri")</f>
        <v>Desi Putri</v>
      </c>
      <c r="D57" s="87" t="str">
        <f>IFERROR(__xludf.DUMMYFUNCTION("""COMPUTED_VALUE"""),"3, 5")</f>
        <v>3, 5</v>
      </c>
      <c r="E57" s="87" t="str">
        <f>IFERROR(__xludf.DUMMYFUNCTION("""COMPUTED_VALUE"""),"1, 3")</f>
        <v>1, 3</v>
      </c>
      <c r="F57" s="87" t="str">
        <f>IFERROR(__xludf.DUMMYFUNCTION("""COMPUTED_VALUE"""),"111, 3658")</f>
        <v>111, 3658</v>
      </c>
      <c r="G57" s="87">
        <f>IFERROR(__xludf.DUMMYFUNCTION("""COMPUTED_VALUE"""),-6.27078491935305)</f>
        <v>-6.270784919</v>
      </c>
      <c r="H57" s="86">
        <f>IFERROR(__xludf.DUMMYFUNCTION("""COMPUTED_VALUE"""),106.901808531639)</f>
        <v>106.9018085</v>
      </c>
      <c r="I57" s="85"/>
      <c r="J57" s="85"/>
      <c r="K57" s="85"/>
      <c r="L57" s="85"/>
      <c r="M57" s="85"/>
      <c r="N57" s="85"/>
      <c r="O57" s="85"/>
      <c r="P57" s="85"/>
      <c r="Q57" s="85"/>
      <c r="R57" s="43"/>
      <c r="S57" s="43"/>
      <c r="T57" s="43"/>
      <c r="U57" s="43"/>
      <c r="V57" s="43"/>
      <c r="W57" s="43"/>
      <c r="X57" s="43"/>
      <c r="Y57" s="43"/>
      <c r="Z57" s="43"/>
    </row>
    <row r="58">
      <c r="A58" s="86">
        <f>IFERROR(__xludf.DUMMYFUNCTION("""COMPUTED_VALUE"""),57.0)</f>
        <v>57</v>
      </c>
      <c r="B58" s="87">
        <f>IFERROR(__xludf.DUMMYFUNCTION("""COMPUTED_VALUE"""),57.0)</f>
        <v>57</v>
      </c>
      <c r="C58" s="88" t="str">
        <f>IFERROR(__xludf.DUMMYFUNCTION("""COMPUTED_VALUE"""),"Hadi Sari")</f>
        <v>Hadi Sari</v>
      </c>
      <c r="D58" s="87" t="str">
        <f>IFERROR(__xludf.DUMMYFUNCTION("""COMPUTED_VALUE"""),"5, 5")</f>
        <v>5, 5</v>
      </c>
      <c r="E58" s="87" t="str">
        <f>IFERROR(__xludf.DUMMYFUNCTION("""COMPUTED_VALUE"""),"2, 4")</f>
        <v>2, 4</v>
      </c>
      <c r="F58" s="87" t="str">
        <f>IFERROR(__xludf.DUMMYFUNCTION("""COMPUTED_VALUE"""),"1416, 3658")</f>
        <v>1416, 3658</v>
      </c>
      <c r="G58" s="87">
        <f>IFERROR(__xludf.DUMMYFUNCTION("""COMPUTED_VALUE"""),-6.25241931620008)</f>
        <v>-6.252419316</v>
      </c>
      <c r="H58" s="86">
        <f>IFERROR(__xludf.DUMMYFUNCTION("""COMPUTED_VALUE"""),106.888994987395)</f>
        <v>106.888995</v>
      </c>
      <c r="I58" s="85"/>
      <c r="J58" s="85"/>
      <c r="K58" s="85"/>
      <c r="L58" s="85"/>
      <c r="M58" s="85"/>
      <c r="N58" s="85"/>
      <c r="O58" s="85"/>
      <c r="P58" s="85"/>
      <c r="Q58" s="85"/>
      <c r="R58" s="43"/>
      <c r="S58" s="43"/>
      <c r="T58" s="43"/>
      <c r="U58" s="43"/>
      <c r="V58" s="43"/>
      <c r="W58" s="43"/>
      <c r="X58" s="43"/>
      <c r="Y58" s="43"/>
      <c r="Z58" s="43"/>
    </row>
    <row r="59">
      <c r="A59" s="86">
        <f>IFERROR(__xludf.DUMMYFUNCTION("""COMPUTED_VALUE"""),58.0)</f>
        <v>58</v>
      </c>
      <c r="B59" s="87">
        <f>IFERROR(__xludf.DUMMYFUNCTION("""COMPUTED_VALUE"""),58.0)</f>
        <v>58</v>
      </c>
      <c r="C59" s="88" t="str">
        <f>IFERROR(__xludf.DUMMYFUNCTION("""COMPUTED_VALUE"""),"Joko Septiani")</f>
        <v>Joko Septiani</v>
      </c>
      <c r="D59" s="87" t="str">
        <f>IFERROR(__xludf.DUMMYFUNCTION("""COMPUTED_VALUE"""),"4, 6")</f>
        <v>4, 6</v>
      </c>
      <c r="E59" s="87" t="str">
        <f>IFERROR(__xludf.DUMMYFUNCTION("""COMPUTED_VALUE"""),"2, 5")</f>
        <v>2, 5</v>
      </c>
      <c r="F59" s="87" t="str">
        <f>IFERROR(__xludf.DUMMYFUNCTION("""COMPUTED_VALUE"""),"3170, 3659")</f>
        <v>3170, 3659</v>
      </c>
      <c r="G59" s="87">
        <f>IFERROR(__xludf.DUMMYFUNCTION("""COMPUTED_VALUE"""),-6.18083595309598)</f>
        <v>-6.180835953</v>
      </c>
      <c r="H59" s="86">
        <f>IFERROR(__xludf.DUMMYFUNCTION("""COMPUTED_VALUE"""),106.854399553577)</f>
        <v>106.8543996</v>
      </c>
      <c r="I59" s="85"/>
      <c r="J59" s="85"/>
      <c r="K59" s="85"/>
      <c r="L59" s="85"/>
      <c r="M59" s="85"/>
      <c r="N59" s="85"/>
      <c r="O59" s="85"/>
      <c r="P59" s="85"/>
      <c r="Q59" s="85"/>
      <c r="R59" s="43"/>
      <c r="S59" s="43"/>
      <c r="T59" s="43"/>
      <c r="U59" s="43"/>
      <c r="V59" s="43"/>
      <c r="W59" s="43"/>
      <c r="X59" s="43"/>
      <c r="Y59" s="43"/>
      <c r="Z59" s="43"/>
    </row>
    <row r="60">
      <c r="A60" s="86">
        <f>IFERROR(__xludf.DUMMYFUNCTION("""COMPUTED_VALUE"""),59.0)</f>
        <v>59</v>
      </c>
      <c r="B60" s="87">
        <f>IFERROR(__xludf.DUMMYFUNCTION("""COMPUTED_VALUE"""),59.0)</f>
        <v>59</v>
      </c>
      <c r="C60" s="88" t="str">
        <f>IFERROR(__xludf.DUMMYFUNCTION("""COMPUTED_VALUE"""),"Siti Rahayu")</f>
        <v>Siti Rahayu</v>
      </c>
      <c r="D60" s="87" t="str">
        <f>IFERROR(__xludf.DUMMYFUNCTION("""COMPUTED_VALUE"""),"6, 5")</f>
        <v>6, 5</v>
      </c>
      <c r="E60" s="87" t="str">
        <f>IFERROR(__xludf.DUMMYFUNCTION("""COMPUTED_VALUE"""),"3, 5")</f>
        <v>3, 5</v>
      </c>
      <c r="F60" s="87" t="str">
        <f>IFERROR(__xludf.DUMMYFUNCTION("""COMPUTED_VALUE"""),"1424, 1647")</f>
        <v>1424, 1647</v>
      </c>
      <c r="G60" s="87">
        <f>IFERROR(__xludf.DUMMYFUNCTION("""COMPUTED_VALUE"""),-6.29884789888643)</f>
        <v>-6.298847899</v>
      </c>
      <c r="H60" s="86">
        <f>IFERROR(__xludf.DUMMYFUNCTION("""COMPUTED_VALUE"""),106.985275381991)</f>
        <v>106.9852754</v>
      </c>
      <c r="I60" s="85"/>
      <c r="J60" s="85"/>
      <c r="K60" s="85"/>
      <c r="L60" s="85"/>
      <c r="M60" s="85"/>
      <c r="N60" s="85"/>
      <c r="O60" s="85"/>
      <c r="P60" s="85"/>
      <c r="Q60" s="85"/>
      <c r="R60" s="43"/>
      <c r="S60" s="43"/>
      <c r="T60" s="43"/>
      <c r="U60" s="43"/>
      <c r="V60" s="43"/>
      <c r="W60" s="43"/>
      <c r="X60" s="43"/>
      <c r="Y60" s="43"/>
      <c r="Z60" s="43"/>
    </row>
    <row r="61">
      <c r="A61" s="86">
        <f>IFERROR(__xludf.DUMMYFUNCTION("""COMPUTED_VALUE"""),60.0)</f>
        <v>60</v>
      </c>
      <c r="B61" s="87">
        <f>IFERROR(__xludf.DUMMYFUNCTION("""COMPUTED_VALUE"""),60.0)</f>
        <v>60</v>
      </c>
      <c r="C61" s="88" t="str">
        <f>IFERROR(__xludf.DUMMYFUNCTION("""COMPUTED_VALUE"""),"Rudi Septiani")</f>
        <v>Rudi Septiani</v>
      </c>
      <c r="D61" s="87" t="str">
        <f>IFERROR(__xludf.DUMMYFUNCTION("""COMPUTED_VALUE"""),"2, 6")</f>
        <v>2, 6</v>
      </c>
      <c r="E61" s="87" t="str">
        <f>IFERROR(__xludf.DUMMYFUNCTION("""COMPUTED_VALUE"""),"6, 2")</f>
        <v>6, 2</v>
      </c>
      <c r="F61" s="87" t="str">
        <f>IFERROR(__xludf.DUMMYFUNCTION("""COMPUTED_VALUE"""),"1652, 1334")</f>
        <v>1652, 1334</v>
      </c>
      <c r="G61" s="87">
        <f>IFERROR(__xludf.DUMMYFUNCTION("""COMPUTED_VALUE"""),-6.16581075124171)</f>
        <v>-6.165810751</v>
      </c>
      <c r="H61" s="86">
        <f>IFERROR(__xludf.DUMMYFUNCTION("""COMPUTED_VALUE"""),106.704603900844)</f>
        <v>106.7046039</v>
      </c>
      <c r="I61" s="85"/>
      <c r="J61" s="85"/>
      <c r="K61" s="85"/>
      <c r="L61" s="85"/>
      <c r="M61" s="85"/>
      <c r="N61" s="85"/>
      <c r="O61" s="85"/>
      <c r="P61" s="85"/>
      <c r="Q61" s="85"/>
      <c r="R61" s="43"/>
      <c r="S61" s="43"/>
      <c r="T61" s="43"/>
      <c r="U61" s="43"/>
      <c r="V61" s="43"/>
      <c r="W61" s="43"/>
      <c r="X61" s="43"/>
      <c r="Y61" s="43"/>
      <c r="Z61" s="43"/>
    </row>
    <row r="62">
      <c r="A62" s="86">
        <f>IFERROR(__xludf.DUMMYFUNCTION("""COMPUTED_VALUE"""),61.0)</f>
        <v>61</v>
      </c>
      <c r="B62" s="87">
        <f>IFERROR(__xludf.DUMMYFUNCTION("""COMPUTED_VALUE"""),61.0)</f>
        <v>61</v>
      </c>
      <c r="C62" s="88" t="str">
        <f>IFERROR(__xludf.DUMMYFUNCTION("""COMPUTED_VALUE"""),"Agus Setiawan")</f>
        <v>Agus Setiawan</v>
      </c>
      <c r="D62" s="87" t="str">
        <f>IFERROR(__xludf.DUMMYFUNCTION("""COMPUTED_VALUE"""),"2, 6")</f>
        <v>2, 6</v>
      </c>
      <c r="E62" s="87" t="str">
        <f>IFERROR(__xludf.DUMMYFUNCTION("""COMPUTED_VALUE"""),"4, 5")</f>
        <v>4, 5</v>
      </c>
      <c r="F62" s="87" t="str">
        <f>IFERROR(__xludf.DUMMYFUNCTION("""COMPUTED_VALUE"""),"114, 1637")</f>
        <v>114, 1637</v>
      </c>
      <c r="G62" s="87">
        <f>IFERROR(__xludf.DUMMYFUNCTION("""COMPUTED_VALUE"""),-6.12834155628419)</f>
        <v>-6.128341556</v>
      </c>
      <c r="H62" s="86">
        <f>IFERROR(__xludf.DUMMYFUNCTION("""COMPUTED_VALUE"""),106.62923426584)</f>
        <v>106.6292343</v>
      </c>
      <c r="I62" s="85"/>
      <c r="J62" s="85"/>
      <c r="K62" s="85"/>
      <c r="L62" s="85"/>
      <c r="M62" s="85"/>
      <c r="N62" s="85"/>
      <c r="O62" s="85"/>
      <c r="P62" s="85"/>
      <c r="Q62" s="85"/>
      <c r="R62" s="43"/>
      <c r="S62" s="43"/>
      <c r="T62" s="43"/>
      <c r="U62" s="43"/>
      <c r="V62" s="43"/>
      <c r="W62" s="43"/>
      <c r="X62" s="43"/>
      <c r="Y62" s="43"/>
      <c r="Z62" s="43"/>
    </row>
    <row r="63">
      <c r="A63" s="86">
        <f>IFERROR(__xludf.DUMMYFUNCTION("""COMPUTED_VALUE"""),62.0)</f>
        <v>62</v>
      </c>
      <c r="B63" s="87">
        <f>IFERROR(__xludf.DUMMYFUNCTION("""COMPUTED_VALUE"""),62.0)</f>
        <v>62</v>
      </c>
      <c r="C63" s="88" t="str">
        <f>IFERROR(__xludf.DUMMYFUNCTION("""COMPUTED_VALUE"""),"Joko Sari")</f>
        <v>Joko Sari</v>
      </c>
      <c r="D63" s="87" t="str">
        <f>IFERROR(__xludf.DUMMYFUNCTION("""COMPUTED_VALUE"""),"6, 2")</f>
        <v>6, 2</v>
      </c>
      <c r="E63" s="87" t="str">
        <f>IFERROR(__xludf.DUMMYFUNCTION("""COMPUTED_VALUE"""),"6, 1")</f>
        <v>6, 1</v>
      </c>
      <c r="F63" s="87" t="str">
        <f>IFERROR(__xludf.DUMMYFUNCTION("""COMPUTED_VALUE"""),"1636, 1424")</f>
        <v>1636, 1424</v>
      </c>
      <c r="G63" s="87">
        <f>IFERROR(__xludf.DUMMYFUNCTION("""COMPUTED_VALUE"""),-6.14267883654512)</f>
        <v>-6.142678837</v>
      </c>
      <c r="H63" s="86">
        <f>IFERROR(__xludf.DUMMYFUNCTION("""COMPUTED_VALUE"""),106.636045242422)</f>
        <v>106.6360452</v>
      </c>
      <c r="I63" s="85"/>
      <c r="J63" s="85"/>
      <c r="K63" s="85"/>
      <c r="L63" s="85"/>
      <c r="M63" s="85"/>
      <c r="N63" s="85"/>
      <c r="O63" s="85"/>
      <c r="P63" s="85"/>
      <c r="Q63" s="85"/>
      <c r="R63" s="43"/>
      <c r="S63" s="43"/>
      <c r="T63" s="43"/>
      <c r="U63" s="43"/>
      <c r="V63" s="43"/>
      <c r="W63" s="43"/>
      <c r="X63" s="43"/>
      <c r="Y63" s="43"/>
      <c r="Z63" s="43"/>
    </row>
    <row r="64">
      <c r="A64" s="86">
        <f>IFERROR(__xludf.DUMMYFUNCTION("""COMPUTED_VALUE"""),63.0)</f>
        <v>63</v>
      </c>
      <c r="B64" s="87">
        <f>IFERROR(__xludf.DUMMYFUNCTION("""COMPUTED_VALUE"""),63.0)</f>
        <v>63</v>
      </c>
      <c r="C64" s="88" t="str">
        <f>IFERROR(__xludf.DUMMYFUNCTION("""COMPUTED_VALUE"""),"Desi Putri")</f>
        <v>Desi Putri</v>
      </c>
      <c r="D64" s="87" t="str">
        <f>IFERROR(__xludf.DUMMYFUNCTION("""COMPUTED_VALUE"""),"1, 3")</f>
        <v>1, 3</v>
      </c>
      <c r="E64" s="87" t="str">
        <f>IFERROR(__xludf.DUMMYFUNCTION("""COMPUTED_VALUE"""),"2, 5")</f>
        <v>2, 5</v>
      </c>
      <c r="F64" s="87" t="str">
        <f>IFERROR(__xludf.DUMMYFUNCTION("""COMPUTED_VALUE"""),"1530, 1652")</f>
        <v>1530, 1652</v>
      </c>
      <c r="G64" s="87">
        <f>IFERROR(__xludf.DUMMYFUNCTION("""COMPUTED_VALUE"""),-6.22005784923106)</f>
        <v>-6.220057849</v>
      </c>
      <c r="H64" s="86">
        <f>IFERROR(__xludf.DUMMYFUNCTION("""COMPUTED_VALUE"""),106.942469107522)</f>
        <v>106.9424691</v>
      </c>
      <c r="I64" s="85"/>
      <c r="J64" s="85"/>
      <c r="K64" s="85"/>
      <c r="L64" s="85"/>
      <c r="M64" s="85"/>
      <c r="N64" s="85"/>
      <c r="O64" s="85"/>
      <c r="P64" s="85"/>
      <c r="Q64" s="85"/>
      <c r="R64" s="43"/>
      <c r="S64" s="43"/>
      <c r="T64" s="43"/>
      <c r="U64" s="43"/>
      <c r="V64" s="43"/>
      <c r="W64" s="43"/>
      <c r="X64" s="43"/>
      <c r="Y64" s="43"/>
      <c r="Z64" s="43"/>
    </row>
    <row r="65">
      <c r="A65" s="86">
        <f>IFERROR(__xludf.DUMMYFUNCTION("""COMPUTED_VALUE"""),64.0)</f>
        <v>64</v>
      </c>
      <c r="B65" s="87">
        <f>IFERROR(__xludf.DUMMYFUNCTION("""COMPUTED_VALUE"""),64.0)</f>
        <v>64</v>
      </c>
      <c r="C65" s="88" t="str">
        <f>IFERROR(__xludf.DUMMYFUNCTION("""COMPUTED_VALUE"""),"Fajar Utami")</f>
        <v>Fajar Utami</v>
      </c>
      <c r="D65" s="87" t="str">
        <f>IFERROR(__xludf.DUMMYFUNCTION("""COMPUTED_VALUE"""),"5, 6")</f>
        <v>5, 6</v>
      </c>
      <c r="E65" s="87" t="str">
        <f>IFERROR(__xludf.DUMMYFUNCTION("""COMPUTED_VALUE"""),"5, 2")</f>
        <v>5, 2</v>
      </c>
      <c r="F65" s="87" t="str">
        <f>IFERROR(__xludf.DUMMYFUNCTION("""COMPUTED_VALUE"""),"118, 1114")</f>
        <v>118, 1114</v>
      </c>
      <c r="G65" s="87">
        <f>IFERROR(__xludf.DUMMYFUNCTION("""COMPUTED_VALUE"""),-6.25249416204439)</f>
        <v>-6.252494162</v>
      </c>
      <c r="H65" s="86">
        <f>IFERROR(__xludf.DUMMYFUNCTION("""COMPUTED_VALUE"""),106.648194874227)</f>
        <v>106.6481949</v>
      </c>
      <c r="I65" s="85"/>
      <c r="J65" s="85"/>
      <c r="K65" s="85"/>
      <c r="L65" s="85"/>
      <c r="M65" s="85"/>
      <c r="N65" s="85"/>
      <c r="O65" s="85"/>
      <c r="P65" s="85"/>
      <c r="Q65" s="85"/>
      <c r="R65" s="43"/>
      <c r="S65" s="43"/>
      <c r="T65" s="43"/>
      <c r="U65" s="43"/>
      <c r="V65" s="43"/>
      <c r="W65" s="43"/>
      <c r="X65" s="43"/>
      <c r="Y65" s="43"/>
      <c r="Z65" s="43"/>
    </row>
    <row r="66">
      <c r="A66" s="86">
        <f>IFERROR(__xludf.DUMMYFUNCTION("""COMPUTED_VALUE"""),65.0)</f>
        <v>65</v>
      </c>
      <c r="B66" s="87">
        <f>IFERROR(__xludf.DUMMYFUNCTION("""COMPUTED_VALUE"""),65.0)</f>
        <v>65</v>
      </c>
      <c r="C66" s="88" t="str">
        <f>IFERROR(__xludf.DUMMYFUNCTION("""COMPUTED_VALUE"""),"Siti Pratama")</f>
        <v>Siti Pratama</v>
      </c>
      <c r="D66" s="87" t="str">
        <f>IFERROR(__xludf.DUMMYFUNCTION("""COMPUTED_VALUE"""),"2, 4")</f>
        <v>2, 4</v>
      </c>
      <c r="E66" s="87" t="str">
        <f>IFERROR(__xludf.DUMMYFUNCTION("""COMPUTED_VALUE"""),"5, 6")</f>
        <v>5, 6</v>
      </c>
      <c r="F66" s="87" t="str">
        <f>IFERROR(__xludf.DUMMYFUNCTION("""COMPUTED_VALUE"""),"1649, 1553")</f>
        <v>1649, 1553</v>
      </c>
      <c r="G66" s="87">
        <f>IFERROR(__xludf.DUMMYFUNCTION("""COMPUTED_VALUE"""),-6.15434546065982)</f>
        <v>-6.154345461</v>
      </c>
      <c r="H66" s="86">
        <f>IFERROR(__xludf.DUMMYFUNCTION("""COMPUTED_VALUE"""),106.814094257911)</f>
        <v>106.8140943</v>
      </c>
      <c r="I66" s="85"/>
      <c r="J66" s="85"/>
      <c r="K66" s="85"/>
      <c r="L66" s="85"/>
      <c r="M66" s="85"/>
      <c r="N66" s="85"/>
      <c r="O66" s="85"/>
      <c r="P66" s="85"/>
      <c r="Q66" s="85"/>
      <c r="R66" s="43"/>
      <c r="S66" s="43"/>
      <c r="T66" s="43"/>
      <c r="U66" s="43"/>
      <c r="V66" s="43"/>
      <c r="W66" s="43"/>
      <c r="X66" s="43"/>
      <c r="Y66" s="43"/>
      <c r="Z66" s="43"/>
    </row>
    <row r="67">
      <c r="A67" s="86">
        <f>IFERROR(__xludf.DUMMYFUNCTION("""COMPUTED_VALUE"""),66.0)</f>
        <v>66</v>
      </c>
      <c r="B67" s="87">
        <f>IFERROR(__xludf.DUMMYFUNCTION("""COMPUTED_VALUE"""),66.0)</f>
        <v>66</v>
      </c>
      <c r="C67" s="88" t="str">
        <f>IFERROR(__xludf.DUMMYFUNCTION("""COMPUTED_VALUE"""),"Agus Wijaya")</f>
        <v>Agus Wijaya</v>
      </c>
      <c r="D67" s="87" t="str">
        <f>IFERROR(__xludf.DUMMYFUNCTION("""COMPUTED_VALUE"""),"4, 1")</f>
        <v>4, 1</v>
      </c>
      <c r="E67" s="87" t="str">
        <f>IFERROR(__xludf.DUMMYFUNCTION("""COMPUTED_VALUE"""),"5, 3")</f>
        <v>5, 3</v>
      </c>
      <c r="F67" s="87" t="str">
        <f>IFERROR(__xludf.DUMMYFUNCTION("""COMPUTED_VALUE"""),"1641, 118")</f>
        <v>1641, 118</v>
      </c>
      <c r="G67" s="87">
        <f>IFERROR(__xludf.DUMMYFUNCTION("""COMPUTED_VALUE"""),-6.22451411300905)</f>
        <v>-6.224514113</v>
      </c>
      <c r="H67" s="86">
        <f>IFERROR(__xludf.DUMMYFUNCTION("""COMPUTED_VALUE"""),106.606554093452)</f>
        <v>106.6065541</v>
      </c>
      <c r="I67" s="85"/>
      <c r="J67" s="85"/>
      <c r="K67" s="85"/>
      <c r="L67" s="85"/>
      <c r="M67" s="85"/>
      <c r="N67" s="85"/>
      <c r="O67" s="85"/>
      <c r="P67" s="85"/>
      <c r="Q67" s="85"/>
      <c r="R67" s="43"/>
      <c r="S67" s="43"/>
      <c r="T67" s="43"/>
      <c r="U67" s="43"/>
      <c r="V67" s="43"/>
      <c r="W67" s="43"/>
      <c r="X67" s="43"/>
      <c r="Y67" s="43"/>
      <c r="Z67" s="43"/>
    </row>
    <row r="68">
      <c r="A68" s="86">
        <f>IFERROR(__xludf.DUMMYFUNCTION("""COMPUTED_VALUE"""),67.0)</f>
        <v>67</v>
      </c>
      <c r="B68" s="87">
        <f>IFERROR(__xludf.DUMMYFUNCTION("""COMPUTED_VALUE"""),67.0)</f>
        <v>67</v>
      </c>
      <c r="C68" s="88" t="str">
        <f>IFERROR(__xludf.DUMMYFUNCTION("""COMPUTED_VALUE"""),"Joko Pratama")</f>
        <v>Joko Pratama</v>
      </c>
      <c r="D68" s="87" t="str">
        <f>IFERROR(__xludf.DUMMYFUNCTION("""COMPUTED_VALUE"""),"5, 3")</f>
        <v>5, 3</v>
      </c>
      <c r="E68" s="87" t="str">
        <f>IFERROR(__xludf.DUMMYFUNCTION("""COMPUTED_VALUE"""),"1, 3")</f>
        <v>1, 3</v>
      </c>
      <c r="F68" s="87" t="str">
        <f>IFERROR(__xludf.DUMMYFUNCTION("""COMPUTED_VALUE"""),"3168, 1313")</f>
        <v>3168, 1313</v>
      </c>
      <c r="G68" s="87">
        <f>IFERROR(__xludf.DUMMYFUNCTION("""COMPUTED_VALUE"""),-6.24808914754641)</f>
        <v>-6.248089148</v>
      </c>
      <c r="H68" s="86">
        <f>IFERROR(__xludf.DUMMYFUNCTION("""COMPUTED_VALUE"""),106.597707564515)</f>
        <v>106.5977076</v>
      </c>
      <c r="I68" s="85"/>
      <c r="J68" s="85"/>
      <c r="K68" s="85"/>
      <c r="L68" s="85"/>
      <c r="M68" s="85"/>
      <c r="N68" s="85"/>
      <c r="O68" s="85"/>
      <c r="P68" s="85"/>
      <c r="Q68" s="85"/>
      <c r="R68" s="43"/>
      <c r="S68" s="43"/>
      <c r="T68" s="43"/>
      <c r="U68" s="43"/>
      <c r="V68" s="43"/>
      <c r="W68" s="43"/>
      <c r="X68" s="43"/>
      <c r="Y68" s="43"/>
      <c r="Z68" s="43"/>
    </row>
    <row r="69">
      <c r="A69" s="86">
        <f>IFERROR(__xludf.DUMMYFUNCTION("""COMPUTED_VALUE"""),68.0)</f>
        <v>68</v>
      </c>
      <c r="B69" s="87">
        <f>IFERROR(__xludf.DUMMYFUNCTION("""COMPUTED_VALUE"""),68.0)</f>
        <v>68</v>
      </c>
      <c r="C69" s="88" t="str">
        <f>IFERROR(__xludf.DUMMYFUNCTION("""COMPUTED_VALUE"""),"Wahyu Wijaya")</f>
        <v>Wahyu Wijaya</v>
      </c>
      <c r="D69" s="87" t="str">
        <f>IFERROR(__xludf.DUMMYFUNCTION("""COMPUTED_VALUE"""),"4, 3")</f>
        <v>4, 3</v>
      </c>
      <c r="E69" s="87" t="str">
        <f>IFERROR(__xludf.DUMMYFUNCTION("""COMPUTED_VALUE"""),"4, 6")</f>
        <v>4, 6</v>
      </c>
      <c r="F69" s="87" t="str">
        <f>IFERROR(__xludf.DUMMYFUNCTION("""COMPUTED_VALUE"""),"3168, 1519")</f>
        <v>3168, 1519</v>
      </c>
      <c r="G69" s="87">
        <f>IFERROR(__xludf.DUMMYFUNCTION("""COMPUTED_VALUE"""),-6.13391810158101)</f>
        <v>-6.133918102</v>
      </c>
      <c r="H69" s="86">
        <f>IFERROR(__xludf.DUMMYFUNCTION("""COMPUTED_VALUE"""),106.947441092138)</f>
        <v>106.9474411</v>
      </c>
      <c r="I69" s="85"/>
      <c r="J69" s="85"/>
      <c r="K69" s="85"/>
      <c r="L69" s="85"/>
      <c r="M69" s="85"/>
      <c r="N69" s="85"/>
      <c r="O69" s="85"/>
      <c r="P69" s="85"/>
      <c r="Q69" s="85"/>
      <c r="R69" s="43"/>
      <c r="S69" s="43"/>
      <c r="T69" s="43"/>
      <c r="U69" s="43"/>
      <c r="V69" s="43"/>
      <c r="W69" s="43"/>
      <c r="X69" s="43"/>
      <c r="Y69" s="43"/>
      <c r="Z69" s="43"/>
    </row>
    <row r="70">
      <c r="A70" s="86">
        <f>IFERROR(__xludf.DUMMYFUNCTION("""COMPUTED_VALUE"""),69.0)</f>
        <v>69</v>
      </c>
      <c r="B70" s="87">
        <f>IFERROR(__xludf.DUMMYFUNCTION("""COMPUTED_VALUE"""),69.0)</f>
        <v>69</v>
      </c>
      <c r="C70" s="88" t="str">
        <f>IFERROR(__xludf.DUMMYFUNCTION("""COMPUTED_VALUE"""),"Citra Rahayu")</f>
        <v>Citra Rahayu</v>
      </c>
      <c r="D70" s="87" t="str">
        <f>IFERROR(__xludf.DUMMYFUNCTION("""COMPUTED_VALUE"""),"3, 3")</f>
        <v>3, 3</v>
      </c>
      <c r="E70" s="87" t="str">
        <f>IFERROR(__xludf.DUMMYFUNCTION("""COMPUTED_VALUE"""),"5, 5")</f>
        <v>5, 5</v>
      </c>
      <c r="F70" s="87" t="str">
        <f>IFERROR(__xludf.DUMMYFUNCTION("""COMPUTED_VALUE"""),"3657, 1111")</f>
        <v>3657, 1111</v>
      </c>
      <c r="G70" s="87">
        <f>IFERROR(__xludf.DUMMYFUNCTION("""COMPUTED_VALUE"""),-6.15413871752397)</f>
        <v>-6.154138718</v>
      </c>
      <c r="H70" s="86">
        <f>IFERROR(__xludf.DUMMYFUNCTION("""COMPUTED_VALUE"""),106.945936149366)</f>
        <v>106.9459361</v>
      </c>
      <c r="I70" s="85"/>
      <c r="J70" s="85"/>
      <c r="K70" s="85"/>
      <c r="L70" s="85"/>
      <c r="M70" s="85"/>
      <c r="N70" s="85"/>
      <c r="O70" s="85"/>
      <c r="P70" s="85"/>
      <c r="Q70" s="85"/>
      <c r="R70" s="43"/>
      <c r="S70" s="43"/>
      <c r="T70" s="43"/>
      <c r="U70" s="43"/>
      <c r="V70" s="43"/>
      <c r="W70" s="43"/>
      <c r="X70" s="43"/>
      <c r="Y70" s="43"/>
      <c r="Z70" s="43"/>
    </row>
    <row r="71">
      <c r="A71" s="86">
        <f>IFERROR(__xludf.DUMMYFUNCTION("""COMPUTED_VALUE"""),70.0)</f>
        <v>70</v>
      </c>
      <c r="B71" s="87">
        <f>IFERROR(__xludf.DUMMYFUNCTION("""COMPUTED_VALUE"""),70.0)</f>
        <v>70</v>
      </c>
      <c r="C71" s="88" t="str">
        <f>IFERROR(__xludf.DUMMYFUNCTION("""COMPUTED_VALUE"""),"Fandi Hadiwijaya")</f>
        <v>Fandi Hadiwijaya</v>
      </c>
      <c r="D71" s="87" t="str">
        <f>IFERROR(__xludf.DUMMYFUNCTION("""COMPUTED_VALUE"""),"5, 2")</f>
        <v>5, 2</v>
      </c>
      <c r="E71" s="87" t="str">
        <f>IFERROR(__xludf.DUMMYFUNCTION("""COMPUTED_VALUE"""),"1, 4")</f>
        <v>1, 4</v>
      </c>
      <c r="F71" s="87" t="str">
        <f>IFERROR(__xludf.DUMMYFUNCTION("""COMPUTED_VALUE"""),"3167, 1418")</f>
        <v>3167, 1418</v>
      </c>
      <c r="G71" s="87">
        <f>IFERROR(__xludf.DUMMYFUNCTION("""COMPUTED_VALUE"""),-6.18421438763692)</f>
        <v>-6.184214388</v>
      </c>
      <c r="H71" s="86">
        <f>IFERROR(__xludf.DUMMYFUNCTION("""COMPUTED_VALUE"""),106.692359220325)</f>
        <v>106.6923592</v>
      </c>
      <c r="I71" s="85"/>
      <c r="J71" s="85"/>
      <c r="K71" s="85"/>
      <c r="L71" s="85"/>
      <c r="M71" s="85"/>
      <c r="N71" s="85"/>
      <c r="O71" s="85"/>
      <c r="P71" s="85"/>
      <c r="Q71" s="85"/>
      <c r="R71" s="43"/>
      <c r="S71" s="43"/>
      <c r="T71" s="43"/>
      <c r="U71" s="43"/>
      <c r="V71" s="43"/>
      <c r="W71" s="43"/>
      <c r="X71" s="43"/>
      <c r="Y71" s="43"/>
      <c r="Z71" s="43"/>
    </row>
    <row r="72">
      <c r="A72" s="86">
        <f>IFERROR(__xludf.DUMMYFUNCTION("""COMPUTED_VALUE"""),71.0)</f>
        <v>71</v>
      </c>
      <c r="B72" s="87">
        <f>IFERROR(__xludf.DUMMYFUNCTION("""COMPUTED_VALUE"""),71.0)</f>
        <v>71</v>
      </c>
      <c r="C72" s="88" t="str">
        <f>IFERROR(__xludf.DUMMYFUNCTION("""COMPUTED_VALUE"""),"Hadi Putri")</f>
        <v>Hadi Putri</v>
      </c>
      <c r="D72" s="87" t="str">
        <f>IFERROR(__xludf.DUMMYFUNCTION("""COMPUTED_VALUE"""),"2, 6")</f>
        <v>2, 6</v>
      </c>
      <c r="E72" s="87" t="str">
        <f>IFERROR(__xludf.DUMMYFUNCTION("""COMPUTED_VALUE"""),"3, 3")</f>
        <v>3, 3</v>
      </c>
      <c r="F72" s="87" t="str">
        <f>IFERROR(__xludf.DUMMYFUNCTION("""COMPUTED_VALUE"""),"3166, 118")</f>
        <v>3166, 118</v>
      </c>
      <c r="G72" s="87">
        <f>IFERROR(__xludf.DUMMYFUNCTION("""COMPUTED_VALUE"""),-6.15590553846606)</f>
        <v>-6.155905538</v>
      </c>
      <c r="H72" s="86">
        <f>IFERROR(__xludf.DUMMYFUNCTION("""COMPUTED_VALUE"""),106.981258769081)</f>
        <v>106.9812588</v>
      </c>
      <c r="I72" s="85"/>
      <c r="J72" s="85"/>
      <c r="K72" s="85"/>
      <c r="L72" s="85"/>
      <c r="M72" s="85"/>
      <c r="N72" s="85"/>
      <c r="O72" s="85"/>
      <c r="P72" s="85"/>
      <c r="Q72" s="85"/>
      <c r="R72" s="43"/>
      <c r="S72" s="43"/>
      <c r="T72" s="43"/>
      <c r="U72" s="43"/>
      <c r="V72" s="43"/>
      <c r="W72" s="43"/>
      <c r="X72" s="43"/>
      <c r="Y72" s="43"/>
      <c r="Z72" s="43"/>
    </row>
    <row r="73">
      <c r="A73" s="86">
        <f>IFERROR(__xludf.DUMMYFUNCTION("""COMPUTED_VALUE"""),72.0)</f>
        <v>72</v>
      </c>
      <c r="B73" s="87">
        <f>IFERROR(__xludf.DUMMYFUNCTION("""COMPUTED_VALUE"""),72.0)</f>
        <v>72</v>
      </c>
      <c r="C73" s="88" t="str">
        <f>IFERROR(__xludf.DUMMYFUNCTION("""COMPUTED_VALUE"""),"Wahyu Kurniawan")</f>
        <v>Wahyu Kurniawan</v>
      </c>
      <c r="D73" s="87" t="str">
        <f>IFERROR(__xludf.DUMMYFUNCTION("""COMPUTED_VALUE"""),"5, 2")</f>
        <v>5, 2</v>
      </c>
      <c r="E73" s="87" t="str">
        <f>IFERROR(__xludf.DUMMYFUNCTION("""COMPUTED_VALUE"""),"5, 3")</f>
        <v>5, 3</v>
      </c>
      <c r="F73" s="87" t="str">
        <f>IFERROR(__xludf.DUMMYFUNCTION("""COMPUTED_VALUE"""),"117, 116")</f>
        <v>117, 116</v>
      </c>
      <c r="G73" s="87">
        <f>IFERROR(__xludf.DUMMYFUNCTION("""COMPUTED_VALUE"""),-6.11524551049817)</f>
        <v>-6.11524551</v>
      </c>
      <c r="H73" s="86">
        <f>IFERROR(__xludf.DUMMYFUNCTION("""COMPUTED_VALUE"""),106.913761283198)</f>
        <v>106.9137613</v>
      </c>
      <c r="I73" s="85"/>
      <c r="J73" s="85"/>
      <c r="K73" s="85"/>
      <c r="L73" s="85"/>
      <c r="M73" s="85"/>
      <c r="N73" s="85"/>
      <c r="O73" s="85"/>
      <c r="P73" s="85"/>
      <c r="Q73" s="85"/>
      <c r="R73" s="43"/>
      <c r="S73" s="43"/>
      <c r="T73" s="43"/>
      <c r="U73" s="43"/>
      <c r="V73" s="43"/>
      <c r="W73" s="43"/>
      <c r="X73" s="43"/>
      <c r="Y73" s="43"/>
      <c r="Z73" s="43"/>
    </row>
    <row r="74">
      <c r="A74" s="86">
        <f>IFERROR(__xludf.DUMMYFUNCTION("""COMPUTED_VALUE"""),73.0)</f>
        <v>73</v>
      </c>
      <c r="B74" s="87">
        <f>IFERROR(__xludf.DUMMYFUNCTION("""COMPUTED_VALUE"""),73.0)</f>
        <v>73</v>
      </c>
      <c r="C74" s="88" t="str">
        <f>IFERROR(__xludf.DUMMYFUNCTION("""COMPUTED_VALUE"""),"Hadi Santoso")</f>
        <v>Hadi Santoso</v>
      </c>
      <c r="D74" s="87" t="str">
        <f>IFERROR(__xludf.DUMMYFUNCTION("""COMPUTED_VALUE"""),"5, 6")</f>
        <v>5, 6</v>
      </c>
      <c r="E74" s="87" t="str">
        <f>IFERROR(__xludf.DUMMYFUNCTION("""COMPUTED_VALUE"""),"6, 3")</f>
        <v>6, 3</v>
      </c>
      <c r="F74" s="87" t="str">
        <f>IFERROR(__xludf.DUMMYFUNCTION("""COMPUTED_VALUE"""),"116, 1642")</f>
        <v>116, 1642</v>
      </c>
      <c r="G74" s="87">
        <f>IFERROR(__xludf.DUMMYFUNCTION("""COMPUTED_VALUE"""),-6.19522465529604)</f>
        <v>-6.195224655</v>
      </c>
      <c r="H74" s="86">
        <f>IFERROR(__xludf.DUMMYFUNCTION("""COMPUTED_VALUE"""),106.965972157828)</f>
        <v>106.9659722</v>
      </c>
      <c r="I74" s="85"/>
      <c r="J74" s="85"/>
      <c r="K74" s="85"/>
      <c r="L74" s="85"/>
      <c r="M74" s="85"/>
      <c r="N74" s="85"/>
      <c r="O74" s="85"/>
      <c r="P74" s="85"/>
      <c r="Q74" s="85"/>
      <c r="R74" s="43"/>
      <c r="S74" s="43"/>
      <c r="T74" s="43"/>
      <c r="U74" s="43"/>
      <c r="V74" s="43"/>
      <c r="W74" s="43"/>
      <c r="X74" s="43"/>
      <c r="Y74" s="43"/>
      <c r="Z74" s="43"/>
    </row>
    <row r="75">
      <c r="A75" s="86">
        <f>IFERROR(__xludf.DUMMYFUNCTION("""COMPUTED_VALUE"""),74.0)</f>
        <v>74</v>
      </c>
      <c r="B75" s="87">
        <f>IFERROR(__xludf.DUMMYFUNCTION("""COMPUTED_VALUE"""),74.0)</f>
        <v>74</v>
      </c>
      <c r="C75" s="88" t="str">
        <f>IFERROR(__xludf.DUMMYFUNCTION("""COMPUTED_VALUE"""),"Arif Purnama")</f>
        <v>Arif Purnama</v>
      </c>
      <c r="D75" s="87" t="str">
        <f>IFERROR(__xludf.DUMMYFUNCTION("""COMPUTED_VALUE"""),"5, 2")</f>
        <v>5, 2</v>
      </c>
      <c r="E75" s="87" t="str">
        <f>IFERROR(__xludf.DUMMYFUNCTION("""COMPUTED_VALUE"""),"3, 2")</f>
        <v>3, 2</v>
      </c>
      <c r="F75" s="87" t="str">
        <f>IFERROR(__xludf.DUMMYFUNCTION("""COMPUTED_VALUE"""),"3658, 1638")</f>
        <v>3658, 1638</v>
      </c>
      <c r="G75" s="87">
        <f>IFERROR(__xludf.DUMMYFUNCTION("""COMPUTED_VALUE"""),-6.21068574435054)</f>
        <v>-6.210685744</v>
      </c>
      <c r="H75" s="86">
        <f>IFERROR(__xludf.DUMMYFUNCTION("""COMPUTED_VALUE"""),106.85221900166)</f>
        <v>106.852219</v>
      </c>
      <c r="I75" s="85"/>
      <c r="J75" s="85"/>
      <c r="K75" s="85"/>
      <c r="L75" s="85"/>
      <c r="M75" s="85"/>
      <c r="N75" s="85"/>
      <c r="O75" s="85"/>
      <c r="P75" s="85"/>
      <c r="Q75" s="85"/>
      <c r="R75" s="43"/>
      <c r="S75" s="43"/>
      <c r="T75" s="43"/>
      <c r="U75" s="43"/>
      <c r="V75" s="43"/>
      <c r="W75" s="43"/>
      <c r="X75" s="43"/>
      <c r="Y75" s="43"/>
      <c r="Z75" s="43"/>
    </row>
    <row r="76">
      <c r="A76" s="86">
        <f>IFERROR(__xludf.DUMMYFUNCTION("""COMPUTED_VALUE"""),75.0)</f>
        <v>75</v>
      </c>
      <c r="B76" s="87">
        <f>IFERROR(__xludf.DUMMYFUNCTION("""COMPUTED_VALUE"""),75.0)</f>
        <v>75</v>
      </c>
      <c r="C76" s="88" t="str">
        <f>IFERROR(__xludf.DUMMYFUNCTION("""COMPUTED_VALUE"""),"Citra Sari")</f>
        <v>Citra Sari</v>
      </c>
      <c r="D76" s="87" t="str">
        <f>IFERROR(__xludf.DUMMYFUNCTION("""COMPUTED_VALUE"""),"1, 2")</f>
        <v>1, 2</v>
      </c>
      <c r="E76" s="87" t="str">
        <f>IFERROR(__xludf.DUMMYFUNCTION("""COMPUTED_VALUE"""),"2, 5")</f>
        <v>2, 5</v>
      </c>
      <c r="F76" s="87" t="str">
        <f>IFERROR(__xludf.DUMMYFUNCTION("""COMPUTED_VALUE"""),"1648, 1110")</f>
        <v>1648, 1110</v>
      </c>
      <c r="G76" s="87">
        <f>IFERROR(__xludf.DUMMYFUNCTION("""COMPUTED_VALUE"""),-6.20473246957695)</f>
        <v>-6.20473247</v>
      </c>
      <c r="H76" s="86">
        <f>IFERROR(__xludf.DUMMYFUNCTION("""COMPUTED_VALUE"""),106.958241964481)</f>
        <v>106.958242</v>
      </c>
      <c r="I76" s="85"/>
      <c r="J76" s="85"/>
      <c r="K76" s="85"/>
      <c r="L76" s="85"/>
      <c r="M76" s="85"/>
      <c r="N76" s="85"/>
      <c r="O76" s="85"/>
      <c r="P76" s="85"/>
      <c r="Q76" s="85"/>
      <c r="R76" s="43"/>
      <c r="S76" s="43"/>
      <c r="T76" s="43"/>
      <c r="U76" s="43"/>
      <c r="V76" s="43"/>
      <c r="W76" s="43"/>
      <c r="X76" s="43"/>
      <c r="Y76" s="43"/>
      <c r="Z76" s="43"/>
    </row>
    <row r="77">
      <c r="A77" s="86">
        <f>IFERROR(__xludf.DUMMYFUNCTION("""COMPUTED_VALUE"""),76.0)</f>
        <v>76</v>
      </c>
      <c r="B77" s="87">
        <f>IFERROR(__xludf.DUMMYFUNCTION("""COMPUTED_VALUE"""),76.0)</f>
        <v>76</v>
      </c>
      <c r="C77" s="88" t="str">
        <f>IFERROR(__xludf.DUMMYFUNCTION("""COMPUTED_VALUE"""),"Sinta Hidayat")</f>
        <v>Sinta Hidayat</v>
      </c>
      <c r="D77" s="87" t="str">
        <f>IFERROR(__xludf.DUMMYFUNCTION("""COMPUTED_VALUE"""),"5, 1")</f>
        <v>5, 1</v>
      </c>
      <c r="E77" s="87" t="str">
        <f>IFERROR(__xludf.DUMMYFUNCTION("""COMPUTED_VALUE"""),"3, 2")</f>
        <v>3, 2</v>
      </c>
      <c r="F77" s="87" t="str">
        <f>IFERROR(__xludf.DUMMYFUNCTION("""COMPUTED_VALUE"""),"3455, 1416")</f>
        <v>3455, 1416</v>
      </c>
      <c r="G77" s="87">
        <f>IFERROR(__xludf.DUMMYFUNCTION("""COMPUTED_VALUE"""),-6.21502709417077)</f>
        <v>-6.215027094</v>
      </c>
      <c r="H77" s="86">
        <f>IFERROR(__xludf.DUMMYFUNCTION("""COMPUTED_VALUE"""),106.601736480892)</f>
        <v>106.6017365</v>
      </c>
      <c r="I77" s="85"/>
      <c r="J77" s="85"/>
      <c r="K77" s="85"/>
      <c r="L77" s="85"/>
      <c r="M77" s="85"/>
      <c r="N77" s="85"/>
      <c r="O77" s="85"/>
      <c r="P77" s="85"/>
      <c r="Q77" s="85"/>
      <c r="R77" s="43"/>
      <c r="S77" s="43"/>
      <c r="T77" s="43"/>
      <c r="U77" s="43"/>
      <c r="V77" s="43"/>
      <c r="W77" s="43"/>
      <c r="X77" s="43"/>
      <c r="Y77" s="43"/>
      <c r="Z77" s="43"/>
    </row>
    <row r="78">
      <c r="A78" s="86">
        <f>IFERROR(__xludf.DUMMYFUNCTION("""COMPUTED_VALUE"""),77.0)</f>
        <v>77</v>
      </c>
      <c r="B78" s="87">
        <f>IFERROR(__xludf.DUMMYFUNCTION("""COMPUTED_VALUE"""),77.0)</f>
        <v>77</v>
      </c>
      <c r="C78" s="88" t="str">
        <f>IFERROR(__xludf.DUMMYFUNCTION("""COMPUTED_VALUE"""),"Desi Wijaya")</f>
        <v>Desi Wijaya</v>
      </c>
      <c r="D78" s="87" t="str">
        <f>IFERROR(__xludf.DUMMYFUNCTION("""COMPUTED_VALUE"""),"4, 4")</f>
        <v>4, 4</v>
      </c>
      <c r="E78" s="87" t="str">
        <f>IFERROR(__xludf.DUMMYFUNCTION("""COMPUTED_VALUE"""),"3, 1")</f>
        <v>3, 1</v>
      </c>
      <c r="F78" s="87" t="str">
        <f>IFERROR(__xludf.DUMMYFUNCTION("""COMPUTED_VALUE"""),"1649, 1529")</f>
        <v>1649, 1529</v>
      </c>
      <c r="G78" s="87">
        <f>IFERROR(__xludf.DUMMYFUNCTION("""COMPUTED_VALUE"""),-6.33961719047682)</f>
        <v>-6.33961719</v>
      </c>
      <c r="H78" s="86">
        <f>IFERROR(__xludf.DUMMYFUNCTION("""COMPUTED_VALUE"""),106.923118669709)</f>
        <v>106.9231187</v>
      </c>
      <c r="I78" s="85"/>
      <c r="J78" s="85"/>
      <c r="K78" s="85"/>
      <c r="L78" s="85"/>
      <c r="M78" s="85"/>
      <c r="N78" s="85"/>
      <c r="O78" s="85"/>
      <c r="P78" s="85"/>
      <c r="Q78" s="85"/>
      <c r="R78" s="43"/>
      <c r="S78" s="43"/>
      <c r="T78" s="43"/>
      <c r="U78" s="43"/>
      <c r="V78" s="43"/>
      <c r="W78" s="43"/>
      <c r="X78" s="43"/>
      <c r="Y78" s="43"/>
      <c r="Z78" s="43"/>
    </row>
    <row r="79">
      <c r="A79" s="86">
        <f>IFERROR(__xludf.DUMMYFUNCTION("""COMPUTED_VALUE"""),78.0)</f>
        <v>78</v>
      </c>
      <c r="B79" s="87">
        <f>IFERROR(__xludf.DUMMYFUNCTION("""COMPUTED_VALUE"""),78.0)</f>
        <v>78</v>
      </c>
      <c r="C79" s="88" t="str">
        <f>IFERROR(__xludf.DUMMYFUNCTION("""COMPUTED_VALUE"""),"Fandi Putri")</f>
        <v>Fandi Putri</v>
      </c>
      <c r="D79" s="87" t="str">
        <f>IFERROR(__xludf.DUMMYFUNCTION("""COMPUTED_VALUE"""),"3, 2")</f>
        <v>3, 2</v>
      </c>
      <c r="E79" s="87" t="str">
        <f>IFERROR(__xludf.DUMMYFUNCTION("""COMPUTED_VALUE"""),"3, 3")</f>
        <v>3, 3</v>
      </c>
      <c r="F79" s="87" t="str">
        <f>IFERROR(__xludf.DUMMYFUNCTION("""COMPUTED_VALUE"""),"115, 1332")</f>
        <v>115, 1332</v>
      </c>
      <c r="G79" s="87">
        <f>IFERROR(__xludf.DUMMYFUNCTION("""COMPUTED_VALUE"""),-6.34418057846838)</f>
        <v>-6.344180578</v>
      </c>
      <c r="H79" s="86">
        <f>IFERROR(__xludf.DUMMYFUNCTION("""COMPUTED_VALUE"""),106.753233674412)</f>
        <v>106.7532337</v>
      </c>
      <c r="I79" s="85"/>
      <c r="J79" s="85"/>
      <c r="K79" s="85"/>
      <c r="L79" s="85"/>
      <c r="M79" s="85"/>
      <c r="N79" s="85"/>
      <c r="O79" s="85"/>
      <c r="P79" s="85"/>
      <c r="Q79" s="85"/>
      <c r="R79" s="43"/>
      <c r="S79" s="43"/>
      <c r="T79" s="43"/>
      <c r="U79" s="43"/>
      <c r="V79" s="43"/>
      <c r="W79" s="43"/>
      <c r="X79" s="43"/>
      <c r="Y79" s="43"/>
      <c r="Z79" s="43"/>
    </row>
    <row r="80">
      <c r="A80" s="86">
        <f>IFERROR(__xludf.DUMMYFUNCTION("""COMPUTED_VALUE"""),79.0)</f>
        <v>79</v>
      </c>
      <c r="B80" s="87">
        <f>IFERROR(__xludf.DUMMYFUNCTION("""COMPUTED_VALUE"""),79.0)</f>
        <v>79</v>
      </c>
      <c r="C80" s="88" t="str">
        <f>IFERROR(__xludf.DUMMYFUNCTION("""COMPUTED_VALUE"""),"Arif Nugroho")</f>
        <v>Arif Nugroho</v>
      </c>
      <c r="D80" s="87" t="str">
        <f>IFERROR(__xludf.DUMMYFUNCTION("""COMPUTED_VALUE"""),"6, 1")</f>
        <v>6, 1</v>
      </c>
      <c r="E80" s="87" t="str">
        <f>IFERROR(__xludf.DUMMYFUNCTION("""COMPUTED_VALUE"""),"2, 3")</f>
        <v>2, 3</v>
      </c>
      <c r="F80" s="87" t="str">
        <f>IFERROR(__xludf.DUMMYFUNCTION("""COMPUTED_VALUE"""),"1420, 3164")</f>
        <v>1420, 3164</v>
      </c>
      <c r="G80" s="87">
        <f>IFERROR(__xludf.DUMMYFUNCTION("""COMPUTED_VALUE"""),-6.24143778458296)</f>
        <v>-6.241437785</v>
      </c>
      <c r="H80" s="86">
        <f>IFERROR(__xludf.DUMMYFUNCTION("""COMPUTED_VALUE"""),107.007926631047)</f>
        <v>107.0079266</v>
      </c>
      <c r="I80" s="85"/>
      <c r="J80" s="85"/>
      <c r="K80" s="85"/>
      <c r="L80" s="85"/>
      <c r="M80" s="85"/>
      <c r="N80" s="85"/>
      <c r="O80" s="85"/>
      <c r="P80" s="85"/>
      <c r="Q80" s="85"/>
      <c r="R80" s="43"/>
      <c r="S80" s="43"/>
      <c r="T80" s="43"/>
      <c r="U80" s="43"/>
      <c r="V80" s="43"/>
      <c r="W80" s="43"/>
      <c r="X80" s="43"/>
      <c r="Y80" s="43"/>
      <c r="Z80" s="43"/>
    </row>
    <row r="81">
      <c r="A81" s="86">
        <f>IFERROR(__xludf.DUMMYFUNCTION("""COMPUTED_VALUE"""),80.0)</f>
        <v>80</v>
      </c>
      <c r="B81" s="87">
        <f>IFERROR(__xludf.DUMMYFUNCTION("""COMPUTED_VALUE"""),80.0)</f>
        <v>80</v>
      </c>
      <c r="C81" s="88" t="str">
        <f>IFERROR(__xludf.DUMMYFUNCTION("""COMPUTED_VALUE"""),"Sinta Susanto")</f>
        <v>Sinta Susanto</v>
      </c>
      <c r="D81" s="87" t="str">
        <f>IFERROR(__xludf.DUMMYFUNCTION("""COMPUTED_VALUE"""),"5, 5")</f>
        <v>5, 5</v>
      </c>
      <c r="E81" s="87" t="str">
        <f>IFERROR(__xludf.DUMMYFUNCTION("""COMPUTED_VALUE"""),"5, 2")</f>
        <v>5, 2</v>
      </c>
      <c r="F81" s="87" t="str">
        <f>IFERROR(__xludf.DUMMYFUNCTION("""COMPUTED_VALUE"""),"122, 1645")</f>
        <v>122, 1645</v>
      </c>
      <c r="G81" s="87">
        <f>IFERROR(__xludf.DUMMYFUNCTION("""COMPUTED_VALUE"""),-6.34214214322749)</f>
        <v>-6.342142143</v>
      </c>
      <c r="H81" s="86">
        <f>IFERROR(__xludf.DUMMYFUNCTION("""COMPUTED_VALUE"""),106.917695712519)</f>
        <v>106.9176957</v>
      </c>
      <c r="I81" s="85"/>
      <c r="J81" s="85"/>
      <c r="K81" s="85"/>
      <c r="L81" s="85"/>
      <c r="M81" s="85"/>
      <c r="N81" s="85"/>
      <c r="O81" s="85"/>
      <c r="P81" s="85"/>
      <c r="Q81" s="85"/>
      <c r="R81" s="43"/>
      <c r="S81" s="43"/>
      <c r="T81" s="43"/>
      <c r="U81" s="43"/>
      <c r="V81" s="43"/>
      <c r="W81" s="43"/>
      <c r="X81" s="43"/>
      <c r="Y81" s="43"/>
      <c r="Z81" s="43"/>
    </row>
    <row r="82">
      <c r="A82" s="86">
        <f>IFERROR(__xludf.DUMMYFUNCTION("""COMPUTED_VALUE"""),81.0)</f>
        <v>81</v>
      </c>
      <c r="B82" s="87">
        <f>IFERROR(__xludf.DUMMYFUNCTION("""COMPUTED_VALUE"""),81.0)</f>
        <v>81</v>
      </c>
      <c r="C82" s="88" t="str">
        <f>IFERROR(__xludf.DUMMYFUNCTION("""COMPUTED_VALUE"""),"Lina Rahayu")</f>
        <v>Lina Rahayu</v>
      </c>
      <c r="D82" s="87" t="str">
        <f>IFERROR(__xludf.DUMMYFUNCTION("""COMPUTED_VALUE"""),"2, 4")</f>
        <v>2, 4</v>
      </c>
      <c r="E82" s="87" t="str">
        <f>IFERROR(__xludf.DUMMYFUNCTION("""COMPUTED_VALUE"""),"2, 1")</f>
        <v>2, 1</v>
      </c>
      <c r="F82" s="87" t="str">
        <f>IFERROR(__xludf.DUMMYFUNCTION("""COMPUTED_VALUE"""),"1529, 1648")</f>
        <v>1529, 1648</v>
      </c>
      <c r="G82" s="87">
        <f>IFERROR(__xludf.DUMMYFUNCTION("""COMPUTED_VALUE"""),-6.09345889403517)</f>
        <v>-6.093458894</v>
      </c>
      <c r="H82" s="86">
        <f>IFERROR(__xludf.DUMMYFUNCTION("""COMPUTED_VALUE"""),106.767319379438)</f>
        <v>106.7673194</v>
      </c>
      <c r="I82" s="85"/>
      <c r="J82" s="85"/>
      <c r="K82" s="85"/>
      <c r="L82" s="85"/>
      <c r="M82" s="85"/>
      <c r="N82" s="85"/>
      <c r="O82" s="85"/>
      <c r="P82" s="85"/>
      <c r="Q82" s="85"/>
      <c r="R82" s="43"/>
      <c r="S82" s="43"/>
      <c r="T82" s="43"/>
      <c r="U82" s="43"/>
      <c r="V82" s="43"/>
      <c r="W82" s="43"/>
      <c r="X82" s="43"/>
      <c r="Y82" s="43"/>
      <c r="Z82" s="43"/>
    </row>
    <row r="83">
      <c r="A83" s="86">
        <f>IFERROR(__xludf.DUMMYFUNCTION("""COMPUTED_VALUE"""),82.0)</f>
        <v>82</v>
      </c>
      <c r="B83" s="87">
        <f>IFERROR(__xludf.DUMMYFUNCTION("""COMPUTED_VALUE"""),82.0)</f>
        <v>82</v>
      </c>
      <c r="C83" s="88" t="str">
        <f>IFERROR(__xludf.DUMMYFUNCTION("""COMPUTED_VALUE"""),"Fandi Nurhayati")</f>
        <v>Fandi Nurhayati</v>
      </c>
      <c r="D83" s="87" t="str">
        <f>IFERROR(__xludf.DUMMYFUNCTION("""COMPUTED_VALUE"""),"5, 2")</f>
        <v>5, 2</v>
      </c>
      <c r="E83" s="87" t="str">
        <f>IFERROR(__xludf.DUMMYFUNCTION("""COMPUTED_VALUE"""),"3, 2")</f>
        <v>3, 2</v>
      </c>
      <c r="F83" s="87" t="str">
        <f>IFERROR(__xludf.DUMMYFUNCTION("""COMPUTED_VALUE"""),"1114, 1313")</f>
        <v>1114, 1313</v>
      </c>
      <c r="G83" s="87">
        <f>IFERROR(__xludf.DUMMYFUNCTION("""COMPUTED_VALUE"""),-6.09454937808736)</f>
        <v>-6.094549378</v>
      </c>
      <c r="H83" s="86">
        <f>IFERROR(__xludf.DUMMYFUNCTION("""COMPUTED_VALUE"""),106.914544728732)</f>
        <v>106.9145447</v>
      </c>
      <c r="I83" s="85"/>
      <c r="J83" s="85"/>
      <c r="K83" s="85"/>
      <c r="L83" s="85"/>
      <c r="M83" s="85"/>
      <c r="N83" s="85"/>
      <c r="O83" s="85"/>
      <c r="P83" s="85"/>
      <c r="Q83" s="85"/>
      <c r="R83" s="43"/>
      <c r="S83" s="43"/>
      <c r="T83" s="43"/>
      <c r="U83" s="43"/>
      <c r="V83" s="43"/>
      <c r="W83" s="43"/>
      <c r="X83" s="43"/>
      <c r="Y83" s="43"/>
      <c r="Z83" s="43"/>
    </row>
    <row r="84">
      <c r="A84" s="86">
        <f>IFERROR(__xludf.DUMMYFUNCTION("""COMPUTED_VALUE"""),83.0)</f>
        <v>83</v>
      </c>
      <c r="B84" s="87">
        <f>IFERROR(__xludf.DUMMYFUNCTION("""COMPUTED_VALUE"""),83.0)</f>
        <v>83</v>
      </c>
      <c r="C84" s="88" t="str">
        <f>IFERROR(__xludf.DUMMYFUNCTION("""COMPUTED_VALUE"""),"Sinta Nurhayati")</f>
        <v>Sinta Nurhayati</v>
      </c>
      <c r="D84" s="87" t="str">
        <f>IFERROR(__xludf.DUMMYFUNCTION("""COMPUTED_VALUE"""),"2, 3")</f>
        <v>2, 3</v>
      </c>
      <c r="E84" s="87" t="str">
        <f>IFERROR(__xludf.DUMMYFUNCTION("""COMPUTED_VALUE"""),"5, 5")</f>
        <v>5, 5</v>
      </c>
      <c r="F84" s="87" t="str">
        <f>IFERROR(__xludf.DUMMYFUNCTION("""COMPUTED_VALUE"""),"1212, 113")</f>
        <v>1212, 113</v>
      </c>
      <c r="G84" s="87">
        <f>IFERROR(__xludf.DUMMYFUNCTION("""COMPUTED_VALUE"""),-6.21985736261536)</f>
        <v>-6.219857363</v>
      </c>
      <c r="H84" s="86">
        <f>IFERROR(__xludf.DUMMYFUNCTION("""COMPUTED_VALUE"""),106.724761488041)</f>
        <v>106.7247615</v>
      </c>
      <c r="I84" s="85"/>
      <c r="J84" s="85"/>
      <c r="K84" s="85"/>
      <c r="L84" s="85"/>
      <c r="M84" s="85"/>
      <c r="N84" s="85"/>
      <c r="O84" s="85"/>
      <c r="P84" s="85"/>
      <c r="Q84" s="85"/>
      <c r="R84" s="43"/>
      <c r="S84" s="43"/>
      <c r="T84" s="43"/>
      <c r="U84" s="43"/>
      <c r="V84" s="43"/>
      <c r="W84" s="43"/>
      <c r="X84" s="43"/>
      <c r="Y84" s="43"/>
      <c r="Z84" s="43"/>
    </row>
    <row r="85">
      <c r="A85" s="86">
        <f>IFERROR(__xludf.DUMMYFUNCTION("""COMPUTED_VALUE"""),84.0)</f>
        <v>84</v>
      </c>
      <c r="B85" s="87">
        <f>IFERROR(__xludf.DUMMYFUNCTION("""COMPUTED_VALUE"""),84.0)</f>
        <v>84</v>
      </c>
      <c r="C85" s="88" t="str">
        <f>IFERROR(__xludf.DUMMYFUNCTION("""COMPUTED_VALUE"""),"Budi Hermawan")</f>
        <v>Budi Hermawan</v>
      </c>
      <c r="D85" s="87" t="str">
        <f>IFERROR(__xludf.DUMMYFUNCTION("""COMPUTED_VALUE"""),"4, 5")</f>
        <v>4, 5</v>
      </c>
      <c r="E85" s="87" t="str">
        <f>IFERROR(__xludf.DUMMYFUNCTION("""COMPUTED_VALUE"""),"5, 5")</f>
        <v>5, 5</v>
      </c>
      <c r="F85" s="87" t="str">
        <f>IFERROR(__xludf.DUMMYFUNCTION("""COMPUTED_VALUE"""),"1332, 115")</f>
        <v>1332, 115</v>
      </c>
      <c r="G85" s="87">
        <f>IFERROR(__xludf.DUMMYFUNCTION("""COMPUTED_VALUE"""),-6.14297241451457)</f>
        <v>-6.142972415</v>
      </c>
      <c r="H85" s="86">
        <f>IFERROR(__xludf.DUMMYFUNCTION("""COMPUTED_VALUE"""),106.829134648597)</f>
        <v>106.8291346</v>
      </c>
      <c r="I85" s="85"/>
      <c r="J85" s="85"/>
      <c r="K85" s="85"/>
      <c r="L85" s="85"/>
      <c r="M85" s="85"/>
      <c r="N85" s="85"/>
      <c r="O85" s="85"/>
      <c r="P85" s="85"/>
      <c r="Q85" s="85"/>
      <c r="R85" s="43"/>
      <c r="S85" s="43"/>
      <c r="T85" s="43"/>
      <c r="U85" s="43"/>
      <c r="V85" s="43"/>
      <c r="W85" s="43"/>
      <c r="X85" s="43"/>
      <c r="Y85" s="43"/>
      <c r="Z85" s="43"/>
    </row>
    <row r="86">
      <c r="A86" s="86">
        <f>IFERROR(__xludf.DUMMYFUNCTION("""COMPUTED_VALUE"""),85.0)</f>
        <v>85</v>
      </c>
      <c r="B86" s="87">
        <f>IFERROR(__xludf.DUMMYFUNCTION("""COMPUTED_VALUE"""),85.0)</f>
        <v>85</v>
      </c>
      <c r="C86" s="88" t="str">
        <f>IFERROR(__xludf.DUMMYFUNCTION("""COMPUTED_VALUE"""),"Maya Susanto")</f>
        <v>Maya Susanto</v>
      </c>
      <c r="D86" s="87" t="str">
        <f>IFERROR(__xludf.DUMMYFUNCTION("""COMPUTED_VALUE"""),"2, 5")</f>
        <v>2, 5</v>
      </c>
      <c r="E86" s="87" t="str">
        <f>IFERROR(__xludf.DUMMYFUNCTION("""COMPUTED_VALUE"""),"6, 5")</f>
        <v>6, 5</v>
      </c>
      <c r="F86" s="87" t="str">
        <f>IFERROR(__xludf.DUMMYFUNCTION("""COMPUTED_VALUE"""),"1640, 1529")</f>
        <v>1640, 1529</v>
      </c>
      <c r="G86" s="87">
        <f>IFERROR(__xludf.DUMMYFUNCTION("""COMPUTED_VALUE"""),-6.27062084459108)</f>
        <v>-6.270620845</v>
      </c>
      <c r="H86" s="86">
        <f>IFERROR(__xludf.DUMMYFUNCTION("""COMPUTED_VALUE"""),106.966034998976)</f>
        <v>106.966035</v>
      </c>
      <c r="I86" s="85"/>
      <c r="J86" s="85"/>
      <c r="K86" s="85"/>
      <c r="L86" s="85"/>
      <c r="M86" s="85"/>
      <c r="N86" s="85"/>
      <c r="O86" s="85"/>
      <c r="P86" s="85"/>
      <c r="Q86" s="85"/>
      <c r="R86" s="43"/>
      <c r="S86" s="43"/>
      <c r="T86" s="43"/>
      <c r="U86" s="43"/>
      <c r="V86" s="43"/>
      <c r="W86" s="43"/>
      <c r="X86" s="43"/>
      <c r="Y86" s="43"/>
      <c r="Z86" s="43"/>
    </row>
    <row r="87">
      <c r="A87" s="86">
        <f>IFERROR(__xludf.DUMMYFUNCTION("""COMPUTED_VALUE"""),86.0)</f>
        <v>86</v>
      </c>
      <c r="B87" s="87">
        <f>IFERROR(__xludf.DUMMYFUNCTION("""COMPUTED_VALUE"""),86.0)</f>
        <v>86</v>
      </c>
      <c r="C87" s="88" t="str">
        <f>IFERROR(__xludf.DUMMYFUNCTION("""COMPUTED_VALUE"""),"Lina Santoso")</f>
        <v>Lina Santoso</v>
      </c>
      <c r="D87" s="87" t="str">
        <f>IFERROR(__xludf.DUMMYFUNCTION("""COMPUTED_VALUE"""),"6, 1")</f>
        <v>6, 1</v>
      </c>
      <c r="E87" s="87" t="str">
        <f>IFERROR(__xludf.DUMMYFUNCTION("""COMPUTED_VALUE"""),"4, 3")</f>
        <v>4, 3</v>
      </c>
      <c r="F87" s="87" t="str">
        <f>IFERROR(__xludf.DUMMYFUNCTION("""COMPUTED_VALUE"""),"1333, 1335")</f>
        <v>1333, 1335</v>
      </c>
      <c r="G87" s="87">
        <f>IFERROR(__xludf.DUMMYFUNCTION("""COMPUTED_VALUE"""),-6.27299009424512)</f>
        <v>-6.272990094</v>
      </c>
      <c r="H87" s="86">
        <f>IFERROR(__xludf.DUMMYFUNCTION("""COMPUTED_VALUE"""),106.924622443123)</f>
        <v>106.9246224</v>
      </c>
      <c r="I87" s="85"/>
      <c r="J87" s="85"/>
      <c r="K87" s="85"/>
      <c r="L87" s="85"/>
      <c r="M87" s="85"/>
      <c r="N87" s="85"/>
      <c r="O87" s="85"/>
      <c r="P87" s="85"/>
      <c r="Q87" s="85"/>
      <c r="R87" s="43"/>
      <c r="S87" s="43"/>
      <c r="T87" s="43"/>
      <c r="U87" s="43"/>
      <c r="V87" s="43"/>
      <c r="W87" s="43"/>
      <c r="X87" s="43"/>
      <c r="Y87" s="43"/>
      <c r="Z87" s="43"/>
    </row>
    <row r="88">
      <c r="A88" s="86">
        <f>IFERROR(__xludf.DUMMYFUNCTION("""COMPUTED_VALUE"""),87.0)</f>
        <v>87</v>
      </c>
      <c r="B88" s="87">
        <f>IFERROR(__xludf.DUMMYFUNCTION("""COMPUTED_VALUE"""),87.0)</f>
        <v>87</v>
      </c>
      <c r="C88" s="88" t="str">
        <f>IFERROR(__xludf.DUMMYFUNCTION("""COMPUTED_VALUE"""),"Budi Setiawan")</f>
        <v>Budi Setiawan</v>
      </c>
      <c r="D88" s="87" t="str">
        <f>IFERROR(__xludf.DUMMYFUNCTION("""COMPUTED_VALUE"""),"3, 5")</f>
        <v>3, 5</v>
      </c>
      <c r="E88" s="87" t="str">
        <f>IFERROR(__xludf.DUMMYFUNCTION("""COMPUTED_VALUE"""),"3, 5")</f>
        <v>3, 5</v>
      </c>
      <c r="F88" s="87" t="str">
        <f>IFERROR(__xludf.DUMMYFUNCTION("""COMPUTED_VALUE"""),"1212, 113")</f>
        <v>1212, 113</v>
      </c>
      <c r="G88" s="87">
        <f>IFERROR(__xludf.DUMMYFUNCTION("""COMPUTED_VALUE"""),-6.31308123474797)</f>
        <v>-6.313081235</v>
      </c>
      <c r="H88" s="86">
        <f>IFERROR(__xludf.DUMMYFUNCTION("""COMPUTED_VALUE"""),106.616065182022)</f>
        <v>106.6160652</v>
      </c>
      <c r="I88" s="85"/>
      <c r="J88" s="85"/>
      <c r="K88" s="85"/>
      <c r="L88" s="85"/>
      <c r="M88" s="85"/>
      <c r="N88" s="85"/>
      <c r="O88" s="85"/>
      <c r="P88" s="85"/>
      <c r="Q88" s="85"/>
      <c r="R88" s="43"/>
      <c r="S88" s="43"/>
      <c r="T88" s="43"/>
      <c r="U88" s="43"/>
      <c r="V88" s="43"/>
      <c r="W88" s="43"/>
      <c r="X88" s="43"/>
      <c r="Y88" s="43"/>
      <c r="Z88" s="43"/>
    </row>
    <row r="89">
      <c r="A89" s="86">
        <f>IFERROR(__xludf.DUMMYFUNCTION("""COMPUTED_VALUE"""),88.0)</f>
        <v>88</v>
      </c>
      <c r="B89" s="87">
        <f>IFERROR(__xludf.DUMMYFUNCTION("""COMPUTED_VALUE"""),88.0)</f>
        <v>88</v>
      </c>
      <c r="C89" s="88" t="str">
        <f>IFERROR(__xludf.DUMMYFUNCTION("""COMPUTED_VALUE"""),"Fajar Hadiwijaya")</f>
        <v>Fajar Hadiwijaya</v>
      </c>
      <c r="D89" s="87" t="str">
        <f>IFERROR(__xludf.DUMMYFUNCTION("""COMPUTED_VALUE"""),"2, 4")</f>
        <v>2, 4</v>
      </c>
      <c r="E89" s="87" t="str">
        <f>IFERROR(__xludf.DUMMYFUNCTION("""COMPUTED_VALUE"""),"2, 6")</f>
        <v>2, 6</v>
      </c>
      <c r="F89" s="87" t="str">
        <f>IFERROR(__xludf.DUMMYFUNCTION("""COMPUTED_VALUE"""),"1215, 1425")</f>
        <v>1215, 1425</v>
      </c>
      <c r="G89" s="87">
        <f>IFERROR(__xludf.DUMMYFUNCTION("""COMPUTED_VALUE"""),-6.24279491726996)</f>
        <v>-6.242794917</v>
      </c>
      <c r="H89" s="86">
        <f>IFERROR(__xludf.DUMMYFUNCTION("""COMPUTED_VALUE"""),106.637675255917)</f>
        <v>106.6376753</v>
      </c>
      <c r="I89" s="85"/>
      <c r="J89" s="85"/>
      <c r="K89" s="85"/>
      <c r="L89" s="85"/>
      <c r="M89" s="85"/>
      <c r="N89" s="85"/>
      <c r="O89" s="85"/>
      <c r="P89" s="85"/>
      <c r="Q89" s="85"/>
      <c r="R89" s="43"/>
      <c r="S89" s="43"/>
      <c r="T89" s="43"/>
      <c r="U89" s="43"/>
      <c r="V89" s="43"/>
      <c r="W89" s="43"/>
      <c r="X89" s="43"/>
      <c r="Y89" s="43"/>
      <c r="Z89" s="43"/>
    </row>
    <row r="90">
      <c r="A90" s="86">
        <f>IFERROR(__xludf.DUMMYFUNCTION("""COMPUTED_VALUE"""),89.0)</f>
        <v>89</v>
      </c>
      <c r="B90" s="87">
        <f>IFERROR(__xludf.DUMMYFUNCTION("""COMPUTED_VALUE"""),89.0)</f>
        <v>89</v>
      </c>
      <c r="C90" s="88" t="str">
        <f>IFERROR(__xludf.DUMMYFUNCTION("""COMPUTED_VALUE"""),"Hadi Wijaya")</f>
        <v>Hadi Wijaya</v>
      </c>
      <c r="D90" s="87" t="str">
        <f>IFERROR(__xludf.DUMMYFUNCTION("""COMPUTED_VALUE"""),"2, 2")</f>
        <v>2, 2</v>
      </c>
      <c r="E90" s="87" t="str">
        <f>IFERROR(__xludf.DUMMYFUNCTION("""COMPUTED_VALUE"""),"6, 4")</f>
        <v>6, 4</v>
      </c>
      <c r="F90" s="87" t="str">
        <f>IFERROR(__xludf.DUMMYFUNCTION("""COMPUTED_VALUE"""),"1333, 115")</f>
        <v>1333, 115</v>
      </c>
      <c r="G90" s="87">
        <f>IFERROR(__xludf.DUMMYFUNCTION("""COMPUTED_VALUE"""),-6.10041708575728)</f>
        <v>-6.100417086</v>
      </c>
      <c r="H90" s="86">
        <f>IFERROR(__xludf.DUMMYFUNCTION("""COMPUTED_VALUE"""),106.831710141316)</f>
        <v>106.8317101</v>
      </c>
      <c r="I90" s="85"/>
      <c r="J90" s="85"/>
      <c r="K90" s="85"/>
      <c r="L90" s="85"/>
      <c r="M90" s="85"/>
      <c r="N90" s="85"/>
      <c r="O90" s="85"/>
      <c r="P90" s="85"/>
      <c r="Q90" s="85"/>
      <c r="R90" s="43"/>
      <c r="S90" s="43"/>
      <c r="T90" s="43"/>
      <c r="U90" s="43"/>
      <c r="V90" s="43"/>
      <c r="W90" s="43"/>
      <c r="X90" s="43"/>
      <c r="Y90" s="43"/>
      <c r="Z90" s="43"/>
    </row>
    <row r="91">
      <c r="A91" s="86">
        <f>IFERROR(__xludf.DUMMYFUNCTION("""COMPUTED_VALUE"""),90.0)</f>
        <v>90</v>
      </c>
      <c r="B91" s="87">
        <f>IFERROR(__xludf.DUMMYFUNCTION("""COMPUTED_VALUE"""),90.0)</f>
        <v>90</v>
      </c>
      <c r="C91" s="88" t="str">
        <f>IFERROR(__xludf.DUMMYFUNCTION("""COMPUTED_VALUE"""),"Dina Saputra")</f>
        <v>Dina Saputra</v>
      </c>
      <c r="D91" s="87" t="str">
        <f>IFERROR(__xludf.DUMMYFUNCTION("""COMPUTED_VALUE"""),"3, 2")</f>
        <v>3, 2</v>
      </c>
      <c r="E91" s="87" t="str">
        <f>IFERROR(__xludf.DUMMYFUNCTION("""COMPUTED_VALUE"""),"1, 2")</f>
        <v>1, 2</v>
      </c>
      <c r="F91" s="87" t="str">
        <f>IFERROR(__xludf.DUMMYFUNCTION("""COMPUTED_VALUE"""),"1639, 3167")</f>
        <v>1639, 3167</v>
      </c>
      <c r="G91" s="87">
        <f>IFERROR(__xludf.DUMMYFUNCTION("""COMPUTED_VALUE"""),-6.26848861602986)</f>
        <v>-6.268488616</v>
      </c>
      <c r="H91" s="86">
        <f>IFERROR(__xludf.DUMMYFUNCTION("""COMPUTED_VALUE"""),106.717226380246)</f>
        <v>106.7172264</v>
      </c>
      <c r="I91" s="85"/>
      <c r="J91" s="85"/>
      <c r="K91" s="85"/>
      <c r="L91" s="85"/>
      <c r="M91" s="85"/>
      <c r="N91" s="85"/>
      <c r="O91" s="85"/>
      <c r="P91" s="85"/>
      <c r="Q91" s="85"/>
      <c r="R91" s="43"/>
      <c r="S91" s="43"/>
      <c r="T91" s="43"/>
      <c r="U91" s="43"/>
      <c r="V91" s="43"/>
      <c r="W91" s="43"/>
      <c r="X91" s="43"/>
      <c r="Y91" s="43"/>
      <c r="Z91" s="43"/>
    </row>
    <row r="92">
      <c r="A92" s="86">
        <f>IFERROR(__xludf.DUMMYFUNCTION("""COMPUTED_VALUE"""),91.0)</f>
        <v>91</v>
      </c>
      <c r="B92" s="87">
        <f>IFERROR(__xludf.DUMMYFUNCTION("""COMPUTED_VALUE"""),91.0)</f>
        <v>91</v>
      </c>
      <c r="C92" s="88" t="str">
        <f>IFERROR(__xludf.DUMMYFUNCTION("""COMPUTED_VALUE"""),"Bambang Wijaya")</f>
        <v>Bambang Wijaya</v>
      </c>
      <c r="D92" s="87" t="str">
        <f>IFERROR(__xludf.DUMMYFUNCTION("""COMPUTED_VALUE"""),"6, 3")</f>
        <v>6, 3</v>
      </c>
      <c r="E92" s="87" t="str">
        <f>IFERROR(__xludf.DUMMYFUNCTION("""COMPUTED_VALUE"""),"1, 2")</f>
        <v>1, 2</v>
      </c>
      <c r="F92" s="87" t="str">
        <f>IFERROR(__xludf.DUMMYFUNCTION("""COMPUTED_VALUE"""),"115, 1531")</f>
        <v>115, 1531</v>
      </c>
      <c r="G92" s="87">
        <f>IFERROR(__xludf.DUMMYFUNCTION("""COMPUTED_VALUE"""),-6.07909584611125)</f>
        <v>-6.079095846</v>
      </c>
      <c r="H92" s="86">
        <f>IFERROR(__xludf.DUMMYFUNCTION("""COMPUTED_VALUE"""),106.699613163085)</f>
        <v>106.6996132</v>
      </c>
      <c r="I92" s="85"/>
      <c r="J92" s="85"/>
      <c r="K92" s="85"/>
      <c r="L92" s="85"/>
      <c r="M92" s="85"/>
      <c r="N92" s="85"/>
      <c r="O92" s="85"/>
      <c r="P92" s="85"/>
      <c r="Q92" s="85"/>
      <c r="R92" s="43"/>
      <c r="S92" s="43"/>
      <c r="T92" s="43"/>
      <c r="U92" s="43"/>
      <c r="V92" s="43"/>
      <c r="W92" s="43"/>
      <c r="X92" s="43"/>
      <c r="Y92" s="43"/>
      <c r="Z92" s="43"/>
    </row>
    <row r="93">
      <c r="A93" s="86">
        <f>IFERROR(__xludf.DUMMYFUNCTION("""COMPUTED_VALUE"""),92.0)</f>
        <v>92</v>
      </c>
      <c r="B93" s="87">
        <f>IFERROR(__xludf.DUMMYFUNCTION("""COMPUTED_VALUE"""),92.0)</f>
        <v>92</v>
      </c>
      <c r="C93" s="88" t="str">
        <f>IFERROR(__xludf.DUMMYFUNCTION("""COMPUTED_VALUE"""),"Andi Susanto")</f>
        <v>Andi Susanto</v>
      </c>
      <c r="D93" s="87" t="str">
        <f>IFERROR(__xludf.DUMMYFUNCTION("""COMPUTED_VALUE"""),"5, 1")</f>
        <v>5, 1</v>
      </c>
      <c r="E93" s="87" t="str">
        <f>IFERROR(__xludf.DUMMYFUNCTION("""COMPUTED_VALUE"""),"4, 4")</f>
        <v>4, 4</v>
      </c>
      <c r="F93" s="87" t="str">
        <f>IFERROR(__xludf.DUMMYFUNCTION("""COMPUTED_VALUE"""),"3454, 3168")</f>
        <v>3454, 3168</v>
      </c>
      <c r="G93" s="87">
        <f>IFERROR(__xludf.DUMMYFUNCTION("""COMPUTED_VALUE"""),-6.28379184611528)</f>
        <v>-6.283791846</v>
      </c>
      <c r="H93" s="86">
        <f>IFERROR(__xludf.DUMMYFUNCTION("""COMPUTED_VALUE"""),107.027384629984)</f>
        <v>107.0273846</v>
      </c>
      <c r="I93" s="85"/>
      <c r="J93" s="85"/>
      <c r="K93" s="85"/>
      <c r="L93" s="85"/>
      <c r="M93" s="85"/>
      <c r="N93" s="85"/>
      <c r="O93" s="85"/>
      <c r="P93" s="85"/>
      <c r="Q93" s="85"/>
      <c r="R93" s="43"/>
      <c r="S93" s="43"/>
      <c r="T93" s="43"/>
      <c r="U93" s="43"/>
      <c r="V93" s="43"/>
      <c r="W93" s="43"/>
      <c r="X93" s="43"/>
      <c r="Y93" s="43"/>
      <c r="Z93" s="43"/>
    </row>
    <row r="94">
      <c r="A94" s="86">
        <f>IFERROR(__xludf.DUMMYFUNCTION("""COMPUTED_VALUE"""),93.0)</f>
        <v>93</v>
      </c>
      <c r="B94" s="87">
        <f>IFERROR(__xludf.DUMMYFUNCTION("""COMPUTED_VALUE"""),93.0)</f>
        <v>93</v>
      </c>
      <c r="C94" s="88" t="str">
        <f>IFERROR(__xludf.DUMMYFUNCTION("""COMPUTED_VALUE"""),"Hadi Putri")</f>
        <v>Hadi Putri</v>
      </c>
      <c r="D94" s="87" t="str">
        <f>IFERROR(__xludf.DUMMYFUNCTION("""COMPUTED_VALUE"""),"2, 3")</f>
        <v>2, 3</v>
      </c>
      <c r="E94" s="87" t="str">
        <f>IFERROR(__xludf.DUMMYFUNCTION("""COMPUTED_VALUE"""),"5, 6")</f>
        <v>5, 6</v>
      </c>
      <c r="F94" s="87" t="str">
        <f>IFERROR(__xludf.DUMMYFUNCTION("""COMPUTED_VALUE"""),"1641, 1333")</f>
        <v>1641, 1333</v>
      </c>
      <c r="G94" s="87">
        <f>IFERROR(__xludf.DUMMYFUNCTION("""COMPUTED_VALUE"""),-6.10206723626905)</f>
        <v>-6.102067236</v>
      </c>
      <c r="H94" s="86">
        <f>IFERROR(__xludf.DUMMYFUNCTION("""COMPUTED_VALUE"""),106.745744913324)</f>
        <v>106.7457449</v>
      </c>
      <c r="I94" s="85"/>
      <c r="J94" s="85"/>
      <c r="K94" s="85"/>
      <c r="L94" s="85"/>
      <c r="M94" s="85"/>
      <c r="N94" s="85"/>
      <c r="O94" s="85"/>
      <c r="P94" s="85"/>
      <c r="Q94" s="85"/>
      <c r="R94" s="43"/>
      <c r="S94" s="43"/>
      <c r="T94" s="43"/>
      <c r="U94" s="43"/>
      <c r="V94" s="43"/>
      <c r="W94" s="43"/>
      <c r="X94" s="43"/>
      <c r="Y94" s="43"/>
      <c r="Z94" s="43"/>
    </row>
    <row r="95">
      <c r="A95" s="86">
        <f>IFERROR(__xludf.DUMMYFUNCTION("""COMPUTED_VALUE"""),94.0)</f>
        <v>94</v>
      </c>
      <c r="B95" s="87">
        <f>IFERROR(__xludf.DUMMYFUNCTION("""COMPUTED_VALUE"""),94.0)</f>
        <v>94</v>
      </c>
      <c r="C95" s="88" t="str">
        <f>IFERROR(__xludf.DUMMYFUNCTION("""COMPUTED_VALUE"""),"Ani Susanto")</f>
        <v>Ani Susanto</v>
      </c>
      <c r="D95" s="87" t="str">
        <f>IFERROR(__xludf.DUMMYFUNCTION("""COMPUTED_VALUE"""),"3, 5")</f>
        <v>3, 5</v>
      </c>
      <c r="E95" s="87" t="str">
        <f>IFERROR(__xludf.DUMMYFUNCTION("""COMPUTED_VALUE"""),"2, 4")</f>
        <v>2, 4</v>
      </c>
      <c r="F95" s="87" t="str">
        <f>IFERROR(__xludf.DUMMYFUNCTION("""COMPUTED_VALUE"""),"1333, 1215")</f>
        <v>1333, 1215</v>
      </c>
      <c r="G95" s="87">
        <f>IFERROR(__xludf.DUMMYFUNCTION("""COMPUTED_VALUE"""),-6.32312927808491)</f>
        <v>-6.323129278</v>
      </c>
      <c r="H95" s="86">
        <f>IFERROR(__xludf.DUMMYFUNCTION("""COMPUTED_VALUE"""),106.818794873801)</f>
        <v>106.8187949</v>
      </c>
      <c r="I95" s="85"/>
      <c r="J95" s="85"/>
      <c r="K95" s="85"/>
      <c r="L95" s="85"/>
      <c r="M95" s="85"/>
      <c r="N95" s="85"/>
      <c r="O95" s="85"/>
      <c r="P95" s="85"/>
      <c r="Q95" s="85"/>
      <c r="R95" s="43"/>
      <c r="S95" s="43"/>
      <c r="T95" s="43"/>
      <c r="U95" s="43"/>
      <c r="V95" s="43"/>
      <c r="W95" s="43"/>
      <c r="X95" s="43"/>
      <c r="Y95" s="43"/>
      <c r="Z95" s="43"/>
    </row>
    <row r="96">
      <c r="A96" s="86">
        <f>IFERROR(__xludf.DUMMYFUNCTION("""COMPUTED_VALUE"""),95.0)</f>
        <v>95</v>
      </c>
      <c r="B96" s="87">
        <f>IFERROR(__xludf.DUMMYFUNCTION("""COMPUTED_VALUE"""),95.0)</f>
        <v>95</v>
      </c>
      <c r="C96" s="88" t="str">
        <f>IFERROR(__xludf.DUMMYFUNCTION("""COMPUTED_VALUE"""),"Ani Pratama")</f>
        <v>Ani Pratama</v>
      </c>
      <c r="D96" s="87" t="str">
        <f>IFERROR(__xludf.DUMMYFUNCTION("""COMPUTED_VALUE"""),"4, 3")</f>
        <v>4, 3</v>
      </c>
      <c r="E96" s="87" t="str">
        <f>IFERROR(__xludf.DUMMYFUNCTION("""COMPUTED_VALUE"""),"3, 5")</f>
        <v>3, 5</v>
      </c>
      <c r="F96" s="87" t="str">
        <f>IFERROR(__xludf.DUMMYFUNCTION("""COMPUTED_VALUE"""),"1641, 116")</f>
        <v>1641, 116</v>
      </c>
      <c r="G96" s="87">
        <f>IFERROR(__xludf.DUMMYFUNCTION("""COMPUTED_VALUE"""),-6.29677905240476)</f>
        <v>-6.296779052</v>
      </c>
      <c r="H96" s="86">
        <f>IFERROR(__xludf.DUMMYFUNCTION("""COMPUTED_VALUE"""),107.007988701792)</f>
        <v>107.0079887</v>
      </c>
      <c r="I96" s="85"/>
      <c r="J96" s="85"/>
      <c r="K96" s="85"/>
      <c r="L96" s="85"/>
      <c r="M96" s="85"/>
      <c r="N96" s="85"/>
      <c r="O96" s="85"/>
      <c r="P96" s="85"/>
      <c r="Q96" s="85"/>
      <c r="R96" s="43"/>
      <c r="S96" s="43"/>
      <c r="T96" s="43"/>
      <c r="U96" s="43"/>
      <c r="V96" s="43"/>
      <c r="W96" s="43"/>
      <c r="X96" s="43"/>
      <c r="Y96" s="43"/>
      <c r="Z96" s="43"/>
    </row>
    <row r="97">
      <c r="A97" s="86">
        <f>IFERROR(__xludf.DUMMYFUNCTION("""COMPUTED_VALUE"""),96.0)</f>
        <v>96</v>
      </c>
      <c r="B97" s="87">
        <f>IFERROR(__xludf.DUMMYFUNCTION("""COMPUTED_VALUE"""),96.0)</f>
        <v>96</v>
      </c>
      <c r="C97" s="88" t="str">
        <f>IFERROR(__xludf.DUMMYFUNCTION("""COMPUTED_VALUE"""),"Budi Sari")</f>
        <v>Budi Sari</v>
      </c>
      <c r="D97" s="87" t="str">
        <f>IFERROR(__xludf.DUMMYFUNCTION("""COMPUTED_VALUE"""),"3, 4")</f>
        <v>3, 4</v>
      </c>
      <c r="E97" s="87" t="str">
        <f>IFERROR(__xludf.DUMMYFUNCTION("""COMPUTED_VALUE"""),"3, 2")</f>
        <v>3, 2</v>
      </c>
      <c r="F97" s="87" t="str">
        <f>IFERROR(__xludf.DUMMYFUNCTION("""COMPUTED_VALUE"""),"1519, 113")</f>
        <v>1519, 113</v>
      </c>
      <c r="G97" s="87">
        <f>IFERROR(__xludf.DUMMYFUNCTION("""COMPUTED_VALUE"""),-6.26772040941689)</f>
        <v>-6.267720409</v>
      </c>
      <c r="H97" s="86">
        <f>IFERROR(__xludf.DUMMYFUNCTION("""COMPUTED_VALUE"""),106.73838861307)</f>
        <v>106.7383886</v>
      </c>
      <c r="I97" s="85"/>
      <c r="J97" s="85"/>
      <c r="K97" s="85"/>
      <c r="L97" s="85"/>
      <c r="M97" s="85"/>
      <c r="N97" s="85"/>
      <c r="O97" s="85"/>
      <c r="P97" s="85"/>
      <c r="Q97" s="85"/>
      <c r="R97" s="43"/>
      <c r="S97" s="43"/>
      <c r="T97" s="43"/>
      <c r="U97" s="43"/>
      <c r="V97" s="43"/>
      <c r="W97" s="43"/>
      <c r="X97" s="43"/>
      <c r="Y97" s="43"/>
      <c r="Z97" s="43"/>
    </row>
    <row r="98">
      <c r="A98" s="86">
        <f>IFERROR(__xludf.DUMMYFUNCTION("""COMPUTED_VALUE"""),97.0)</f>
        <v>97</v>
      </c>
      <c r="B98" s="87">
        <f>IFERROR(__xludf.DUMMYFUNCTION("""COMPUTED_VALUE"""),97.0)</f>
        <v>97</v>
      </c>
      <c r="C98" s="88" t="str">
        <f>IFERROR(__xludf.DUMMYFUNCTION("""COMPUTED_VALUE"""),"Dewi Hidayat")</f>
        <v>Dewi Hidayat</v>
      </c>
      <c r="D98" s="87" t="str">
        <f>IFERROR(__xludf.DUMMYFUNCTION("""COMPUTED_VALUE"""),"4, 2")</f>
        <v>4, 2</v>
      </c>
      <c r="E98" s="87" t="str">
        <f>IFERROR(__xludf.DUMMYFUNCTION("""COMPUTED_VALUE"""),"2, 2")</f>
        <v>2, 2</v>
      </c>
      <c r="F98" s="87" t="str">
        <f>IFERROR(__xludf.DUMMYFUNCTION("""COMPUTED_VALUE"""),"3356, 1212")</f>
        <v>3356, 1212</v>
      </c>
      <c r="G98" s="87">
        <f>IFERROR(__xludf.DUMMYFUNCTION("""COMPUTED_VALUE"""),-6.25425077893356)</f>
        <v>-6.254250779</v>
      </c>
      <c r="H98" s="86">
        <f>IFERROR(__xludf.DUMMYFUNCTION("""COMPUTED_VALUE"""),106.86243381576)</f>
        <v>106.8624338</v>
      </c>
      <c r="I98" s="85"/>
      <c r="J98" s="85"/>
      <c r="K98" s="85"/>
      <c r="L98" s="85"/>
      <c r="M98" s="85"/>
      <c r="N98" s="85"/>
      <c r="O98" s="85"/>
      <c r="P98" s="85"/>
      <c r="Q98" s="85"/>
      <c r="R98" s="43"/>
      <c r="S98" s="43"/>
      <c r="T98" s="43"/>
      <c r="U98" s="43"/>
      <c r="V98" s="43"/>
      <c r="W98" s="43"/>
      <c r="X98" s="43"/>
      <c r="Y98" s="43"/>
      <c r="Z98" s="43"/>
    </row>
    <row r="99">
      <c r="A99" s="86">
        <f>IFERROR(__xludf.DUMMYFUNCTION("""COMPUTED_VALUE"""),98.0)</f>
        <v>98</v>
      </c>
      <c r="B99" s="87">
        <f>IFERROR(__xludf.DUMMYFUNCTION("""COMPUTED_VALUE"""),98.0)</f>
        <v>98</v>
      </c>
      <c r="C99" s="88" t="str">
        <f>IFERROR(__xludf.DUMMYFUNCTION("""COMPUTED_VALUE"""),"Agus Hidayat")</f>
        <v>Agus Hidayat</v>
      </c>
      <c r="D99" s="87" t="str">
        <f>IFERROR(__xludf.DUMMYFUNCTION("""COMPUTED_VALUE"""),"6, 5")</f>
        <v>6, 5</v>
      </c>
      <c r="E99" s="87" t="str">
        <f>IFERROR(__xludf.DUMMYFUNCTION("""COMPUTED_VALUE"""),"3, 6")</f>
        <v>3, 6</v>
      </c>
      <c r="F99" s="87" t="str">
        <f>IFERROR(__xludf.DUMMYFUNCTION("""COMPUTED_VALUE"""),"3163, 3167")</f>
        <v>3163, 3167</v>
      </c>
      <c r="G99" s="87">
        <f>IFERROR(__xludf.DUMMYFUNCTION("""COMPUTED_VALUE"""),-6.19006043427466)</f>
        <v>-6.190060434</v>
      </c>
      <c r="H99" s="86">
        <f>IFERROR(__xludf.DUMMYFUNCTION("""COMPUTED_VALUE"""),106.572197256101)</f>
        <v>106.5721973</v>
      </c>
      <c r="I99" s="85"/>
      <c r="J99" s="85"/>
      <c r="K99" s="85"/>
      <c r="L99" s="85"/>
      <c r="M99" s="85"/>
      <c r="N99" s="85"/>
      <c r="O99" s="85"/>
      <c r="P99" s="85"/>
      <c r="Q99" s="85"/>
      <c r="R99" s="43"/>
      <c r="S99" s="43"/>
      <c r="T99" s="43"/>
      <c r="U99" s="43"/>
      <c r="V99" s="43"/>
      <c r="W99" s="43"/>
      <c r="X99" s="43"/>
      <c r="Y99" s="43"/>
      <c r="Z99" s="43"/>
    </row>
    <row r="100">
      <c r="A100" s="86">
        <f>IFERROR(__xludf.DUMMYFUNCTION("""COMPUTED_VALUE"""),99.0)</f>
        <v>99</v>
      </c>
      <c r="B100" s="87">
        <f>IFERROR(__xludf.DUMMYFUNCTION("""COMPUTED_VALUE"""),99.0)</f>
        <v>99</v>
      </c>
      <c r="C100" s="88" t="str">
        <f>IFERROR(__xludf.DUMMYFUNCTION("""COMPUTED_VALUE"""),"Maya Nugroho")</f>
        <v>Maya Nugroho</v>
      </c>
      <c r="D100" s="87" t="str">
        <f>IFERROR(__xludf.DUMMYFUNCTION("""COMPUTED_VALUE"""),"5, 3")</f>
        <v>5, 3</v>
      </c>
      <c r="E100" s="87" t="str">
        <f>IFERROR(__xludf.DUMMYFUNCTION("""COMPUTED_VALUE"""),"6, 1")</f>
        <v>6, 1</v>
      </c>
      <c r="F100" s="87" t="str">
        <f>IFERROR(__xludf.DUMMYFUNCTION("""COMPUTED_VALUE"""),"1519, 1651")</f>
        <v>1519, 1651</v>
      </c>
      <c r="G100" s="87">
        <f>IFERROR(__xludf.DUMMYFUNCTION("""COMPUTED_VALUE"""),-6.2763022390095)</f>
        <v>-6.276302239</v>
      </c>
      <c r="H100" s="86">
        <f>IFERROR(__xludf.DUMMYFUNCTION("""COMPUTED_VALUE"""),106.84653109845)</f>
        <v>106.8465311</v>
      </c>
      <c r="I100" s="85"/>
      <c r="J100" s="85"/>
      <c r="K100" s="85"/>
      <c r="L100" s="85"/>
      <c r="M100" s="85"/>
      <c r="N100" s="85"/>
      <c r="O100" s="85"/>
      <c r="P100" s="85"/>
      <c r="Q100" s="85"/>
      <c r="R100" s="43"/>
      <c r="S100" s="43"/>
      <c r="T100" s="43"/>
      <c r="U100" s="43"/>
      <c r="V100" s="43"/>
      <c r="W100" s="43"/>
      <c r="X100" s="43"/>
      <c r="Y100" s="43"/>
      <c r="Z100" s="43"/>
    </row>
    <row r="101">
      <c r="A101" s="86">
        <f>IFERROR(__xludf.DUMMYFUNCTION("""COMPUTED_VALUE"""),100.0)</f>
        <v>100</v>
      </c>
      <c r="B101" s="87">
        <f>IFERROR(__xludf.DUMMYFUNCTION("""COMPUTED_VALUE"""),100.0)</f>
        <v>100</v>
      </c>
      <c r="C101" s="88" t="str">
        <f>IFERROR(__xludf.DUMMYFUNCTION("""COMPUTED_VALUE"""),"Lina Rahayu")</f>
        <v>Lina Rahayu</v>
      </c>
      <c r="D101" s="87" t="str">
        <f>IFERROR(__xludf.DUMMYFUNCTION("""COMPUTED_VALUE"""),"3, 1")</f>
        <v>3, 1</v>
      </c>
      <c r="E101" s="87" t="str">
        <f>IFERROR(__xludf.DUMMYFUNCTION("""COMPUTED_VALUE"""),"6, 2")</f>
        <v>6, 2</v>
      </c>
      <c r="F101" s="87" t="str">
        <f>IFERROR(__xludf.DUMMYFUNCTION("""COMPUTED_VALUE"""),"3658, 115")</f>
        <v>3658, 115</v>
      </c>
      <c r="G101" s="87">
        <f>IFERROR(__xludf.DUMMYFUNCTION("""COMPUTED_VALUE"""),-6.32070891138158)</f>
        <v>-6.320708911</v>
      </c>
      <c r="H101" s="86">
        <f>IFERROR(__xludf.DUMMYFUNCTION("""COMPUTED_VALUE"""),106.644092416724)</f>
        <v>106.6440924</v>
      </c>
      <c r="I101" s="85"/>
      <c r="J101" s="85"/>
      <c r="K101" s="85"/>
      <c r="L101" s="85"/>
      <c r="M101" s="85"/>
      <c r="N101" s="85"/>
      <c r="O101" s="85"/>
      <c r="P101" s="85"/>
      <c r="Q101" s="85"/>
      <c r="R101" s="43"/>
      <c r="S101" s="43"/>
      <c r="T101" s="43"/>
      <c r="U101" s="43"/>
      <c r="V101" s="43"/>
      <c r="W101" s="43"/>
      <c r="X101" s="43"/>
      <c r="Y101" s="43"/>
      <c r="Z101" s="43"/>
    </row>
    <row r="102">
      <c r="A102" s="86">
        <f>IFERROR(__xludf.DUMMYFUNCTION("""COMPUTED_VALUE"""),101.0)</f>
        <v>101</v>
      </c>
      <c r="B102" s="87">
        <f>IFERROR(__xludf.DUMMYFUNCTION("""COMPUTED_VALUE"""),101.0)</f>
        <v>101</v>
      </c>
      <c r="C102" s="88" t="str">
        <f>IFERROR(__xludf.DUMMYFUNCTION("""COMPUTED_VALUE"""),"Maya Hadiwijaya")</f>
        <v>Maya Hadiwijaya</v>
      </c>
      <c r="D102" s="87" t="str">
        <f>IFERROR(__xludf.DUMMYFUNCTION("""COMPUTED_VALUE"""),"1, 4")</f>
        <v>1, 4</v>
      </c>
      <c r="E102" s="87" t="str">
        <f>IFERROR(__xludf.DUMMYFUNCTION("""COMPUTED_VALUE"""),"5, 4")</f>
        <v>5, 4</v>
      </c>
      <c r="F102" s="87" t="str">
        <f>IFERROR(__xludf.DUMMYFUNCTION("""COMPUTED_VALUE"""),"3170, 113")</f>
        <v>3170, 113</v>
      </c>
      <c r="G102" s="87">
        <f>IFERROR(__xludf.DUMMYFUNCTION("""COMPUTED_VALUE"""),-6.10600608377378)</f>
        <v>-6.106006084</v>
      </c>
      <c r="H102" s="86">
        <f>IFERROR(__xludf.DUMMYFUNCTION("""COMPUTED_VALUE"""),106.854228980372)</f>
        <v>106.854229</v>
      </c>
      <c r="I102" s="85"/>
      <c r="J102" s="85"/>
      <c r="K102" s="85"/>
      <c r="L102" s="85"/>
      <c r="M102" s="85"/>
      <c r="N102" s="85"/>
      <c r="O102" s="85"/>
      <c r="P102" s="85"/>
      <c r="Q102" s="85"/>
      <c r="R102" s="43"/>
      <c r="S102" s="43"/>
      <c r="T102" s="43"/>
      <c r="U102" s="43"/>
      <c r="V102" s="43"/>
      <c r="W102" s="43"/>
      <c r="X102" s="43"/>
      <c r="Y102" s="43"/>
      <c r="Z102" s="43"/>
    </row>
    <row r="103">
      <c r="A103" s="86">
        <f>IFERROR(__xludf.DUMMYFUNCTION("""COMPUTED_VALUE"""),102.0)</f>
        <v>102</v>
      </c>
      <c r="B103" s="87">
        <f>IFERROR(__xludf.DUMMYFUNCTION("""COMPUTED_VALUE"""),102.0)</f>
        <v>102</v>
      </c>
      <c r="C103" s="88" t="str">
        <f>IFERROR(__xludf.DUMMYFUNCTION("""COMPUTED_VALUE"""),"Lina Nurhayati")</f>
        <v>Lina Nurhayati</v>
      </c>
      <c r="D103" s="87" t="str">
        <f>IFERROR(__xludf.DUMMYFUNCTION("""COMPUTED_VALUE"""),"2, 4")</f>
        <v>2, 4</v>
      </c>
      <c r="E103" s="87" t="str">
        <f>IFERROR(__xludf.DUMMYFUNCTION("""COMPUTED_VALUE"""),"1, 2")</f>
        <v>1, 2</v>
      </c>
      <c r="F103" s="87" t="str">
        <f>IFERROR(__xludf.DUMMYFUNCTION("""COMPUTED_VALUE"""),"1644, 111")</f>
        <v>1644, 111</v>
      </c>
      <c r="G103" s="87">
        <f>IFERROR(__xludf.DUMMYFUNCTION("""COMPUTED_VALUE"""),-6.29263065471002)</f>
        <v>-6.292630655</v>
      </c>
      <c r="H103" s="86">
        <f>IFERROR(__xludf.DUMMYFUNCTION("""COMPUTED_VALUE"""),106.743850832544)</f>
        <v>106.7438508</v>
      </c>
      <c r="I103" s="85"/>
      <c r="J103" s="85"/>
      <c r="K103" s="85"/>
      <c r="L103" s="85"/>
      <c r="M103" s="85"/>
      <c r="N103" s="85"/>
      <c r="O103" s="85"/>
      <c r="P103" s="85"/>
      <c r="Q103" s="85"/>
      <c r="R103" s="43"/>
      <c r="S103" s="43"/>
      <c r="T103" s="43"/>
      <c r="U103" s="43"/>
      <c r="V103" s="43"/>
      <c r="W103" s="43"/>
      <c r="X103" s="43"/>
      <c r="Y103" s="43"/>
      <c r="Z103" s="43"/>
    </row>
    <row r="104">
      <c r="A104" s="86">
        <f>IFERROR(__xludf.DUMMYFUNCTION("""COMPUTED_VALUE"""),103.0)</f>
        <v>103</v>
      </c>
      <c r="B104" s="87">
        <f>IFERROR(__xludf.DUMMYFUNCTION("""COMPUTED_VALUE"""),103.0)</f>
        <v>103</v>
      </c>
      <c r="C104" s="88" t="str">
        <f>IFERROR(__xludf.DUMMYFUNCTION("""COMPUTED_VALUE"""),"Hadi Sari")</f>
        <v>Hadi Sari</v>
      </c>
      <c r="D104" s="87" t="str">
        <f>IFERROR(__xludf.DUMMYFUNCTION("""COMPUTED_VALUE"""),"6, 3")</f>
        <v>6, 3</v>
      </c>
      <c r="E104" s="87" t="str">
        <f>IFERROR(__xludf.DUMMYFUNCTION("""COMPUTED_VALUE"""),"3, 1")</f>
        <v>3, 1</v>
      </c>
      <c r="F104" s="87" t="str">
        <f>IFERROR(__xludf.DUMMYFUNCTION("""COMPUTED_VALUE"""),"3658, 1422")</f>
        <v>3658, 1422</v>
      </c>
      <c r="G104" s="87">
        <f>IFERROR(__xludf.DUMMYFUNCTION("""COMPUTED_VALUE"""),-6.2032828601735)</f>
        <v>-6.20328286</v>
      </c>
      <c r="H104" s="86">
        <f>IFERROR(__xludf.DUMMYFUNCTION("""COMPUTED_VALUE"""),106.57465277111)</f>
        <v>106.5746528</v>
      </c>
      <c r="I104" s="85"/>
      <c r="J104" s="85"/>
      <c r="K104" s="85"/>
      <c r="L104" s="85"/>
      <c r="M104" s="85"/>
      <c r="N104" s="85"/>
      <c r="O104" s="85"/>
      <c r="P104" s="85"/>
      <c r="Q104" s="85"/>
      <c r="R104" s="43"/>
      <c r="S104" s="43"/>
      <c r="T104" s="43"/>
      <c r="U104" s="43"/>
      <c r="V104" s="43"/>
      <c r="W104" s="43"/>
      <c r="X104" s="43"/>
      <c r="Y104" s="43"/>
      <c r="Z104" s="43"/>
    </row>
    <row r="105">
      <c r="A105" s="86">
        <f>IFERROR(__xludf.DUMMYFUNCTION("""COMPUTED_VALUE"""),104.0)</f>
        <v>104</v>
      </c>
      <c r="B105" s="87">
        <f>IFERROR(__xludf.DUMMYFUNCTION("""COMPUTED_VALUE"""),104.0)</f>
        <v>104</v>
      </c>
      <c r="C105" s="88" t="str">
        <f>IFERROR(__xludf.DUMMYFUNCTION("""COMPUTED_VALUE"""),"Fajar Utami")</f>
        <v>Fajar Utami</v>
      </c>
      <c r="D105" s="87" t="str">
        <f>IFERROR(__xludf.DUMMYFUNCTION("""COMPUTED_VALUE"""),"3, 2")</f>
        <v>3, 2</v>
      </c>
      <c r="E105" s="87" t="str">
        <f>IFERROR(__xludf.DUMMYFUNCTION("""COMPUTED_VALUE"""),"2, 5")</f>
        <v>2, 5</v>
      </c>
      <c r="F105" s="87" t="str">
        <f>IFERROR(__xludf.DUMMYFUNCTION("""COMPUTED_VALUE"""),"1645, 3169")</f>
        <v>1645, 3169</v>
      </c>
      <c r="G105" s="87">
        <f>IFERROR(__xludf.DUMMYFUNCTION("""COMPUTED_VALUE"""),-6.15528941038137)</f>
        <v>-6.15528941</v>
      </c>
      <c r="H105" s="86">
        <f>IFERROR(__xludf.DUMMYFUNCTION("""COMPUTED_VALUE"""),106.994177793208)</f>
        <v>106.9941778</v>
      </c>
      <c r="I105" s="85"/>
      <c r="J105" s="85"/>
      <c r="K105" s="85"/>
      <c r="L105" s="85"/>
      <c r="M105" s="85"/>
      <c r="N105" s="85"/>
      <c r="O105" s="85"/>
      <c r="P105" s="85"/>
      <c r="Q105" s="85"/>
      <c r="R105" s="43"/>
      <c r="S105" s="43"/>
      <c r="T105" s="43"/>
      <c r="U105" s="43"/>
      <c r="V105" s="43"/>
      <c r="W105" s="43"/>
      <c r="X105" s="43"/>
      <c r="Y105" s="43"/>
      <c r="Z105" s="43"/>
    </row>
    <row r="106">
      <c r="A106" s="86">
        <f>IFERROR(__xludf.DUMMYFUNCTION("""COMPUTED_VALUE"""),105.0)</f>
        <v>105</v>
      </c>
      <c r="B106" s="87">
        <f>IFERROR(__xludf.DUMMYFUNCTION("""COMPUTED_VALUE"""),105.0)</f>
        <v>105</v>
      </c>
      <c r="C106" s="88" t="str">
        <f>IFERROR(__xludf.DUMMYFUNCTION("""COMPUTED_VALUE"""),"Siti Susanto")</f>
        <v>Siti Susanto</v>
      </c>
      <c r="D106" s="87" t="str">
        <f>IFERROR(__xludf.DUMMYFUNCTION("""COMPUTED_VALUE"""),"2, 3")</f>
        <v>2, 3</v>
      </c>
      <c r="E106" s="87" t="str">
        <f>IFERROR(__xludf.DUMMYFUNCTION("""COMPUTED_VALUE"""),"2, 6")</f>
        <v>2, 6</v>
      </c>
      <c r="F106" s="87" t="str">
        <f>IFERROR(__xludf.DUMMYFUNCTION("""COMPUTED_VALUE"""),"3454, 1526")</f>
        <v>3454, 1526</v>
      </c>
      <c r="G106" s="87">
        <f>IFERROR(__xludf.DUMMYFUNCTION("""COMPUTED_VALUE"""),-6.19836982725516)</f>
        <v>-6.198369827</v>
      </c>
      <c r="H106" s="86">
        <f>IFERROR(__xludf.DUMMYFUNCTION("""COMPUTED_VALUE"""),106.991341767294)</f>
        <v>106.9913418</v>
      </c>
      <c r="I106" s="85"/>
      <c r="J106" s="85"/>
      <c r="K106" s="85"/>
      <c r="L106" s="85"/>
      <c r="M106" s="85"/>
      <c r="N106" s="85"/>
      <c r="O106" s="85"/>
      <c r="P106" s="85"/>
      <c r="Q106" s="85"/>
      <c r="R106" s="43"/>
      <c r="S106" s="43"/>
      <c r="T106" s="43"/>
      <c r="U106" s="43"/>
      <c r="V106" s="43"/>
      <c r="W106" s="43"/>
      <c r="X106" s="43"/>
      <c r="Y106" s="43"/>
      <c r="Z106" s="43"/>
    </row>
    <row r="107">
      <c r="A107" s="86">
        <f>IFERROR(__xludf.DUMMYFUNCTION("""COMPUTED_VALUE"""),106.0)</f>
        <v>106</v>
      </c>
      <c r="B107" s="87">
        <f>IFERROR(__xludf.DUMMYFUNCTION("""COMPUTED_VALUE"""),106.0)</f>
        <v>106</v>
      </c>
      <c r="C107" s="88" t="str">
        <f>IFERROR(__xludf.DUMMYFUNCTION("""COMPUTED_VALUE"""),"Budi Hidayat")</f>
        <v>Budi Hidayat</v>
      </c>
      <c r="D107" s="87" t="str">
        <f>IFERROR(__xludf.DUMMYFUNCTION("""COMPUTED_VALUE"""),"3, 5")</f>
        <v>3, 5</v>
      </c>
      <c r="E107" s="87" t="str">
        <f>IFERROR(__xludf.DUMMYFUNCTION("""COMPUTED_VALUE"""),"2, 6")</f>
        <v>2, 6</v>
      </c>
      <c r="F107" s="87" t="str">
        <f>IFERROR(__xludf.DUMMYFUNCTION("""COMPUTED_VALUE"""),"1646, 1110")</f>
        <v>1646, 1110</v>
      </c>
      <c r="G107" s="87">
        <f>IFERROR(__xludf.DUMMYFUNCTION("""COMPUTED_VALUE"""),-6.14557525546307)</f>
        <v>-6.145575255</v>
      </c>
      <c r="H107" s="86">
        <f>IFERROR(__xludf.DUMMYFUNCTION("""COMPUTED_VALUE"""),106.769882726023)</f>
        <v>106.7698827</v>
      </c>
      <c r="I107" s="85"/>
      <c r="J107" s="85"/>
      <c r="K107" s="85"/>
      <c r="L107" s="85"/>
      <c r="M107" s="85"/>
      <c r="N107" s="85"/>
      <c r="O107" s="85"/>
      <c r="P107" s="85"/>
      <c r="Q107" s="85"/>
      <c r="R107" s="43"/>
      <c r="S107" s="43"/>
      <c r="T107" s="43"/>
      <c r="U107" s="43"/>
      <c r="V107" s="43"/>
      <c r="W107" s="43"/>
      <c r="X107" s="43"/>
      <c r="Y107" s="43"/>
      <c r="Z107" s="43"/>
    </row>
    <row r="108">
      <c r="A108" s="86">
        <f>IFERROR(__xludf.DUMMYFUNCTION("""COMPUTED_VALUE"""),107.0)</f>
        <v>107</v>
      </c>
      <c r="B108" s="87">
        <f>IFERROR(__xludf.DUMMYFUNCTION("""COMPUTED_VALUE"""),107.0)</f>
        <v>107</v>
      </c>
      <c r="C108" s="88" t="str">
        <f>IFERROR(__xludf.DUMMYFUNCTION("""COMPUTED_VALUE"""),"Citra Rahayu")</f>
        <v>Citra Rahayu</v>
      </c>
      <c r="D108" s="87" t="str">
        <f>IFERROR(__xludf.DUMMYFUNCTION("""COMPUTED_VALUE"""),"4, 3")</f>
        <v>4, 3</v>
      </c>
      <c r="E108" s="87" t="str">
        <f>IFERROR(__xludf.DUMMYFUNCTION("""COMPUTED_VALUE"""),"1, 5")</f>
        <v>1, 5</v>
      </c>
      <c r="F108" s="87" t="str">
        <f>IFERROR(__xludf.DUMMYFUNCTION("""COMPUTED_VALUE"""),"3168, 115")</f>
        <v>3168, 115</v>
      </c>
      <c r="G108" s="87">
        <f>IFERROR(__xludf.DUMMYFUNCTION("""COMPUTED_VALUE"""),-6.30629086423532)</f>
        <v>-6.306290864</v>
      </c>
      <c r="H108" s="86">
        <f>IFERROR(__xludf.DUMMYFUNCTION("""COMPUTED_VALUE"""),106.835855694622)</f>
        <v>106.8358557</v>
      </c>
      <c r="I108" s="85"/>
      <c r="J108" s="85"/>
      <c r="K108" s="85"/>
      <c r="L108" s="85"/>
      <c r="M108" s="85"/>
      <c r="N108" s="85"/>
      <c r="O108" s="85"/>
      <c r="P108" s="85"/>
      <c r="Q108" s="85"/>
      <c r="R108" s="43"/>
      <c r="S108" s="43"/>
      <c r="T108" s="43"/>
      <c r="U108" s="43"/>
      <c r="V108" s="43"/>
      <c r="W108" s="43"/>
      <c r="X108" s="43"/>
      <c r="Y108" s="43"/>
      <c r="Z108" s="43"/>
    </row>
    <row r="109">
      <c r="A109" s="86">
        <f>IFERROR(__xludf.DUMMYFUNCTION("""COMPUTED_VALUE"""),108.0)</f>
        <v>108</v>
      </c>
      <c r="B109" s="87">
        <f>IFERROR(__xludf.DUMMYFUNCTION("""COMPUTED_VALUE"""),108.0)</f>
        <v>108</v>
      </c>
      <c r="C109" s="88" t="str">
        <f>IFERROR(__xludf.DUMMYFUNCTION("""COMPUTED_VALUE"""),"Dewi Hadiwijaya")</f>
        <v>Dewi Hadiwijaya</v>
      </c>
      <c r="D109" s="87" t="str">
        <f>IFERROR(__xludf.DUMMYFUNCTION("""COMPUTED_VALUE"""),"3, 4")</f>
        <v>3, 4</v>
      </c>
      <c r="E109" s="87" t="str">
        <f>IFERROR(__xludf.DUMMYFUNCTION("""COMPUTED_VALUE"""),"6, 6")</f>
        <v>6, 6</v>
      </c>
      <c r="F109" s="87" t="str">
        <f>IFERROR(__xludf.DUMMYFUNCTION("""COMPUTED_VALUE"""),"3166, 1212")</f>
        <v>3166, 1212</v>
      </c>
      <c r="G109" s="87">
        <f>IFERROR(__xludf.DUMMYFUNCTION("""COMPUTED_VALUE"""),-6.21472303122382)</f>
        <v>-6.214723031</v>
      </c>
      <c r="H109" s="86">
        <f>IFERROR(__xludf.DUMMYFUNCTION("""COMPUTED_VALUE"""),106.620542329821)</f>
        <v>106.6205423</v>
      </c>
      <c r="I109" s="85"/>
      <c r="J109" s="85"/>
      <c r="K109" s="85"/>
      <c r="L109" s="85"/>
      <c r="M109" s="85"/>
      <c r="N109" s="85"/>
      <c r="O109" s="85"/>
      <c r="P109" s="85"/>
      <c r="Q109" s="85"/>
      <c r="R109" s="43"/>
      <c r="S109" s="43"/>
      <c r="T109" s="43"/>
      <c r="U109" s="43"/>
      <c r="V109" s="43"/>
      <c r="W109" s="43"/>
      <c r="X109" s="43"/>
      <c r="Y109" s="43"/>
      <c r="Z109" s="43"/>
    </row>
    <row r="110">
      <c r="A110" s="86">
        <f>IFERROR(__xludf.DUMMYFUNCTION("""COMPUTED_VALUE"""),109.0)</f>
        <v>109</v>
      </c>
      <c r="B110" s="87">
        <f>IFERROR(__xludf.DUMMYFUNCTION("""COMPUTED_VALUE"""),109.0)</f>
        <v>109</v>
      </c>
      <c r="C110" s="88" t="str">
        <f>IFERROR(__xludf.DUMMYFUNCTION("""COMPUTED_VALUE"""),"Ani Sari")</f>
        <v>Ani Sari</v>
      </c>
      <c r="D110" s="87" t="str">
        <f>IFERROR(__xludf.DUMMYFUNCTION("""COMPUTED_VALUE"""),"1, 3")</f>
        <v>1, 3</v>
      </c>
      <c r="E110" s="87" t="str">
        <f>IFERROR(__xludf.DUMMYFUNCTION("""COMPUTED_VALUE"""),"4, 5")</f>
        <v>4, 5</v>
      </c>
      <c r="F110" s="87" t="str">
        <f>IFERROR(__xludf.DUMMYFUNCTION("""COMPUTED_VALUE"""),"122, 1334")</f>
        <v>122, 1334</v>
      </c>
      <c r="G110" s="87">
        <f>IFERROR(__xludf.DUMMYFUNCTION("""COMPUTED_VALUE"""),-6.32175491515775)</f>
        <v>-6.321754915</v>
      </c>
      <c r="H110" s="86">
        <f>IFERROR(__xludf.DUMMYFUNCTION("""COMPUTED_VALUE"""),106.787395984368)</f>
        <v>106.787396</v>
      </c>
      <c r="I110" s="85"/>
      <c r="J110" s="85"/>
      <c r="K110" s="85"/>
      <c r="L110" s="85"/>
      <c r="M110" s="85"/>
      <c r="N110" s="85"/>
      <c r="O110" s="85"/>
      <c r="P110" s="85"/>
      <c r="Q110" s="85"/>
      <c r="R110" s="43"/>
      <c r="S110" s="43"/>
      <c r="T110" s="43"/>
      <c r="U110" s="43"/>
      <c r="V110" s="43"/>
      <c r="W110" s="43"/>
      <c r="X110" s="43"/>
      <c r="Y110" s="43"/>
      <c r="Z110" s="43"/>
    </row>
    <row r="111">
      <c r="A111" s="86">
        <f>IFERROR(__xludf.DUMMYFUNCTION("""COMPUTED_VALUE"""),110.0)</f>
        <v>110</v>
      </c>
      <c r="B111" s="87">
        <f>IFERROR(__xludf.DUMMYFUNCTION("""COMPUTED_VALUE"""),110.0)</f>
        <v>110</v>
      </c>
      <c r="C111" s="88" t="str">
        <f>IFERROR(__xludf.DUMMYFUNCTION("""COMPUTED_VALUE"""),"Fajar Wijaya")</f>
        <v>Fajar Wijaya</v>
      </c>
      <c r="D111" s="87" t="str">
        <f>IFERROR(__xludf.DUMMYFUNCTION("""COMPUTED_VALUE"""),"3, 2")</f>
        <v>3, 2</v>
      </c>
      <c r="E111" s="87" t="str">
        <f>IFERROR(__xludf.DUMMYFUNCTION("""COMPUTED_VALUE"""),"3, 6")</f>
        <v>3, 6</v>
      </c>
      <c r="F111" s="87" t="str">
        <f>IFERROR(__xludf.DUMMYFUNCTION("""COMPUTED_VALUE"""),"1427, 1638")</f>
        <v>1427, 1638</v>
      </c>
      <c r="G111" s="87">
        <f>IFERROR(__xludf.DUMMYFUNCTION("""COMPUTED_VALUE"""),-6.22410045087531)</f>
        <v>-6.224100451</v>
      </c>
      <c r="H111" s="86">
        <f>IFERROR(__xludf.DUMMYFUNCTION("""COMPUTED_VALUE"""),106.715341589991)</f>
        <v>106.7153416</v>
      </c>
      <c r="I111" s="85"/>
      <c r="J111" s="85"/>
      <c r="K111" s="85"/>
      <c r="L111" s="85"/>
      <c r="M111" s="85"/>
      <c r="N111" s="85"/>
      <c r="O111" s="85"/>
      <c r="P111" s="85"/>
      <c r="Q111" s="85"/>
      <c r="R111" s="43"/>
      <c r="S111" s="43"/>
      <c r="T111" s="43"/>
      <c r="U111" s="43"/>
      <c r="V111" s="43"/>
      <c r="W111" s="43"/>
      <c r="X111" s="43"/>
      <c r="Y111" s="43"/>
      <c r="Z111" s="43"/>
    </row>
    <row r="112">
      <c r="A112" s="86">
        <f>IFERROR(__xludf.DUMMYFUNCTION("""COMPUTED_VALUE"""),111.0)</f>
        <v>111</v>
      </c>
      <c r="B112" s="87">
        <f>IFERROR(__xludf.DUMMYFUNCTION("""COMPUTED_VALUE"""),111.0)</f>
        <v>111</v>
      </c>
      <c r="C112" s="88" t="str">
        <f>IFERROR(__xludf.DUMMYFUNCTION("""COMPUTED_VALUE"""),"Hadi Kurniawan")</f>
        <v>Hadi Kurniawan</v>
      </c>
      <c r="D112" s="87" t="str">
        <f>IFERROR(__xludf.DUMMYFUNCTION("""COMPUTED_VALUE"""),"3, 1")</f>
        <v>3, 1</v>
      </c>
      <c r="E112" s="87" t="str">
        <f>IFERROR(__xludf.DUMMYFUNCTION("""COMPUTED_VALUE"""),"3, 4")</f>
        <v>3, 4</v>
      </c>
      <c r="F112" s="87" t="str">
        <f>IFERROR(__xludf.DUMMYFUNCTION("""COMPUTED_VALUE"""),"122, 114")</f>
        <v>122, 114</v>
      </c>
      <c r="G112" s="87">
        <f>IFERROR(__xludf.DUMMYFUNCTION("""COMPUTED_VALUE"""),-6.27179829318935)</f>
        <v>-6.271798293</v>
      </c>
      <c r="H112" s="86">
        <f>IFERROR(__xludf.DUMMYFUNCTION("""COMPUTED_VALUE"""),106.812464432247)</f>
        <v>106.8124644</v>
      </c>
      <c r="I112" s="85"/>
      <c r="J112" s="85"/>
      <c r="K112" s="85"/>
      <c r="L112" s="85"/>
      <c r="M112" s="85"/>
      <c r="N112" s="85"/>
      <c r="O112" s="85"/>
      <c r="P112" s="85"/>
      <c r="Q112" s="85"/>
      <c r="R112" s="43"/>
      <c r="S112" s="43"/>
      <c r="T112" s="43"/>
      <c r="U112" s="43"/>
      <c r="V112" s="43"/>
      <c r="W112" s="43"/>
      <c r="X112" s="43"/>
      <c r="Y112" s="43"/>
      <c r="Z112" s="43"/>
    </row>
    <row r="113">
      <c r="A113" s="86">
        <f>IFERROR(__xludf.DUMMYFUNCTION("""COMPUTED_VALUE"""),112.0)</f>
        <v>112</v>
      </c>
      <c r="B113" s="87">
        <f>IFERROR(__xludf.DUMMYFUNCTION("""COMPUTED_VALUE"""),112.0)</f>
        <v>112</v>
      </c>
      <c r="C113" s="88" t="str">
        <f>IFERROR(__xludf.DUMMYFUNCTION("""COMPUTED_VALUE"""),"Ani Hadiwijaya")</f>
        <v>Ani Hadiwijaya</v>
      </c>
      <c r="D113" s="87" t="str">
        <f>IFERROR(__xludf.DUMMYFUNCTION("""COMPUTED_VALUE"""),"1, 6")</f>
        <v>1, 6</v>
      </c>
      <c r="E113" s="87" t="str">
        <f>IFERROR(__xludf.DUMMYFUNCTION("""COMPUTED_VALUE"""),"3, 5")</f>
        <v>3, 5</v>
      </c>
      <c r="F113" s="87" t="str">
        <f>IFERROR(__xludf.DUMMYFUNCTION("""COMPUTED_VALUE"""),"1333, 3169")</f>
        <v>1333, 3169</v>
      </c>
      <c r="G113" s="87">
        <f>IFERROR(__xludf.DUMMYFUNCTION("""COMPUTED_VALUE"""),-6.18933216935754)</f>
        <v>-6.189332169</v>
      </c>
      <c r="H113" s="86">
        <f>IFERROR(__xludf.DUMMYFUNCTION("""COMPUTED_VALUE"""),106.814915964123)</f>
        <v>106.814916</v>
      </c>
      <c r="I113" s="85"/>
      <c r="J113" s="85"/>
      <c r="K113" s="85"/>
      <c r="L113" s="85"/>
      <c r="M113" s="85"/>
      <c r="N113" s="85"/>
      <c r="O113" s="85"/>
      <c r="P113" s="85"/>
      <c r="Q113" s="85"/>
      <c r="R113" s="43"/>
      <c r="S113" s="43"/>
      <c r="T113" s="43"/>
      <c r="U113" s="43"/>
      <c r="V113" s="43"/>
      <c r="W113" s="43"/>
      <c r="X113" s="43"/>
      <c r="Y113" s="43"/>
      <c r="Z113" s="43"/>
    </row>
    <row r="114">
      <c r="A114" s="86">
        <f>IFERROR(__xludf.DUMMYFUNCTION("""COMPUTED_VALUE"""),113.0)</f>
        <v>113</v>
      </c>
      <c r="B114" s="87">
        <f>IFERROR(__xludf.DUMMYFUNCTION("""COMPUTED_VALUE"""),113.0)</f>
        <v>113</v>
      </c>
      <c r="C114" s="88" t="str">
        <f>IFERROR(__xludf.DUMMYFUNCTION("""COMPUTED_VALUE"""),"Budi Wijaya")</f>
        <v>Budi Wijaya</v>
      </c>
      <c r="D114" s="87" t="str">
        <f>IFERROR(__xludf.DUMMYFUNCTION("""COMPUTED_VALUE"""),"6, 3")</f>
        <v>6, 3</v>
      </c>
      <c r="E114" s="87" t="str">
        <f>IFERROR(__xludf.DUMMYFUNCTION("""COMPUTED_VALUE"""),"1, 5")</f>
        <v>1, 5</v>
      </c>
      <c r="F114" s="87" t="str">
        <f>IFERROR(__xludf.DUMMYFUNCTION("""COMPUTED_VALUE"""),"1638, 1530")</f>
        <v>1638, 1530</v>
      </c>
      <c r="G114" s="87">
        <f>IFERROR(__xludf.DUMMYFUNCTION("""COMPUTED_VALUE"""),-6.26207851485892)</f>
        <v>-6.262078515</v>
      </c>
      <c r="H114" s="86">
        <f>IFERROR(__xludf.DUMMYFUNCTION("""COMPUTED_VALUE"""),106.84074249411)</f>
        <v>106.8407425</v>
      </c>
      <c r="I114" s="85"/>
      <c r="J114" s="85"/>
      <c r="K114" s="85"/>
      <c r="L114" s="85"/>
      <c r="M114" s="85"/>
      <c r="N114" s="85"/>
      <c r="O114" s="85"/>
      <c r="P114" s="85"/>
      <c r="Q114" s="85"/>
      <c r="R114" s="43"/>
      <c r="S114" s="43"/>
      <c r="T114" s="43"/>
      <c r="U114" s="43"/>
      <c r="V114" s="43"/>
      <c r="W114" s="43"/>
      <c r="X114" s="43"/>
      <c r="Y114" s="43"/>
      <c r="Z114" s="43"/>
    </row>
    <row r="115">
      <c r="A115" s="86">
        <f>IFERROR(__xludf.DUMMYFUNCTION("""COMPUTED_VALUE"""),114.0)</f>
        <v>114</v>
      </c>
      <c r="B115" s="87">
        <f>IFERROR(__xludf.DUMMYFUNCTION("""COMPUTED_VALUE"""),114.0)</f>
        <v>114</v>
      </c>
      <c r="C115" s="88" t="str">
        <f>IFERROR(__xludf.DUMMYFUNCTION("""COMPUTED_VALUE"""),"Ani Sari")</f>
        <v>Ani Sari</v>
      </c>
      <c r="D115" s="87" t="str">
        <f>IFERROR(__xludf.DUMMYFUNCTION("""COMPUTED_VALUE"""),"3, 2")</f>
        <v>3, 2</v>
      </c>
      <c r="E115" s="87" t="str">
        <f>IFERROR(__xludf.DUMMYFUNCTION("""COMPUTED_VALUE"""),"4, 3")</f>
        <v>4, 3</v>
      </c>
      <c r="F115" s="87" t="str">
        <f>IFERROR(__xludf.DUMMYFUNCTION("""COMPUTED_VALUE"""),"1420, 1422")</f>
        <v>1420, 1422</v>
      </c>
      <c r="G115" s="87">
        <f>IFERROR(__xludf.DUMMYFUNCTION("""COMPUTED_VALUE"""),-6.10772002411632)</f>
        <v>-6.107720024</v>
      </c>
      <c r="H115" s="86">
        <f>IFERROR(__xludf.DUMMYFUNCTION("""COMPUTED_VALUE"""),106.778011604849)</f>
        <v>106.7780116</v>
      </c>
      <c r="I115" s="85"/>
      <c r="J115" s="85"/>
      <c r="K115" s="85"/>
      <c r="L115" s="85"/>
      <c r="M115" s="85"/>
      <c r="N115" s="85"/>
      <c r="O115" s="85"/>
      <c r="P115" s="85"/>
      <c r="Q115" s="85"/>
      <c r="R115" s="43"/>
      <c r="S115" s="43"/>
      <c r="T115" s="43"/>
      <c r="U115" s="43"/>
      <c r="V115" s="43"/>
      <c r="W115" s="43"/>
      <c r="X115" s="43"/>
      <c r="Y115" s="43"/>
      <c r="Z115" s="43"/>
    </row>
    <row r="116">
      <c r="A116" s="86">
        <f>IFERROR(__xludf.DUMMYFUNCTION("""COMPUTED_VALUE"""),115.0)</f>
        <v>115</v>
      </c>
      <c r="B116" s="87">
        <f>IFERROR(__xludf.DUMMYFUNCTION("""COMPUTED_VALUE"""),115.0)</f>
        <v>115</v>
      </c>
      <c r="C116" s="88" t="str">
        <f>IFERROR(__xludf.DUMMYFUNCTION("""COMPUTED_VALUE"""),"Dewi Septiani")</f>
        <v>Dewi Septiani</v>
      </c>
      <c r="D116" s="87" t="str">
        <f>IFERROR(__xludf.DUMMYFUNCTION("""COMPUTED_VALUE"""),"1, 2")</f>
        <v>1, 2</v>
      </c>
      <c r="E116" s="87" t="str">
        <f>IFERROR(__xludf.DUMMYFUNCTION("""COMPUTED_VALUE"""),"6, 3")</f>
        <v>6, 3</v>
      </c>
      <c r="F116" s="87" t="str">
        <f>IFERROR(__xludf.DUMMYFUNCTION("""COMPUTED_VALUE"""),"3164, 1212")</f>
        <v>3164, 1212</v>
      </c>
      <c r="G116" s="87">
        <f>IFERROR(__xludf.DUMMYFUNCTION("""COMPUTED_VALUE"""),-6.1451879012725)</f>
        <v>-6.145187901</v>
      </c>
      <c r="H116" s="86">
        <f>IFERROR(__xludf.DUMMYFUNCTION("""COMPUTED_VALUE"""),106.722070521512)</f>
        <v>106.7220705</v>
      </c>
      <c r="I116" s="85"/>
      <c r="J116" s="85"/>
      <c r="K116" s="85"/>
      <c r="L116" s="85"/>
      <c r="M116" s="85"/>
      <c r="N116" s="85"/>
      <c r="O116" s="85"/>
      <c r="P116" s="85"/>
      <c r="Q116" s="85"/>
      <c r="R116" s="43"/>
      <c r="S116" s="43"/>
      <c r="T116" s="43"/>
      <c r="U116" s="43"/>
      <c r="V116" s="43"/>
      <c r="W116" s="43"/>
      <c r="X116" s="43"/>
      <c r="Y116" s="43"/>
      <c r="Z116" s="43"/>
    </row>
    <row r="117">
      <c r="A117" s="86">
        <f>IFERROR(__xludf.DUMMYFUNCTION("""COMPUTED_VALUE"""),116.0)</f>
        <v>116</v>
      </c>
      <c r="B117" s="87">
        <f>IFERROR(__xludf.DUMMYFUNCTION("""COMPUTED_VALUE"""),116.0)</f>
        <v>116</v>
      </c>
      <c r="C117" s="88" t="str">
        <f>IFERROR(__xludf.DUMMYFUNCTION("""COMPUTED_VALUE"""),"Fandi Hartono")</f>
        <v>Fandi Hartono</v>
      </c>
      <c r="D117" s="87" t="str">
        <f>IFERROR(__xludf.DUMMYFUNCTION("""COMPUTED_VALUE"""),"2, 1")</f>
        <v>2, 1</v>
      </c>
      <c r="E117" s="87" t="str">
        <f>IFERROR(__xludf.DUMMYFUNCTION("""COMPUTED_VALUE"""),"2, 1")</f>
        <v>2, 1</v>
      </c>
      <c r="F117" s="87" t="str">
        <f>IFERROR(__xludf.DUMMYFUNCTION("""COMPUTED_VALUE"""),"1639, 3169")</f>
        <v>1639, 3169</v>
      </c>
      <c r="G117" s="87">
        <f>IFERROR(__xludf.DUMMYFUNCTION("""COMPUTED_VALUE"""),-6.14595291023516)</f>
        <v>-6.14595291</v>
      </c>
      <c r="H117" s="86">
        <f>IFERROR(__xludf.DUMMYFUNCTION("""COMPUTED_VALUE"""),107.000802644647)</f>
        <v>107.0008026</v>
      </c>
      <c r="I117" s="85"/>
      <c r="J117" s="85"/>
      <c r="K117" s="85"/>
      <c r="L117" s="85"/>
      <c r="M117" s="85"/>
      <c r="N117" s="85"/>
      <c r="O117" s="85"/>
      <c r="P117" s="85"/>
      <c r="Q117" s="85"/>
      <c r="R117" s="43"/>
      <c r="S117" s="43"/>
      <c r="T117" s="43"/>
      <c r="U117" s="43"/>
      <c r="V117" s="43"/>
      <c r="W117" s="43"/>
      <c r="X117" s="43"/>
      <c r="Y117" s="43"/>
      <c r="Z117" s="43"/>
    </row>
    <row r="118">
      <c r="A118" s="86">
        <f>IFERROR(__xludf.DUMMYFUNCTION("""COMPUTED_VALUE"""),117.0)</f>
        <v>117</v>
      </c>
      <c r="B118" s="87">
        <f>IFERROR(__xludf.DUMMYFUNCTION("""COMPUTED_VALUE"""),117.0)</f>
        <v>117</v>
      </c>
      <c r="C118" s="88" t="str">
        <f>IFERROR(__xludf.DUMMYFUNCTION("""COMPUTED_VALUE"""),"Wahyu Sari")</f>
        <v>Wahyu Sari</v>
      </c>
      <c r="D118" s="87" t="str">
        <f>IFERROR(__xludf.DUMMYFUNCTION("""COMPUTED_VALUE"""),"4, 4")</f>
        <v>4, 4</v>
      </c>
      <c r="E118" s="87" t="str">
        <f>IFERROR(__xludf.DUMMYFUNCTION("""COMPUTED_VALUE"""),"4, 2")</f>
        <v>4, 2</v>
      </c>
      <c r="F118" s="87" t="str">
        <f>IFERROR(__xludf.DUMMYFUNCTION("""COMPUTED_VALUE"""),"1636, 3455")</f>
        <v>1636, 3455</v>
      </c>
      <c r="G118" s="87">
        <f>IFERROR(__xludf.DUMMYFUNCTION("""COMPUTED_VALUE"""),-6.21469546038793)</f>
        <v>-6.21469546</v>
      </c>
      <c r="H118" s="86">
        <f>IFERROR(__xludf.DUMMYFUNCTION("""COMPUTED_VALUE"""),106.860898267299)</f>
        <v>106.8608983</v>
      </c>
      <c r="I118" s="85"/>
      <c r="J118" s="85"/>
      <c r="K118" s="85"/>
      <c r="L118" s="85"/>
      <c r="M118" s="85"/>
      <c r="N118" s="85"/>
      <c r="O118" s="85"/>
      <c r="P118" s="85"/>
      <c r="Q118" s="85"/>
      <c r="R118" s="43"/>
      <c r="S118" s="43"/>
      <c r="T118" s="43"/>
      <c r="U118" s="43"/>
      <c r="V118" s="43"/>
      <c r="W118" s="43"/>
      <c r="X118" s="43"/>
      <c r="Y118" s="43"/>
      <c r="Z118" s="43"/>
    </row>
    <row r="119">
      <c r="A119" s="86">
        <f>IFERROR(__xludf.DUMMYFUNCTION("""COMPUTED_VALUE"""),118.0)</f>
        <v>118</v>
      </c>
      <c r="B119" s="87">
        <f>IFERROR(__xludf.DUMMYFUNCTION("""COMPUTED_VALUE"""),118.0)</f>
        <v>118</v>
      </c>
      <c r="C119" s="88" t="str">
        <f>IFERROR(__xludf.DUMMYFUNCTION("""COMPUTED_VALUE"""),"Ani Santoso")</f>
        <v>Ani Santoso</v>
      </c>
      <c r="D119" s="87" t="str">
        <f>IFERROR(__xludf.DUMMYFUNCTION("""COMPUTED_VALUE"""),"4, 2")</f>
        <v>4, 2</v>
      </c>
      <c r="E119" s="87" t="str">
        <f>IFERROR(__xludf.DUMMYFUNCTION("""COMPUTED_VALUE"""),"6, 1")</f>
        <v>6, 1</v>
      </c>
      <c r="F119" s="87" t="str">
        <f>IFERROR(__xludf.DUMMYFUNCTION("""COMPUTED_VALUE"""),"1332, 1416")</f>
        <v>1332, 1416</v>
      </c>
      <c r="G119" s="87">
        <f>IFERROR(__xludf.DUMMYFUNCTION("""COMPUTED_VALUE"""),-6.14798162789222)</f>
        <v>-6.147981628</v>
      </c>
      <c r="H119" s="86">
        <f>IFERROR(__xludf.DUMMYFUNCTION("""COMPUTED_VALUE"""),106.838733605442)</f>
        <v>106.8387336</v>
      </c>
      <c r="I119" s="85"/>
      <c r="J119" s="85"/>
      <c r="K119" s="85"/>
      <c r="L119" s="85"/>
      <c r="M119" s="85"/>
      <c r="N119" s="85"/>
      <c r="O119" s="85"/>
      <c r="P119" s="85"/>
      <c r="Q119" s="85"/>
      <c r="R119" s="43"/>
      <c r="S119" s="43"/>
      <c r="T119" s="43"/>
      <c r="U119" s="43"/>
      <c r="V119" s="43"/>
      <c r="W119" s="43"/>
      <c r="X119" s="43"/>
      <c r="Y119" s="43"/>
      <c r="Z119" s="43"/>
    </row>
    <row r="120">
      <c r="A120" s="86">
        <f>IFERROR(__xludf.DUMMYFUNCTION("""COMPUTED_VALUE"""),119.0)</f>
        <v>119</v>
      </c>
      <c r="B120" s="87">
        <f>IFERROR(__xludf.DUMMYFUNCTION("""COMPUTED_VALUE"""),119.0)</f>
        <v>119</v>
      </c>
      <c r="C120" s="88" t="str">
        <f>IFERROR(__xludf.DUMMYFUNCTION("""COMPUTED_VALUE"""),"Budi Rahayu")</f>
        <v>Budi Rahayu</v>
      </c>
      <c r="D120" s="87" t="str">
        <f>IFERROR(__xludf.DUMMYFUNCTION("""COMPUTED_VALUE"""),"3, 2")</f>
        <v>3, 2</v>
      </c>
      <c r="E120" s="87" t="str">
        <f>IFERROR(__xludf.DUMMYFUNCTION("""COMPUTED_VALUE"""),"1, 2")</f>
        <v>1, 2</v>
      </c>
      <c r="F120" s="87" t="str">
        <f>IFERROR(__xludf.DUMMYFUNCTION("""COMPUTED_VALUE"""),"3169, 3162")</f>
        <v>3169, 3162</v>
      </c>
      <c r="G120" s="87">
        <f>IFERROR(__xludf.DUMMYFUNCTION("""COMPUTED_VALUE"""),-6.090329157623)</f>
        <v>-6.090329158</v>
      </c>
      <c r="H120" s="86">
        <f>IFERROR(__xludf.DUMMYFUNCTION("""COMPUTED_VALUE"""),106.704401251654)</f>
        <v>106.7044013</v>
      </c>
      <c r="I120" s="85"/>
      <c r="J120" s="85"/>
      <c r="K120" s="85"/>
      <c r="L120" s="85"/>
      <c r="M120" s="85"/>
      <c r="N120" s="85"/>
      <c r="O120" s="85"/>
      <c r="P120" s="85"/>
      <c r="Q120" s="85"/>
      <c r="R120" s="43"/>
      <c r="S120" s="43"/>
      <c r="T120" s="43"/>
      <c r="U120" s="43"/>
      <c r="V120" s="43"/>
      <c r="W120" s="43"/>
      <c r="X120" s="43"/>
      <c r="Y120" s="43"/>
      <c r="Z120" s="43"/>
    </row>
    <row r="121">
      <c r="A121" s="86">
        <f>IFERROR(__xludf.DUMMYFUNCTION("""COMPUTED_VALUE"""),120.0)</f>
        <v>120</v>
      </c>
      <c r="B121" s="87">
        <f>IFERROR(__xludf.DUMMYFUNCTION("""COMPUTED_VALUE"""),120.0)</f>
        <v>120</v>
      </c>
      <c r="C121" s="88" t="str">
        <f>IFERROR(__xludf.DUMMYFUNCTION("""COMPUTED_VALUE"""),"Dewi Septiani")</f>
        <v>Dewi Septiani</v>
      </c>
      <c r="D121" s="87" t="str">
        <f>IFERROR(__xludf.DUMMYFUNCTION("""COMPUTED_VALUE"""),"6, 2")</f>
        <v>6, 2</v>
      </c>
      <c r="E121" s="87" t="str">
        <f>IFERROR(__xludf.DUMMYFUNCTION("""COMPUTED_VALUE"""),"5, 3")</f>
        <v>5, 3</v>
      </c>
      <c r="F121" s="87" t="str">
        <f>IFERROR(__xludf.DUMMYFUNCTION("""COMPUTED_VALUE"""),"1519, 114")</f>
        <v>1519, 114</v>
      </c>
      <c r="G121" s="87">
        <f>IFERROR(__xludf.DUMMYFUNCTION("""COMPUTED_VALUE"""),-6.19941134796282)</f>
        <v>-6.199411348</v>
      </c>
      <c r="H121" s="86">
        <f>IFERROR(__xludf.DUMMYFUNCTION("""COMPUTED_VALUE"""),106.767309389786)</f>
        <v>106.7673094</v>
      </c>
      <c r="I121" s="85"/>
      <c r="J121" s="85"/>
      <c r="K121" s="85"/>
      <c r="L121" s="85"/>
      <c r="M121" s="85"/>
      <c r="N121" s="85"/>
      <c r="O121" s="85"/>
      <c r="P121" s="85"/>
      <c r="Q121" s="85"/>
      <c r="R121" s="43"/>
      <c r="S121" s="43"/>
      <c r="T121" s="43"/>
      <c r="U121" s="43"/>
      <c r="V121" s="43"/>
      <c r="W121" s="43"/>
      <c r="X121" s="43"/>
      <c r="Y121" s="43"/>
      <c r="Z121" s="43"/>
    </row>
    <row r="122">
      <c r="A122" s="86">
        <f>IFERROR(__xludf.DUMMYFUNCTION("""COMPUTED_VALUE"""),121.0)</f>
        <v>121</v>
      </c>
      <c r="B122" s="87">
        <f>IFERROR(__xludf.DUMMYFUNCTION("""COMPUTED_VALUE"""),121.0)</f>
        <v>121</v>
      </c>
      <c r="C122" s="88" t="str">
        <f>IFERROR(__xludf.DUMMYFUNCTION("""COMPUTED_VALUE"""),"Wahyu Saputra")</f>
        <v>Wahyu Saputra</v>
      </c>
      <c r="D122" s="87" t="str">
        <f>IFERROR(__xludf.DUMMYFUNCTION("""COMPUTED_VALUE"""),"6, 2")</f>
        <v>6, 2</v>
      </c>
      <c r="E122" s="87" t="str">
        <f>IFERROR(__xludf.DUMMYFUNCTION("""COMPUTED_VALUE"""),"6, 3")</f>
        <v>6, 3</v>
      </c>
      <c r="F122" s="87" t="str">
        <f>IFERROR(__xludf.DUMMYFUNCTION("""COMPUTED_VALUE"""),"1651, 3659")</f>
        <v>1651, 3659</v>
      </c>
      <c r="G122" s="87">
        <f>IFERROR(__xludf.DUMMYFUNCTION("""COMPUTED_VALUE"""),-6.2051624988196)</f>
        <v>-6.205162499</v>
      </c>
      <c r="H122" s="86">
        <f>IFERROR(__xludf.DUMMYFUNCTION("""COMPUTED_VALUE"""),106.901614864299)</f>
        <v>106.9016149</v>
      </c>
      <c r="I122" s="85"/>
      <c r="J122" s="85"/>
      <c r="K122" s="85"/>
      <c r="L122" s="85"/>
      <c r="M122" s="85"/>
      <c r="N122" s="85"/>
      <c r="O122" s="85"/>
      <c r="P122" s="85"/>
      <c r="Q122" s="85"/>
      <c r="R122" s="43"/>
      <c r="S122" s="43"/>
      <c r="T122" s="43"/>
      <c r="U122" s="43"/>
      <c r="V122" s="43"/>
      <c r="W122" s="43"/>
      <c r="X122" s="43"/>
      <c r="Y122" s="43"/>
      <c r="Z122" s="43"/>
    </row>
    <row r="123">
      <c r="A123" s="86">
        <f>IFERROR(__xludf.DUMMYFUNCTION("""COMPUTED_VALUE"""),122.0)</f>
        <v>122</v>
      </c>
      <c r="B123" s="87">
        <f>IFERROR(__xludf.DUMMYFUNCTION("""COMPUTED_VALUE"""),122.0)</f>
        <v>122</v>
      </c>
      <c r="C123" s="88" t="str">
        <f>IFERROR(__xludf.DUMMYFUNCTION("""COMPUTED_VALUE"""),"Maya Setiawan")</f>
        <v>Maya Setiawan</v>
      </c>
      <c r="D123" s="87" t="str">
        <f>IFERROR(__xludf.DUMMYFUNCTION("""COMPUTED_VALUE"""),"2, 5")</f>
        <v>2, 5</v>
      </c>
      <c r="E123" s="87" t="str">
        <f>IFERROR(__xludf.DUMMYFUNCTION("""COMPUTED_VALUE"""),"2, 3")</f>
        <v>2, 3</v>
      </c>
      <c r="F123" s="87" t="str">
        <f>IFERROR(__xludf.DUMMYFUNCTION("""COMPUTED_VALUE"""),"1334, 1334")</f>
        <v>1334, 1334</v>
      </c>
      <c r="G123" s="87">
        <f>IFERROR(__xludf.DUMMYFUNCTION("""COMPUTED_VALUE"""),-6.13363433209048)</f>
        <v>-6.133634332</v>
      </c>
      <c r="H123" s="86">
        <f>IFERROR(__xludf.DUMMYFUNCTION("""COMPUTED_VALUE"""),106.953042717676)</f>
        <v>106.9530427</v>
      </c>
      <c r="I123" s="85"/>
      <c r="J123" s="85"/>
      <c r="K123" s="85"/>
      <c r="L123" s="85"/>
      <c r="M123" s="85"/>
      <c r="N123" s="85"/>
      <c r="O123" s="85"/>
      <c r="P123" s="85"/>
      <c r="Q123" s="85"/>
      <c r="R123" s="43"/>
      <c r="S123" s="43"/>
      <c r="T123" s="43"/>
      <c r="U123" s="43"/>
      <c r="V123" s="43"/>
      <c r="W123" s="43"/>
      <c r="X123" s="43"/>
      <c r="Y123" s="43"/>
      <c r="Z123" s="43"/>
    </row>
    <row r="124">
      <c r="A124" s="86">
        <f>IFERROR(__xludf.DUMMYFUNCTION("""COMPUTED_VALUE"""),123.0)</f>
        <v>123</v>
      </c>
      <c r="B124" s="87">
        <f>IFERROR(__xludf.DUMMYFUNCTION("""COMPUTED_VALUE"""),123.0)</f>
        <v>123</v>
      </c>
      <c r="C124" s="88" t="str">
        <f>IFERROR(__xludf.DUMMYFUNCTION("""COMPUTED_VALUE"""),"Lina Hartono")</f>
        <v>Lina Hartono</v>
      </c>
      <c r="D124" s="87" t="str">
        <f>IFERROR(__xludf.DUMMYFUNCTION("""COMPUTED_VALUE"""),"3, 5")</f>
        <v>3, 5</v>
      </c>
      <c r="E124" s="87" t="str">
        <f>IFERROR(__xludf.DUMMYFUNCTION("""COMPUTED_VALUE"""),"6, 5")</f>
        <v>6, 5</v>
      </c>
      <c r="F124" s="87" t="str">
        <f>IFERROR(__xludf.DUMMYFUNCTION("""COMPUTED_VALUE"""),"1333, 3356")</f>
        <v>1333, 3356</v>
      </c>
      <c r="G124" s="87">
        <f>IFERROR(__xludf.DUMMYFUNCTION("""COMPUTED_VALUE"""),-6.19790529040065)</f>
        <v>-6.19790529</v>
      </c>
      <c r="H124" s="86">
        <f>IFERROR(__xludf.DUMMYFUNCTION("""COMPUTED_VALUE"""),106.999533627551)</f>
        <v>106.9995336</v>
      </c>
      <c r="I124" s="85"/>
      <c r="J124" s="85"/>
      <c r="K124" s="85"/>
      <c r="L124" s="85"/>
      <c r="M124" s="85"/>
      <c r="N124" s="85"/>
      <c r="O124" s="85"/>
      <c r="P124" s="85"/>
      <c r="Q124" s="85"/>
      <c r="R124" s="43"/>
      <c r="S124" s="43"/>
      <c r="T124" s="43"/>
      <c r="U124" s="43"/>
      <c r="V124" s="43"/>
      <c r="W124" s="43"/>
      <c r="X124" s="43"/>
      <c r="Y124" s="43"/>
      <c r="Z124" s="43"/>
    </row>
    <row r="125">
      <c r="A125" s="86">
        <f>IFERROR(__xludf.DUMMYFUNCTION("""COMPUTED_VALUE"""),124.0)</f>
        <v>124</v>
      </c>
      <c r="B125" s="87">
        <f>IFERROR(__xludf.DUMMYFUNCTION("""COMPUTED_VALUE"""),124.0)</f>
        <v>124</v>
      </c>
      <c r="C125" s="88" t="str">
        <f>IFERROR(__xludf.DUMMYFUNCTION("""COMPUTED_VALUE"""),"Fandi Setiawan")</f>
        <v>Fandi Setiawan</v>
      </c>
      <c r="D125" s="87" t="str">
        <f>IFERROR(__xludf.DUMMYFUNCTION("""COMPUTED_VALUE"""),"4, 4")</f>
        <v>4, 4</v>
      </c>
      <c r="E125" s="87" t="str">
        <f>IFERROR(__xludf.DUMMYFUNCTION("""COMPUTED_VALUE"""),"5, 4")</f>
        <v>5, 4</v>
      </c>
      <c r="F125" s="87" t="str">
        <f>IFERROR(__xludf.DUMMYFUNCTION("""COMPUTED_VALUE"""),"1642, 1639")</f>
        <v>1642, 1639</v>
      </c>
      <c r="G125" s="87">
        <f>IFERROR(__xludf.DUMMYFUNCTION("""COMPUTED_VALUE"""),-6.11690070620951)</f>
        <v>-6.116900706</v>
      </c>
      <c r="H125" s="86">
        <f>IFERROR(__xludf.DUMMYFUNCTION("""COMPUTED_VALUE"""),106.800113088667)</f>
        <v>106.8001131</v>
      </c>
      <c r="I125" s="85"/>
      <c r="J125" s="85"/>
      <c r="K125" s="85"/>
      <c r="L125" s="85"/>
      <c r="M125" s="85"/>
      <c r="N125" s="85"/>
      <c r="O125" s="85"/>
      <c r="P125" s="85"/>
      <c r="Q125" s="85"/>
      <c r="R125" s="43"/>
      <c r="S125" s="43"/>
      <c r="T125" s="43"/>
      <c r="U125" s="43"/>
      <c r="V125" s="43"/>
      <c r="W125" s="43"/>
      <c r="X125" s="43"/>
      <c r="Y125" s="43"/>
      <c r="Z125" s="43"/>
    </row>
    <row r="126">
      <c r="A126" s="86">
        <f>IFERROR(__xludf.DUMMYFUNCTION("""COMPUTED_VALUE"""),125.0)</f>
        <v>125</v>
      </c>
      <c r="B126" s="87">
        <f>IFERROR(__xludf.DUMMYFUNCTION("""COMPUTED_VALUE"""),125.0)</f>
        <v>125</v>
      </c>
      <c r="C126" s="88" t="str">
        <f>IFERROR(__xludf.DUMMYFUNCTION("""COMPUTED_VALUE"""),"Fandi Hidayat")</f>
        <v>Fandi Hidayat</v>
      </c>
      <c r="D126" s="87" t="str">
        <f>IFERROR(__xludf.DUMMYFUNCTION("""COMPUTED_VALUE"""),"6, 3")</f>
        <v>6, 3</v>
      </c>
      <c r="E126" s="87" t="str">
        <f>IFERROR(__xludf.DUMMYFUNCTION("""COMPUTED_VALUE"""),"5, 2")</f>
        <v>5, 2</v>
      </c>
      <c r="F126" s="87" t="str">
        <f>IFERROR(__xludf.DUMMYFUNCTION("""COMPUTED_VALUE"""),"1333, 1643")</f>
        <v>1333, 1643</v>
      </c>
      <c r="G126" s="87">
        <f>IFERROR(__xludf.DUMMYFUNCTION("""COMPUTED_VALUE"""),-6.23007942309998)</f>
        <v>-6.230079423</v>
      </c>
      <c r="H126" s="86">
        <f>IFERROR(__xludf.DUMMYFUNCTION("""COMPUTED_VALUE"""),106.854031050306)</f>
        <v>106.8540311</v>
      </c>
      <c r="I126" s="85"/>
      <c r="J126" s="85"/>
      <c r="K126" s="85"/>
      <c r="L126" s="85"/>
      <c r="M126" s="85"/>
      <c r="N126" s="85"/>
      <c r="O126" s="85"/>
      <c r="P126" s="85"/>
      <c r="Q126" s="85"/>
      <c r="R126" s="43"/>
      <c r="S126" s="43"/>
      <c r="T126" s="43"/>
      <c r="U126" s="43"/>
      <c r="V126" s="43"/>
      <c r="W126" s="43"/>
      <c r="X126" s="43"/>
      <c r="Y126" s="43"/>
      <c r="Z126" s="43"/>
    </row>
    <row r="127">
      <c r="A127" s="86">
        <f>IFERROR(__xludf.DUMMYFUNCTION("""COMPUTED_VALUE"""),126.0)</f>
        <v>126</v>
      </c>
      <c r="B127" s="87">
        <f>IFERROR(__xludf.DUMMYFUNCTION("""COMPUTED_VALUE"""),126.0)</f>
        <v>126</v>
      </c>
      <c r="C127" s="88" t="str">
        <f>IFERROR(__xludf.DUMMYFUNCTION("""COMPUTED_VALUE"""),"Agus Santoso")</f>
        <v>Agus Santoso</v>
      </c>
      <c r="D127" s="87" t="str">
        <f>IFERROR(__xludf.DUMMYFUNCTION("""COMPUTED_VALUE"""),"3, 2")</f>
        <v>3, 2</v>
      </c>
      <c r="E127" s="87" t="str">
        <f>IFERROR(__xludf.DUMMYFUNCTION("""COMPUTED_VALUE"""),"3, 6")</f>
        <v>3, 6</v>
      </c>
      <c r="F127" s="87" t="str">
        <f>IFERROR(__xludf.DUMMYFUNCTION("""COMPUTED_VALUE"""),"3166, 1114")</f>
        <v>3166, 1114</v>
      </c>
      <c r="G127" s="87">
        <f>IFERROR(__xludf.DUMMYFUNCTION("""COMPUTED_VALUE"""),-6.2216032395291)</f>
        <v>-6.22160324</v>
      </c>
      <c r="H127" s="86">
        <f>IFERROR(__xludf.DUMMYFUNCTION("""COMPUTED_VALUE"""),106.799941467584)</f>
        <v>106.7999415</v>
      </c>
      <c r="I127" s="85"/>
      <c r="J127" s="85"/>
      <c r="K127" s="85"/>
      <c r="L127" s="85"/>
      <c r="M127" s="85"/>
      <c r="N127" s="85"/>
      <c r="O127" s="85"/>
      <c r="P127" s="85"/>
      <c r="Q127" s="85"/>
      <c r="R127" s="43"/>
      <c r="S127" s="43"/>
      <c r="T127" s="43"/>
      <c r="U127" s="43"/>
      <c r="V127" s="43"/>
      <c r="W127" s="43"/>
      <c r="X127" s="43"/>
      <c r="Y127" s="43"/>
      <c r="Z127" s="43"/>
    </row>
    <row r="128">
      <c r="A128" s="86">
        <f>IFERROR(__xludf.DUMMYFUNCTION("""COMPUTED_VALUE"""),127.0)</f>
        <v>127</v>
      </c>
      <c r="B128" s="87">
        <f>IFERROR(__xludf.DUMMYFUNCTION("""COMPUTED_VALUE"""),127.0)</f>
        <v>127</v>
      </c>
      <c r="C128" s="88" t="str">
        <f>IFERROR(__xludf.DUMMYFUNCTION("""COMPUTED_VALUE"""),"Sinta Wijaya")</f>
        <v>Sinta Wijaya</v>
      </c>
      <c r="D128" s="87" t="str">
        <f>IFERROR(__xludf.DUMMYFUNCTION("""COMPUTED_VALUE"""),"6, 1")</f>
        <v>6, 1</v>
      </c>
      <c r="E128" s="87" t="str">
        <f>IFERROR(__xludf.DUMMYFUNCTION("""COMPUTED_VALUE"""),"6, 4")</f>
        <v>6, 4</v>
      </c>
      <c r="F128" s="87" t="str">
        <f>IFERROR(__xludf.DUMMYFUNCTION("""COMPUTED_VALUE"""),"3166, 3454")</f>
        <v>3166, 3454</v>
      </c>
      <c r="G128" s="87">
        <f>IFERROR(__xludf.DUMMYFUNCTION("""COMPUTED_VALUE"""),-6.20403647835027)</f>
        <v>-6.204036478</v>
      </c>
      <c r="H128" s="86">
        <f>IFERROR(__xludf.DUMMYFUNCTION("""COMPUTED_VALUE"""),106.960466852829)</f>
        <v>106.9604669</v>
      </c>
      <c r="I128" s="85"/>
      <c r="J128" s="85"/>
      <c r="K128" s="85"/>
      <c r="L128" s="85"/>
      <c r="M128" s="85"/>
      <c r="N128" s="85"/>
      <c r="O128" s="85"/>
      <c r="P128" s="85"/>
      <c r="Q128" s="85"/>
      <c r="R128" s="43"/>
      <c r="S128" s="43"/>
      <c r="T128" s="43"/>
      <c r="U128" s="43"/>
      <c r="V128" s="43"/>
      <c r="W128" s="43"/>
      <c r="X128" s="43"/>
      <c r="Y128" s="43"/>
      <c r="Z128" s="43"/>
    </row>
    <row r="129">
      <c r="A129" s="86">
        <f>IFERROR(__xludf.DUMMYFUNCTION("""COMPUTED_VALUE"""),128.0)</f>
        <v>128</v>
      </c>
      <c r="B129" s="87">
        <f>IFERROR(__xludf.DUMMYFUNCTION("""COMPUTED_VALUE"""),128.0)</f>
        <v>128</v>
      </c>
      <c r="C129" s="88" t="str">
        <f>IFERROR(__xludf.DUMMYFUNCTION("""COMPUTED_VALUE"""),"Bambang Utami")</f>
        <v>Bambang Utami</v>
      </c>
      <c r="D129" s="87" t="str">
        <f>IFERROR(__xludf.DUMMYFUNCTION("""COMPUTED_VALUE"""),"1, 3")</f>
        <v>1, 3</v>
      </c>
      <c r="E129" s="87" t="str">
        <f>IFERROR(__xludf.DUMMYFUNCTION("""COMPUTED_VALUE"""),"3, 6")</f>
        <v>3, 6</v>
      </c>
      <c r="F129" s="87" t="str">
        <f>IFERROR(__xludf.DUMMYFUNCTION("""COMPUTED_VALUE"""),"3657, 1335")</f>
        <v>3657, 1335</v>
      </c>
      <c r="G129" s="87">
        <f>IFERROR(__xludf.DUMMYFUNCTION("""COMPUTED_VALUE"""),-6.19919009372947)</f>
        <v>-6.199190094</v>
      </c>
      <c r="H129" s="86">
        <f>IFERROR(__xludf.DUMMYFUNCTION("""COMPUTED_VALUE"""),106.586550644111)</f>
        <v>106.5865506</v>
      </c>
      <c r="I129" s="85"/>
      <c r="J129" s="85"/>
      <c r="K129" s="85"/>
      <c r="L129" s="85"/>
      <c r="M129" s="85"/>
      <c r="N129" s="85"/>
      <c r="O129" s="85"/>
      <c r="P129" s="85"/>
      <c r="Q129" s="85"/>
      <c r="R129" s="43"/>
      <c r="S129" s="43"/>
      <c r="T129" s="43"/>
      <c r="U129" s="43"/>
      <c r="V129" s="43"/>
      <c r="W129" s="43"/>
      <c r="X129" s="43"/>
      <c r="Y129" s="43"/>
      <c r="Z129" s="43"/>
    </row>
    <row r="130">
      <c r="A130" s="86">
        <f>IFERROR(__xludf.DUMMYFUNCTION("""COMPUTED_VALUE"""),129.0)</f>
        <v>129</v>
      </c>
      <c r="B130" s="87">
        <f>IFERROR(__xludf.DUMMYFUNCTION("""COMPUTED_VALUE"""),129.0)</f>
        <v>129</v>
      </c>
      <c r="C130" s="88" t="str">
        <f>IFERROR(__xludf.DUMMYFUNCTION("""COMPUTED_VALUE"""),"Maya Kusuma")</f>
        <v>Maya Kusuma</v>
      </c>
      <c r="D130" s="87" t="str">
        <f>IFERROR(__xludf.DUMMYFUNCTION("""COMPUTED_VALUE"""),"6, 1")</f>
        <v>6, 1</v>
      </c>
      <c r="E130" s="87" t="str">
        <f>IFERROR(__xludf.DUMMYFUNCTION("""COMPUTED_VALUE"""),"4, 6")</f>
        <v>4, 6</v>
      </c>
      <c r="F130" s="87" t="str">
        <f>IFERROR(__xludf.DUMMYFUNCTION("""COMPUTED_VALUE"""),"1416, 114")</f>
        <v>1416, 114</v>
      </c>
      <c r="G130" s="87">
        <f>IFERROR(__xludf.DUMMYFUNCTION("""COMPUTED_VALUE"""),-6.16582884878979)</f>
        <v>-6.165828849</v>
      </c>
      <c r="H130" s="86">
        <f>IFERROR(__xludf.DUMMYFUNCTION("""COMPUTED_VALUE"""),106.878232106007)</f>
        <v>106.8782321</v>
      </c>
      <c r="I130" s="85"/>
      <c r="J130" s="85"/>
      <c r="K130" s="85"/>
      <c r="L130" s="85"/>
      <c r="M130" s="85"/>
      <c r="N130" s="85"/>
      <c r="O130" s="85"/>
      <c r="P130" s="85"/>
      <c r="Q130" s="85"/>
      <c r="R130" s="43"/>
      <c r="S130" s="43"/>
      <c r="T130" s="43"/>
      <c r="U130" s="43"/>
      <c r="V130" s="43"/>
      <c r="W130" s="43"/>
      <c r="X130" s="43"/>
      <c r="Y130" s="43"/>
      <c r="Z130" s="43"/>
    </row>
    <row r="131">
      <c r="A131" s="86">
        <f>IFERROR(__xludf.DUMMYFUNCTION("""COMPUTED_VALUE"""),130.0)</f>
        <v>130</v>
      </c>
      <c r="B131" s="87">
        <f>IFERROR(__xludf.DUMMYFUNCTION("""COMPUTED_VALUE"""),130.0)</f>
        <v>130</v>
      </c>
      <c r="C131" s="88" t="str">
        <f>IFERROR(__xludf.DUMMYFUNCTION("""COMPUTED_VALUE"""),"Andi Putri")</f>
        <v>Andi Putri</v>
      </c>
      <c r="D131" s="87" t="str">
        <f>IFERROR(__xludf.DUMMYFUNCTION("""COMPUTED_VALUE"""),"4, 3")</f>
        <v>4, 3</v>
      </c>
      <c r="E131" s="87" t="str">
        <f>IFERROR(__xludf.DUMMYFUNCTION("""COMPUTED_VALUE"""),"2, 3")</f>
        <v>2, 3</v>
      </c>
      <c r="F131" s="87" t="str">
        <f>IFERROR(__xludf.DUMMYFUNCTION("""COMPUTED_VALUE"""),"3162, 1111")</f>
        <v>3162, 1111</v>
      </c>
      <c r="G131" s="87">
        <f>IFERROR(__xludf.DUMMYFUNCTION("""COMPUTED_VALUE"""),-6.33111357611535)</f>
        <v>-6.331113576</v>
      </c>
      <c r="H131" s="86">
        <f>IFERROR(__xludf.DUMMYFUNCTION("""COMPUTED_VALUE"""),106.758303300407)</f>
        <v>106.7583033</v>
      </c>
      <c r="I131" s="85"/>
      <c r="J131" s="85"/>
      <c r="K131" s="85"/>
      <c r="L131" s="85"/>
      <c r="M131" s="85"/>
      <c r="N131" s="85"/>
      <c r="O131" s="85"/>
      <c r="P131" s="85"/>
      <c r="Q131" s="85"/>
      <c r="R131" s="43"/>
      <c r="S131" s="43"/>
      <c r="T131" s="43"/>
      <c r="U131" s="43"/>
      <c r="V131" s="43"/>
      <c r="W131" s="43"/>
      <c r="X131" s="43"/>
      <c r="Y131" s="43"/>
      <c r="Z131" s="43"/>
    </row>
    <row r="132">
      <c r="A132" s="86">
        <f>IFERROR(__xludf.DUMMYFUNCTION("""COMPUTED_VALUE"""),131.0)</f>
        <v>131</v>
      </c>
      <c r="B132" s="87">
        <f>IFERROR(__xludf.DUMMYFUNCTION("""COMPUTED_VALUE"""),131.0)</f>
        <v>131</v>
      </c>
      <c r="C132" s="88" t="str">
        <f>IFERROR(__xludf.DUMMYFUNCTION("""COMPUTED_VALUE"""),"Dian Purnama")</f>
        <v>Dian Purnama</v>
      </c>
      <c r="D132" s="87" t="str">
        <f>IFERROR(__xludf.DUMMYFUNCTION("""COMPUTED_VALUE"""),"5, 4")</f>
        <v>5, 4</v>
      </c>
      <c r="E132" s="87" t="str">
        <f>IFERROR(__xludf.DUMMYFUNCTION("""COMPUTED_VALUE"""),"3, 5")</f>
        <v>3, 5</v>
      </c>
      <c r="F132" s="87" t="str">
        <f>IFERROR(__xludf.DUMMYFUNCTION("""COMPUTED_VALUE"""),"1420, 3659")</f>
        <v>1420, 3659</v>
      </c>
      <c r="G132" s="87">
        <f>IFERROR(__xludf.DUMMYFUNCTION("""COMPUTED_VALUE"""),-6.20510061654135)</f>
        <v>-6.205100617</v>
      </c>
      <c r="H132" s="86">
        <f>IFERROR(__xludf.DUMMYFUNCTION("""COMPUTED_VALUE"""),106.675636094004)</f>
        <v>106.6756361</v>
      </c>
      <c r="I132" s="85"/>
      <c r="J132" s="85"/>
      <c r="K132" s="85"/>
      <c r="L132" s="85"/>
      <c r="M132" s="85"/>
      <c r="N132" s="85"/>
      <c r="O132" s="85"/>
      <c r="P132" s="85"/>
      <c r="Q132" s="85"/>
      <c r="R132" s="43"/>
      <c r="S132" s="43"/>
      <c r="T132" s="43"/>
      <c r="U132" s="43"/>
      <c r="V132" s="43"/>
      <c r="W132" s="43"/>
      <c r="X132" s="43"/>
      <c r="Y132" s="43"/>
      <c r="Z132" s="43"/>
    </row>
    <row r="133">
      <c r="A133" s="86">
        <f>IFERROR(__xludf.DUMMYFUNCTION("""COMPUTED_VALUE"""),132.0)</f>
        <v>132</v>
      </c>
      <c r="B133" s="87">
        <f>IFERROR(__xludf.DUMMYFUNCTION("""COMPUTED_VALUE"""),132.0)</f>
        <v>132</v>
      </c>
      <c r="C133" s="88" t="str">
        <f>IFERROR(__xludf.DUMMYFUNCTION("""COMPUTED_VALUE"""),"Joko Hartono")</f>
        <v>Joko Hartono</v>
      </c>
      <c r="D133" s="87" t="str">
        <f>IFERROR(__xludf.DUMMYFUNCTION("""COMPUTED_VALUE"""),"2, 2")</f>
        <v>2, 2</v>
      </c>
      <c r="E133" s="87" t="str">
        <f>IFERROR(__xludf.DUMMYFUNCTION("""COMPUTED_VALUE"""),"1, 3")</f>
        <v>1, 3</v>
      </c>
      <c r="F133" s="87" t="str">
        <f>IFERROR(__xludf.DUMMYFUNCTION("""COMPUTED_VALUE"""),"1424, 3169")</f>
        <v>1424, 3169</v>
      </c>
      <c r="G133" s="87">
        <f>IFERROR(__xludf.DUMMYFUNCTION("""COMPUTED_VALUE"""),-6.13833474890615)</f>
        <v>-6.138334749</v>
      </c>
      <c r="H133" s="86">
        <f>IFERROR(__xludf.DUMMYFUNCTION("""COMPUTED_VALUE"""),106.828907141286)</f>
        <v>106.8289071</v>
      </c>
      <c r="I133" s="85"/>
      <c r="J133" s="85"/>
      <c r="K133" s="85"/>
      <c r="L133" s="85"/>
      <c r="M133" s="85"/>
      <c r="N133" s="85"/>
      <c r="O133" s="85"/>
      <c r="P133" s="85"/>
      <c r="Q133" s="85"/>
      <c r="R133" s="43"/>
      <c r="S133" s="43"/>
      <c r="T133" s="43"/>
      <c r="U133" s="43"/>
      <c r="V133" s="43"/>
      <c r="W133" s="43"/>
      <c r="X133" s="43"/>
      <c r="Y133" s="43"/>
      <c r="Z133" s="43"/>
    </row>
    <row r="134">
      <c r="A134" s="86">
        <f>IFERROR(__xludf.DUMMYFUNCTION("""COMPUTED_VALUE"""),133.0)</f>
        <v>133</v>
      </c>
      <c r="B134" s="87">
        <f>IFERROR(__xludf.DUMMYFUNCTION("""COMPUTED_VALUE"""),133.0)</f>
        <v>133</v>
      </c>
      <c r="C134" s="88" t="str">
        <f>IFERROR(__xludf.DUMMYFUNCTION("""COMPUTED_VALUE"""),"Dewi Sari")</f>
        <v>Dewi Sari</v>
      </c>
      <c r="D134" s="87" t="str">
        <f>IFERROR(__xludf.DUMMYFUNCTION("""COMPUTED_VALUE"""),"2, 2")</f>
        <v>2, 2</v>
      </c>
      <c r="E134" s="87" t="str">
        <f>IFERROR(__xludf.DUMMYFUNCTION("""COMPUTED_VALUE"""),"6, 5")</f>
        <v>6, 5</v>
      </c>
      <c r="F134" s="87" t="str">
        <f>IFERROR(__xludf.DUMMYFUNCTION("""COMPUTED_VALUE"""),"1335, 3164")</f>
        <v>1335, 3164</v>
      </c>
      <c r="G134" s="87">
        <f>IFERROR(__xludf.DUMMYFUNCTION("""COMPUTED_VALUE"""),-6.27202161862543)</f>
        <v>-6.272021619</v>
      </c>
      <c r="H134" s="86">
        <f>IFERROR(__xludf.DUMMYFUNCTION("""COMPUTED_VALUE"""),106.69541282559)</f>
        <v>106.6954128</v>
      </c>
      <c r="I134" s="85"/>
      <c r="J134" s="85"/>
      <c r="K134" s="85"/>
      <c r="L134" s="85"/>
      <c r="M134" s="85"/>
      <c r="N134" s="85"/>
      <c r="O134" s="85"/>
      <c r="P134" s="85"/>
      <c r="Q134" s="85"/>
      <c r="R134" s="43"/>
      <c r="S134" s="43"/>
      <c r="T134" s="43"/>
      <c r="U134" s="43"/>
      <c r="V134" s="43"/>
      <c r="W134" s="43"/>
      <c r="X134" s="43"/>
      <c r="Y134" s="43"/>
      <c r="Z134" s="43"/>
    </row>
    <row r="135">
      <c r="A135" s="86">
        <f>IFERROR(__xludf.DUMMYFUNCTION("""COMPUTED_VALUE"""),134.0)</f>
        <v>134</v>
      </c>
      <c r="B135" s="87">
        <f>IFERROR(__xludf.DUMMYFUNCTION("""COMPUTED_VALUE"""),134.0)</f>
        <v>134</v>
      </c>
      <c r="C135" s="88" t="str">
        <f>IFERROR(__xludf.DUMMYFUNCTION("""COMPUTED_VALUE"""),"Maya Septiani")</f>
        <v>Maya Septiani</v>
      </c>
      <c r="D135" s="87" t="str">
        <f>IFERROR(__xludf.DUMMYFUNCTION("""COMPUTED_VALUE"""),"4, 6")</f>
        <v>4, 6</v>
      </c>
      <c r="E135" s="87" t="str">
        <f>IFERROR(__xludf.DUMMYFUNCTION("""COMPUTED_VALUE"""),"2, 4")</f>
        <v>2, 4</v>
      </c>
      <c r="F135" s="87" t="str">
        <f>IFERROR(__xludf.DUMMYFUNCTION("""COMPUTED_VALUE"""),"1528, 3165")</f>
        <v>1528, 3165</v>
      </c>
      <c r="G135" s="87">
        <f>IFERROR(__xludf.DUMMYFUNCTION("""COMPUTED_VALUE"""),-6.22636641440642)</f>
        <v>-6.226366414</v>
      </c>
      <c r="H135" s="86">
        <f>IFERROR(__xludf.DUMMYFUNCTION("""COMPUTED_VALUE"""),106.710809213233)</f>
        <v>106.7108092</v>
      </c>
      <c r="I135" s="85"/>
      <c r="J135" s="85"/>
      <c r="K135" s="85"/>
      <c r="L135" s="85"/>
      <c r="M135" s="85"/>
      <c r="N135" s="85"/>
      <c r="O135" s="85"/>
      <c r="P135" s="85"/>
      <c r="Q135" s="85"/>
      <c r="R135" s="43"/>
      <c r="S135" s="43"/>
      <c r="T135" s="43"/>
      <c r="U135" s="43"/>
      <c r="V135" s="43"/>
      <c r="W135" s="43"/>
      <c r="X135" s="43"/>
      <c r="Y135" s="43"/>
      <c r="Z135" s="43"/>
    </row>
    <row r="136">
      <c r="A136" s="86">
        <f>IFERROR(__xludf.DUMMYFUNCTION("""COMPUTED_VALUE"""),135.0)</f>
        <v>135</v>
      </c>
      <c r="B136" s="87">
        <f>IFERROR(__xludf.DUMMYFUNCTION("""COMPUTED_VALUE"""),135.0)</f>
        <v>135</v>
      </c>
      <c r="C136" s="88" t="str">
        <f>IFERROR(__xludf.DUMMYFUNCTION("""COMPUTED_VALUE"""),"Sinta Hermawan")</f>
        <v>Sinta Hermawan</v>
      </c>
      <c r="D136" s="87" t="str">
        <f>IFERROR(__xludf.DUMMYFUNCTION("""COMPUTED_VALUE"""),"6, 1")</f>
        <v>6, 1</v>
      </c>
      <c r="E136" s="87" t="str">
        <f>IFERROR(__xludf.DUMMYFUNCTION("""COMPUTED_VALUE"""),"1, 5")</f>
        <v>1, 5</v>
      </c>
      <c r="F136" s="87" t="str">
        <f>IFERROR(__xludf.DUMMYFUNCTION("""COMPUTED_VALUE"""),"3166, 118")</f>
        <v>3166, 118</v>
      </c>
      <c r="G136" s="87">
        <f>IFERROR(__xludf.DUMMYFUNCTION("""COMPUTED_VALUE"""),-6.08705795413683)</f>
        <v>-6.087057954</v>
      </c>
      <c r="H136" s="86">
        <f>IFERROR(__xludf.DUMMYFUNCTION("""COMPUTED_VALUE"""),106.800898863648)</f>
        <v>106.8008989</v>
      </c>
      <c r="I136" s="85"/>
      <c r="J136" s="85"/>
      <c r="K136" s="85"/>
      <c r="L136" s="85"/>
      <c r="M136" s="85"/>
      <c r="N136" s="85"/>
      <c r="O136" s="85"/>
      <c r="P136" s="85"/>
      <c r="Q136" s="85"/>
      <c r="R136" s="43"/>
      <c r="S136" s="43"/>
      <c r="T136" s="43"/>
      <c r="U136" s="43"/>
      <c r="V136" s="43"/>
      <c r="W136" s="43"/>
      <c r="X136" s="43"/>
      <c r="Y136" s="43"/>
      <c r="Z136" s="43"/>
    </row>
    <row r="137">
      <c r="A137" s="86">
        <f>IFERROR(__xludf.DUMMYFUNCTION("""COMPUTED_VALUE"""),136.0)</f>
        <v>136</v>
      </c>
      <c r="B137" s="87">
        <f>IFERROR(__xludf.DUMMYFUNCTION("""COMPUTED_VALUE"""),136.0)</f>
        <v>136</v>
      </c>
      <c r="C137" s="88" t="str">
        <f>IFERROR(__xludf.DUMMYFUNCTION("""COMPUTED_VALUE"""),"Fandi Purnama")</f>
        <v>Fandi Purnama</v>
      </c>
      <c r="D137" s="87" t="str">
        <f>IFERROR(__xludf.DUMMYFUNCTION("""COMPUTED_VALUE"""),"3, 3")</f>
        <v>3, 3</v>
      </c>
      <c r="E137" s="87" t="str">
        <f>IFERROR(__xludf.DUMMYFUNCTION("""COMPUTED_VALUE"""),"5, 6")</f>
        <v>5, 6</v>
      </c>
      <c r="F137" s="87" t="str">
        <f>IFERROR(__xludf.DUMMYFUNCTION("""COMPUTED_VALUE"""),"1418, 1335")</f>
        <v>1418, 1335</v>
      </c>
      <c r="G137" s="87">
        <f>IFERROR(__xludf.DUMMYFUNCTION("""COMPUTED_VALUE"""),-6.24366256741684)</f>
        <v>-6.243662567</v>
      </c>
      <c r="H137" s="86">
        <f>IFERROR(__xludf.DUMMYFUNCTION("""COMPUTED_VALUE"""),106.709614241489)</f>
        <v>106.7096142</v>
      </c>
      <c r="I137" s="85"/>
      <c r="J137" s="85"/>
      <c r="K137" s="85"/>
      <c r="L137" s="85"/>
      <c r="M137" s="85"/>
      <c r="N137" s="85"/>
      <c r="O137" s="85"/>
      <c r="P137" s="85"/>
      <c r="Q137" s="85"/>
      <c r="R137" s="43"/>
      <c r="S137" s="43"/>
      <c r="T137" s="43"/>
      <c r="U137" s="43"/>
      <c r="V137" s="43"/>
      <c r="W137" s="43"/>
      <c r="X137" s="43"/>
      <c r="Y137" s="43"/>
      <c r="Z137" s="43"/>
    </row>
    <row r="138">
      <c r="A138" s="86">
        <f>IFERROR(__xludf.DUMMYFUNCTION("""COMPUTED_VALUE"""),137.0)</f>
        <v>137</v>
      </c>
      <c r="B138" s="87">
        <f>IFERROR(__xludf.DUMMYFUNCTION("""COMPUTED_VALUE"""),137.0)</f>
        <v>137</v>
      </c>
      <c r="C138" s="88" t="str">
        <f>IFERROR(__xludf.DUMMYFUNCTION("""COMPUTED_VALUE"""),"Dina Pratama")</f>
        <v>Dina Pratama</v>
      </c>
      <c r="D138" s="87" t="str">
        <f>IFERROR(__xludf.DUMMYFUNCTION("""COMPUTED_VALUE"""),"6, 3")</f>
        <v>6, 3</v>
      </c>
      <c r="E138" s="87" t="str">
        <f>IFERROR(__xludf.DUMMYFUNCTION("""COMPUTED_VALUE"""),"4, 4")</f>
        <v>4, 4</v>
      </c>
      <c r="F138" s="87" t="str">
        <f>IFERROR(__xludf.DUMMYFUNCTION("""COMPUTED_VALUE"""),"116, 1420")</f>
        <v>116, 1420</v>
      </c>
      <c r="G138" s="87">
        <f>IFERROR(__xludf.DUMMYFUNCTION("""COMPUTED_VALUE"""),-6.0940873010706)</f>
        <v>-6.094087301</v>
      </c>
      <c r="H138" s="86">
        <f>IFERROR(__xludf.DUMMYFUNCTION("""COMPUTED_VALUE"""),106.855308811902)</f>
        <v>106.8553088</v>
      </c>
      <c r="I138" s="85"/>
      <c r="J138" s="85"/>
      <c r="K138" s="85"/>
      <c r="L138" s="85"/>
      <c r="M138" s="85"/>
      <c r="N138" s="85"/>
      <c r="O138" s="85"/>
      <c r="P138" s="85"/>
      <c r="Q138" s="85"/>
      <c r="R138" s="43"/>
      <c r="S138" s="43"/>
      <c r="T138" s="43"/>
      <c r="U138" s="43"/>
      <c r="V138" s="43"/>
      <c r="W138" s="43"/>
      <c r="X138" s="43"/>
      <c r="Y138" s="43"/>
      <c r="Z138" s="43"/>
    </row>
    <row r="139">
      <c r="A139" s="86">
        <f>IFERROR(__xludf.DUMMYFUNCTION("""COMPUTED_VALUE"""),138.0)</f>
        <v>138</v>
      </c>
      <c r="B139" s="87">
        <f>IFERROR(__xludf.DUMMYFUNCTION("""COMPUTED_VALUE"""),138.0)</f>
        <v>138</v>
      </c>
      <c r="C139" s="88" t="str">
        <f>IFERROR(__xludf.DUMMYFUNCTION("""COMPUTED_VALUE"""),"Joko Hermawan")</f>
        <v>Joko Hermawan</v>
      </c>
      <c r="D139" s="87" t="str">
        <f>IFERROR(__xludf.DUMMYFUNCTION("""COMPUTED_VALUE"""),"4, 5")</f>
        <v>4, 5</v>
      </c>
      <c r="E139" s="87" t="str">
        <f>IFERROR(__xludf.DUMMYFUNCTION("""COMPUTED_VALUE"""),"4, 1")</f>
        <v>4, 1</v>
      </c>
      <c r="F139" s="87" t="str">
        <f>IFERROR(__xludf.DUMMYFUNCTION("""COMPUTED_VALUE"""),"1651, 1644")</f>
        <v>1651, 1644</v>
      </c>
      <c r="G139" s="87">
        <f>IFERROR(__xludf.DUMMYFUNCTION("""COMPUTED_VALUE"""),-6.27610717719172)</f>
        <v>-6.276107177</v>
      </c>
      <c r="H139" s="86">
        <f>IFERROR(__xludf.DUMMYFUNCTION("""COMPUTED_VALUE"""),106.876436498586)</f>
        <v>106.8764365</v>
      </c>
      <c r="I139" s="85"/>
      <c r="J139" s="85"/>
      <c r="K139" s="85"/>
      <c r="L139" s="85"/>
      <c r="M139" s="85"/>
      <c r="N139" s="85"/>
      <c r="O139" s="85"/>
      <c r="P139" s="85"/>
      <c r="Q139" s="85"/>
      <c r="R139" s="43"/>
      <c r="S139" s="43"/>
      <c r="T139" s="43"/>
      <c r="U139" s="43"/>
      <c r="V139" s="43"/>
      <c r="W139" s="43"/>
      <c r="X139" s="43"/>
      <c r="Y139" s="43"/>
      <c r="Z139" s="43"/>
    </row>
    <row r="140">
      <c r="A140" s="86">
        <f>IFERROR(__xludf.DUMMYFUNCTION("""COMPUTED_VALUE"""),139.0)</f>
        <v>139</v>
      </c>
      <c r="B140" s="87">
        <f>IFERROR(__xludf.DUMMYFUNCTION("""COMPUTED_VALUE"""),139.0)</f>
        <v>139</v>
      </c>
      <c r="C140" s="88" t="str">
        <f>IFERROR(__xludf.DUMMYFUNCTION("""COMPUTED_VALUE"""),"Sinta Kurniawan")</f>
        <v>Sinta Kurniawan</v>
      </c>
      <c r="D140" s="87" t="str">
        <f>IFERROR(__xludf.DUMMYFUNCTION("""COMPUTED_VALUE"""),"2, 6")</f>
        <v>2, 6</v>
      </c>
      <c r="E140" s="87" t="str">
        <f>IFERROR(__xludf.DUMMYFUNCTION("""COMPUTED_VALUE"""),"4, 6")</f>
        <v>4, 6</v>
      </c>
      <c r="F140" s="87" t="str">
        <f>IFERROR(__xludf.DUMMYFUNCTION("""COMPUTED_VALUE"""),"117, 3169")</f>
        <v>117, 3169</v>
      </c>
      <c r="G140" s="87">
        <f>IFERROR(__xludf.DUMMYFUNCTION("""COMPUTED_VALUE"""),-6.11283045206161)</f>
        <v>-6.112830452</v>
      </c>
      <c r="H140" s="86">
        <f>IFERROR(__xludf.DUMMYFUNCTION("""COMPUTED_VALUE"""),106.684192663319)</f>
        <v>106.6841927</v>
      </c>
      <c r="I140" s="85"/>
      <c r="J140" s="85"/>
      <c r="K140" s="85"/>
      <c r="L140" s="85"/>
      <c r="M140" s="85"/>
      <c r="N140" s="85"/>
      <c r="O140" s="85"/>
      <c r="P140" s="85"/>
      <c r="Q140" s="85"/>
      <c r="R140" s="43"/>
      <c r="S140" s="43"/>
      <c r="T140" s="43"/>
      <c r="U140" s="43"/>
      <c r="V140" s="43"/>
      <c r="W140" s="43"/>
      <c r="X140" s="43"/>
      <c r="Y140" s="43"/>
      <c r="Z140" s="43"/>
    </row>
    <row r="141">
      <c r="A141" s="86">
        <f>IFERROR(__xludf.DUMMYFUNCTION("""COMPUTED_VALUE"""),140.0)</f>
        <v>140</v>
      </c>
      <c r="B141" s="87">
        <f>IFERROR(__xludf.DUMMYFUNCTION("""COMPUTED_VALUE"""),140.0)</f>
        <v>140</v>
      </c>
      <c r="C141" s="88" t="str">
        <f>IFERROR(__xludf.DUMMYFUNCTION("""COMPUTED_VALUE"""),"Maya Wijaya")</f>
        <v>Maya Wijaya</v>
      </c>
      <c r="D141" s="87" t="str">
        <f>IFERROR(__xludf.DUMMYFUNCTION("""COMPUTED_VALUE"""),"6, 5")</f>
        <v>6, 5</v>
      </c>
      <c r="E141" s="87" t="str">
        <f>IFERROR(__xludf.DUMMYFUNCTION("""COMPUTED_VALUE"""),"3, 2")</f>
        <v>3, 2</v>
      </c>
      <c r="F141" s="87" t="str">
        <f>IFERROR(__xludf.DUMMYFUNCTION("""COMPUTED_VALUE"""),"1313, 117")</f>
        <v>1313, 117</v>
      </c>
      <c r="G141" s="87">
        <f>IFERROR(__xludf.DUMMYFUNCTION("""COMPUTED_VALUE"""),-6.28506791170827)</f>
        <v>-6.285067912</v>
      </c>
      <c r="H141" s="86">
        <f>IFERROR(__xludf.DUMMYFUNCTION("""COMPUTED_VALUE"""),106.830089347105)</f>
        <v>106.8300893</v>
      </c>
      <c r="I141" s="85"/>
      <c r="J141" s="85"/>
      <c r="K141" s="85"/>
      <c r="L141" s="85"/>
      <c r="M141" s="85"/>
      <c r="N141" s="85"/>
      <c r="O141" s="85"/>
      <c r="P141" s="85"/>
      <c r="Q141" s="85"/>
      <c r="R141" s="43"/>
      <c r="S141" s="43"/>
      <c r="T141" s="43"/>
      <c r="U141" s="43"/>
      <c r="V141" s="43"/>
      <c r="W141" s="43"/>
      <c r="X141" s="43"/>
      <c r="Y141" s="43"/>
      <c r="Z141" s="43"/>
    </row>
    <row r="142">
      <c r="A142" s="86">
        <f>IFERROR(__xludf.DUMMYFUNCTION("""COMPUTED_VALUE"""),141.0)</f>
        <v>141</v>
      </c>
      <c r="B142" s="87">
        <f>IFERROR(__xludf.DUMMYFUNCTION("""COMPUTED_VALUE"""),141.0)</f>
        <v>141</v>
      </c>
      <c r="C142" s="88" t="str">
        <f>IFERROR(__xludf.DUMMYFUNCTION("""COMPUTED_VALUE"""),"Bambang Santoso")</f>
        <v>Bambang Santoso</v>
      </c>
      <c r="D142" s="87" t="str">
        <f>IFERROR(__xludf.DUMMYFUNCTION("""COMPUTED_VALUE"""),"2, 5")</f>
        <v>2, 5</v>
      </c>
      <c r="E142" s="87" t="str">
        <f>IFERROR(__xludf.DUMMYFUNCTION("""COMPUTED_VALUE"""),"5, 3")</f>
        <v>5, 3</v>
      </c>
      <c r="F142" s="87" t="str">
        <f>IFERROR(__xludf.DUMMYFUNCTION("""COMPUTED_VALUE"""),"1528, 1332")</f>
        <v>1528, 1332</v>
      </c>
      <c r="G142" s="87">
        <f>IFERROR(__xludf.DUMMYFUNCTION("""COMPUTED_VALUE"""),-6.22163326649791)</f>
        <v>-6.221633266</v>
      </c>
      <c r="H142" s="86">
        <f>IFERROR(__xludf.DUMMYFUNCTION("""COMPUTED_VALUE"""),106.642031853927)</f>
        <v>106.6420319</v>
      </c>
      <c r="I142" s="85"/>
      <c r="J142" s="85"/>
      <c r="K142" s="85"/>
      <c r="L142" s="85"/>
      <c r="M142" s="85"/>
      <c r="N142" s="85"/>
      <c r="O142" s="85"/>
      <c r="P142" s="85"/>
      <c r="Q142" s="85"/>
      <c r="R142" s="43"/>
      <c r="S142" s="43"/>
      <c r="T142" s="43"/>
      <c r="U142" s="43"/>
      <c r="V142" s="43"/>
      <c r="W142" s="43"/>
      <c r="X142" s="43"/>
      <c r="Y142" s="43"/>
      <c r="Z142" s="43"/>
    </row>
    <row r="143">
      <c r="A143" s="86">
        <f>IFERROR(__xludf.DUMMYFUNCTION("""COMPUTED_VALUE"""),142.0)</f>
        <v>142</v>
      </c>
      <c r="B143" s="87">
        <f>IFERROR(__xludf.DUMMYFUNCTION("""COMPUTED_VALUE"""),142.0)</f>
        <v>142</v>
      </c>
      <c r="C143" s="88" t="str">
        <f>IFERROR(__xludf.DUMMYFUNCTION("""COMPUTED_VALUE"""),"Siti Rahayu")</f>
        <v>Siti Rahayu</v>
      </c>
      <c r="D143" s="87" t="str">
        <f>IFERROR(__xludf.DUMMYFUNCTION("""COMPUTED_VALUE"""),"3, 5")</f>
        <v>3, 5</v>
      </c>
      <c r="E143" s="87" t="str">
        <f>IFERROR(__xludf.DUMMYFUNCTION("""COMPUTED_VALUE"""),"6, 3")</f>
        <v>6, 3</v>
      </c>
      <c r="F143" s="87" t="str">
        <f>IFERROR(__xludf.DUMMYFUNCTION("""COMPUTED_VALUE"""),"1424, 1637")</f>
        <v>1424, 1637</v>
      </c>
      <c r="G143" s="87">
        <f>IFERROR(__xludf.DUMMYFUNCTION("""COMPUTED_VALUE"""),-6.13659335636173)</f>
        <v>-6.136593356</v>
      </c>
      <c r="H143" s="86">
        <f>IFERROR(__xludf.DUMMYFUNCTION("""COMPUTED_VALUE"""),106.913427702173)</f>
        <v>106.9134277</v>
      </c>
      <c r="I143" s="85"/>
      <c r="J143" s="85"/>
      <c r="K143" s="85"/>
      <c r="L143" s="85"/>
      <c r="M143" s="85"/>
      <c r="N143" s="85"/>
      <c r="O143" s="85"/>
      <c r="P143" s="85"/>
      <c r="Q143" s="85"/>
      <c r="R143" s="43"/>
      <c r="S143" s="43"/>
      <c r="T143" s="43"/>
      <c r="U143" s="43"/>
      <c r="V143" s="43"/>
      <c r="W143" s="43"/>
      <c r="X143" s="43"/>
      <c r="Y143" s="43"/>
      <c r="Z143" s="43"/>
    </row>
    <row r="144">
      <c r="A144" s="86">
        <f>IFERROR(__xludf.DUMMYFUNCTION("""COMPUTED_VALUE"""),143.0)</f>
        <v>143</v>
      </c>
      <c r="B144" s="87">
        <f>IFERROR(__xludf.DUMMYFUNCTION("""COMPUTED_VALUE"""),143.0)</f>
        <v>143</v>
      </c>
      <c r="C144" s="88" t="str">
        <f>IFERROR(__xludf.DUMMYFUNCTION("""COMPUTED_VALUE"""),"Agus Putri")</f>
        <v>Agus Putri</v>
      </c>
      <c r="D144" s="87" t="str">
        <f>IFERROR(__xludf.DUMMYFUNCTION("""COMPUTED_VALUE"""),"2, 1")</f>
        <v>2, 1</v>
      </c>
      <c r="E144" s="87" t="str">
        <f>IFERROR(__xludf.DUMMYFUNCTION("""COMPUTED_VALUE"""),"3, 3")</f>
        <v>3, 3</v>
      </c>
      <c r="F144" s="87" t="str">
        <f>IFERROR(__xludf.DUMMYFUNCTION("""COMPUTED_VALUE"""),"122, 3162")</f>
        <v>122, 3162</v>
      </c>
      <c r="G144" s="87">
        <f>IFERROR(__xludf.DUMMYFUNCTION("""COMPUTED_VALUE"""),-6.24860623922227)</f>
        <v>-6.248606239</v>
      </c>
      <c r="H144" s="86">
        <f>IFERROR(__xludf.DUMMYFUNCTION("""COMPUTED_VALUE"""),106.742263936661)</f>
        <v>106.7422639</v>
      </c>
      <c r="I144" s="85"/>
      <c r="J144" s="85"/>
      <c r="K144" s="85"/>
      <c r="L144" s="85"/>
      <c r="M144" s="85"/>
      <c r="N144" s="85"/>
      <c r="O144" s="85"/>
      <c r="P144" s="85"/>
      <c r="Q144" s="85"/>
      <c r="R144" s="43"/>
      <c r="S144" s="43"/>
      <c r="T144" s="43"/>
      <c r="U144" s="43"/>
      <c r="V144" s="43"/>
      <c r="W144" s="43"/>
      <c r="X144" s="43"/>
      <c r="Y144" s="43"/>
      <c r="Z144" s="43"/>
    </row>
    <row r="145">
      <c r="A145" s="86">
        <f>IFERROR(__xludf.DUMMYFUNCTION("""COMPUTED_VALUE"""),144.0)</f>
        <v>144</v>
      </c>
      <c r="B145" s="87">
        <f>IFERROR(__xludf.DUMMYFUNCTION("""COMPUTED_VALUE"""),144.0)</f>
        <v>144</v>
      </c>
      <c r="C145" s="88" t="str">
        <f>IFERROR(__xludf.DUMMYFUNCTION("""COMPUTED_VALUE"""),"Sinta Rahayu")</f>
        <v>Sinta Rahayu</v>
      </c>
      <c r="D145" s="87" t="str">
        <f>IFERROR(__xludf.DUMMYFUNCTION("""COMPUTED_VALUE"""),"2, 1")</f>
        <v>2, 1</v>
      </c>
      <c r="E145" s="87" t="str">
        <f>IFERROR(__xludf.DUMMYFUNCTION("""COMPUTED_VALUE"""),"6, 3")</f>
        <v>6, 3</v>
      </c>
      <c r="F145" s="87" t="str">
        <f>IFERROR(__xludf.DUMMYFUNCTION("""COMPUTED_VALUE"""),"3169, 1418")</f>
        <v>3169, 1418</v>
      </c>
      <c r="G145" s="87">
        <f>IFERROR(__xludf.DUMMYFUNCTION("""COMPUTED_VALUE"""),-6.22608549641721)</f>
        <v>-6.226085496</v>
      </c>
      <c r="H145" s="86">
        <f>IFERROR(__xludf.DUMMYFUNCTION("""COMPUTED_VALUE"""),106.705995680485)</f>
        <v>106.7059957</v>
      </c>
      <c r="I145" s="85"/>
      <c r="J145" s="85"/>
      <c r="K145" s="85"/>
      <c r="L145" s="85"/>
      <c r="M145" s="85"/>
      <c r="N145" s="85"/>
      <c r="O145" s="85"/>
      <c r="P145" s="85"/>
      <c r="Q145" s="85"/>
      <c r="R145" s="43"/>
      <c r="S145" s="43"/>
      <c r="T145" s="43"/>
      <c r="U145" s="43"/>
      <c r="V145" s="43"/>
      <c r="W145" s="43"/>
      <c r="X145" s="43"/>
      <c r="Y145" s="43"/>
      <c r="Z145" s="43"/>
    </row>
    <row r="146">
      <c r="A146" s="86">
        <f>IFERROR(__xludf.DUMMYFUNCTION("""COMPUTED_VALUE"""),145.0)</f>
        <v>145</v>
      </c>
      <c r="B146" s="87">
        <f>IFERROR(__xludf.DUMMYFUNCTION("""COMPUTED_VALUE"""),145.0)</f>
        <v>145</v>
      </c>
      <c r="C146" s="88" t="str">
        <f>IFERROR(__xludf.DUMMYFUNCTION("""COMPUTED_VALUE"""),"Arif Nugroho")</f>
        <v>Arif Nugroho</v>
      </c>
      <c r="D146" s="87" t="str">
        <f>IFERROR(__xludf.DUMMYFUNCTION("""COMPUTED_VALUE"""),"5, 4")</f>
        <v>5, 4</v>
      </c>
      <c r="E146" s="87" t="str">
        <f>IFERROR(__xludf.DUMMYFUNCTION("""COMPUTED_VALUE"""),"1, 4")</f>
        <v>1, 4</v>
      </c>
      <c r="F146" s="87" t="str">
        <f>IFERROR(__xludf.DUMMYFUNCTION("""COMPUTED_VALUE"""),"3164, 1212")</f>
        <v>3164, 1212</v>
      </c>
      <c r="G146" s="87">
        <f>IFERROR(__xludf.DUMMYFUNCTION("""COMPUTED_VALUE"""),-6.32406569620179)</f>
        <v>-6.324065696</v>
      </c>
      <c r="H146" s="86">
        <f>IFERROR(__xludf.DUMMYFUNCTION("""COMPUTED_VALUE"""),106.632828085101)</f>
        <v>106.6328281</v>
      </c>
      <c r="I146" s="85"/>
      <c r="J146" s="85"/>
      <c r="K146" s="85"/>
      <c r="L146" s="85"/>
      <c r="M146" s="85"/>
      <c r="N146" s="85"/>
      <c r="O146" s="85"/>
      <c r="P146" s="85"/>
      <c r="Q146" s="85"/>
      <c r="R146" s="43"/>
      <c r="S146" s="43"/>
      <c r="T146" s="43"/>
      <c r="U146" s="43"/>
      <c r="V146" s="43"/>
      <c r="W146" s="43"/>
      <c r="X146" s="43"/>
      <c r="Y146" s="43"/>
      <c r="Z146" s="43"/>
    </row>
    <row r="147">
      <c r="A147" s="86">
        <f>IFERROR(__xludf.DUMMYFUNCTION("""COMPUTED_VALUE"""),146.0)</f>
        <v>146</v>
      </c>
      <c r="B147" s="87">
        <f>IFERROR(__xludf.DUMMYFUNCTION("""COMPUTED_VALUE"""),146.0)</f>
        <v>146</v>
      </c>
      <c r="C147" s="88" t="str">
        <f>IFERROR(__xludf.DUMMYFUNCTION("""COMPUTED_VALUE"""),"Rudi Susanto")</f>
        <v>Rudi Susanto</v>
      </c>
      <c r="D147" s="87" t="str">
        <f>IFERROR(__xludf.DUMMYFUNCTION("""COMPUTED_VALUE"""),"5, 4")</f>
        <v>5, 4</v>
      </c>
      <c r="E147" s="87" t="str">
        <f>IFERROR(__xludf.DUMMYFUNCTION("""COMPUTED_VALUE"""),"6, 1")</f>
        <v>6, 1</v>
      </c>
      <c r="F147" s="87" t="str">
        <f>IFERROR(__xludf.DUMMYFUNCTION("""COMPUTED_VALUE"""),"117, 122")</f>
        <v>117, 122</v>
      </c>
      <c r="G147" s="87">
        <f>IFERROR(__xludf.DUMMYFUNCTION("""COMPUTED_VALUE"""),-6.27081847332291)</f>
        <v>-6.270818473</v>
      </c>
      <c r="H147" s="86">
        <f>IFERROR(__xludf.DUMMYFUNCTION("""COMPUTED_VALUE"""),106.796311076729)</f>
        <v>106.7963111</v>
      </c>
      <c r="I147" s="85"/>
      <c r="J147" s="85"/>
      <c r="K147" s="85"/>
      <c r="L147" s="85"/>
      <c r="M147" s="85"/>
      <c r="N147" s="85"/>
      <c r="O147" s="85"/>
      <c r="P147" s="85"/>
      <c r="Q147" s="85"/>
      <c r="R147" s="43"/>
      <c r="S147" s="43"/>
      <c r="T147" s="43"/>
      <c r="U147" s="43"/>
      <c r="V147" s="43"/>
      <c r="W147" s="43"/>
      <c r="X147" s="43"/>
      <c r="Y147" s="43"/>
      <c r="Z147" s="43"/>
    </row>
    <row r="148">
      <c r="A148" s="86">
        <f>IFERROR(__xludf.DUMMYFUNCTION("""COMPUTED_VALUE"""),147.0)</f>
        <v>147</v>
      </c>
      <c r="B148" s="87">
        <f>IFERROR(__xludf.DUMMYFUNCTION("""COMPUTED_VALUE"""),147.0)</f>
        <v>147</v>
      </c>
      <c r="C148" s="88" t="str">
        <f>IFERROR(__xludf.DUMMYFUNCTION("""COMPUTED_VALUE"""),"Fajar Saputra")</f>
        <v>Fajar Saputra</v>
      </c>
      <c r="D148" s="87" t="str">
        <f>IFERROR(__xludf.DUMMYFUNCTION("""COMPUTED_VALUE"""),"1, 5")</f>
        <v>1, 5</v>
      </c>
      <c r="E148" s="87" t="str">
        <f>IFERROR(__xludf.DUMMYFUNCTION("""COMPUTED_VALUE"""),"6, 2")</f>
        <v>6, 2</v>
      </c>
      <c r="F148" s="87" t="str">
        <f>IFERROR(__xludf.DUMMYFUNCTION("""COMPUTED_VALUE"""),"1644, 3165")</f>
        <v>1644, 3165</v>
      </c>
      <c r="G148" s="87">
        <f>IFERROR(__xludf.DUMMYFUNCTION("""COMPUTED_VALUE"""),-6.16310233307301)</f>
        <v>-6.163102333</v>
      </c>
      <c r="H148" s="86">
        <f>IFERROR(__xludf.DUMMYFUNCTION("""COMPUTED_VALUE"""),106.891164820187)</f>
        <v>106.8911648</v>
      </c>
      <c r="I148" s="85"/>
      <c r="J148" s="85"/>
      <c r="K148" s="85"/>
      <c r="L148" s="85"/>
      <c r="M148" s="85"/>
      <c r="N148" s="85"/>
      <c r="O148" s="85"/>
      <c r="P148" s="85"/>
      <c r="Q148" s="85"/>
      <c r="R148" s="43"/>
      <c r="S148" s="43"/>
      <c r="T148" s="43"/>
      <c r="U148" s="43"/>
      <c r="V148" s="43"/>
      <c r="W148" s="43"/>
      <c r="X148" s="43"/>
      <c r="Y148" s="43"/>
      <c r="Z148" s="43"/>
    </row>
    <row r="149">
      <c r="A149" s="86">
        <f>IFERROR(__xludf.DUMMYFUNCTION("""COMPUTED_VALUE"""),148.0)</f>
        <v>148</v>
      </c>
      <c r="B149" s="87">
        <f>IFERROR(__xludf.DUMMYFUNCTION("""COMPUTED_VALUE"""),148.0)</f>
        <v>148</v>
      </c>
      <c r="C149" s="88" t="str">
        <f>IFERROR(__xludf.DUMMYFUNCTION("""COMPUTED_VALUE"""),"Fajar Setiawan")</f>
        <v>Fajar Setiawan</v>
      </c>
      <c r="D149" s="87" t="str">
        <f>IFERROR(__xludf.DUMMYFUNCTION("""COMPUTED_VALUE"""),"5, 6")</f>
        <v>5, 6</v>
      </c>
      <c r="E149" s="87" t="str">
        <f>IFERROR(__xludf.DUMMYFUNCTION("""COMPUTED_VALUE"""),"6, 4")</f>
        <v>6, 4</v>
      </c>
      <c r="F149" s="87" t="str">
        <f>IFERROR(__xludf.DUMMYFUNCTION("""COMPUTED_VALUE"""),"1639, 1423")</f>
        <v>1639, 1423</v>
      </c>
      <c r="G149" s="87">
        <f>IFERROR(__xludf.DUMMYFUNCTION("""COMPUTED_VALUE"""),-6.3542497270999)</f>
        <v>-6.354249727</v>
      </c>
      <c r="H149" s="86">
        <f>IFERROR(__xludf.DUMMYFUNCTION("""COMPUTED_VALUE"""),106.867710420528)</f>
        <v>106.8677104</v>
      </c>
      <c r="I149" s="85"/>
      <c r="J149" s="85"/>
      <c r="K149" s="85"/>
      <c r="L149" s="85"/>
      <c r="M149" s="85"/>
      <c r="N149" s="85"/>
      <c r="O149" s="85"/>
      <c r="P149" s="85"/>
      <c r="Q149" s="85"/>
      <c r="R149" s="43"/>
      <c r="S149" s="43"/>
      <c r="T149" s="43"/>
      <c r="U149" s="43"/>
      <c r="V149" s="43"/>
      <c r="W149" s="43"/>
      <c r="X149" s="43"/>
      <c r="Y149" s="43"/>
      <c r="Z149" s="43"/>
    </row>
    <row r="150">
      <c r="A150" s="86">
        <f>IFERROR(__xludf.DUMMYFUNCTION("""COMPUTED_VALUE"""),149.0)</f>
        <v>149</v>
      </c>
      <c r="B150" s="87">
        <f>IFERROR(__xludf.DUMMYFUNCTION("""COMPUTED_VALUE"""),149.0)</f>
        <v>149</v>
      </c>
      <c r="C150" s="88" t="str">
        <f>IFERROR(__xludf.DUMMYFUNCTION("""COMPUTED_VALUE"""),"Dian Setiawan")</f>
        <v>Dian Setiawan</v>
      </c>
      <c r="D150" s="87" t="str">
        <f>IFERROR(__xludf.DUMMYFUNCTION("""COMPUTED_VALUE"""),"2, 3")</f>
        <v>2, 3</v>
      </c>
      <c r="E150" s="87" t="str">
        <f>IFERROR(__xludf.DUMMYFUNCTION("""COMPUTED_VALUE"""),"2, 4")</f>
        <v>2, 4</v>
      </c>
      <c r="F150" s="87" t="str">
        <f>IFERROR(__xludf.DUMMYFUNCTION("""COMPUTED_VALUE"""),"1553, 3168")</f>
        <v>1553, 3168</v>
      </c>
      <c r="G150" s="87">
        <f>IFERROR(__xludf.DUMMYFUNCTION("""COMPUTED_VALUE"""),-6.12099122718595)</f>
        <v>-6.120991227</v>
      </c>
      <c r="H150" s="86">
        <f>IFERROR(__xludf.DUMMYFUNCTION("""COMPUTED_VALUE"""),106.735684977134)</f>
        <v>106.735685</v>
      </c>
      <c r="I150" s="85"/>
      <c r="J150" s="85"/>
      <c r="K150" s="85"/>
      <c r="L150" s="85"/>
      <c r="M150" s="85"/>
      <c r="N150" s="85"/>
      <c r="O150" s="85"/>
      <c r="P150" s="85"/>
      <c r="Q150" s="85"/>
      <c r="R150" s="43"/>
      <c r="S150" s="43"/>
      <c r="T150" s="43"/>
      <c r="U150" s="43"/>
      <c r="V150" s="43"/>
      <c r="W150" s="43"/>
      <c r="X150" s="43"/>
      <c r="Y150" s="43"/>
      <c r="Z150" s="43"/>
    </row>
    <row r="151">
      <c r="A151" s="86">
        <f>IFERROR(__xludf.DUMMYFUNCTION("""COMPUTED_VALUE"""),150.0)</f>
        <v>150</v>
      </c>
      <c r="B151" s="87">
        <f>IFERROR(__xludf.DUMMYFUNCTION("""COMPUTED_VALUE"""),150.0)</f>
        <v>150</v>
      </c>
      <c r="C151" s="88" t="str">
        <f>IFERROR(__xludf.DUMMYFUNCTION("""COMPUTED_VALUE"""),"Dina Susanto")</f>
        <v>Dina Susanto</v>
      </c>
      <c r="D151" s="87" t="str">
        <f>IFERROR(__xludf.DUMMYFUNCTION("""COMPUTED_VALUE"""),"4, 1")</f>
        <v>4, 1</v>
      </c>
      <c r="E151" s="87" t="str">
        <f>IFERROR(__xludf.DUMMYFUNCTION("""COMPUTED_VALUE"""),"2, 6")</f>
        <v>2, 6</v>
      </c>
      <c r="F151" s="87" t="str">
        <f>IFERROR(__xludf.DUMMYFUNCTION("""COMPUTED_VALUE"""),"3168, 1424")</f>
        <v>3168, 1424</v>
      </c>
      <c r="G151" s="87">
        <f>IFERROR(__xludf.DUMMYFUNCTION("""COMPUTED_VALUE"""),-6.21615395690517)</f>
        <v>-6.216153957</v>
      </c>
      <c r="H151" s="86">
        <f>IFERROR(__xludf.DUMMYFUNCTION("""COMPUTED_VALUE"""),106.679021708711)</f>
        <v>106.6790217</v>
      </c>
      <c r="I151" s="85"/>
      <c r="J151" s="85"/>
      <c r="K151" s="85"/>
      <c r="L151" s="85"/>
      <c r="M151" s="85"/>
      <c r="N151" s="85"/>
      <c r="O151" s="85"/>
      <c r="P151" s="85"/>
      <c r="Q151" s="85"/>
      <c r="R151" s="43"/>
      <c r="S151" s="43"/>
      <c r="T151" s="43"/>
      <c r="U151" s="43"/>
      <c r="V151" s="43"/>
      <c r="W151" s="43"/>
      <c r="X151" s="43"/>
      <c r="Y151" s="43"/>
      <c r="Z151" s="43"/>
    </row>
    <row r="152">
      <c r="A152" s="86">
        <f>IFERROR(__xludf.DUMMYFUNCTION("""COMPUTED_VALUE"""),151.0)</f>
        <v>151</v>
      </c>
      <c r="B152" s="87">
        <f>IFERROR(__xludf.DUMMYFUNCTION("""COMPUTED_VALUE"""),151.0)</f>
        <v>151</v>
      </c>
      <c r="C152" s="88" t="str">
        <f>IFERROR(__xludf.DUMMYFUNCTION("""COMPUTED_VALUE"""),"Maya Hidayat")</f>
        <v>Maya Hidayat</v>
      </c>
      <c r="D152" s="87" t="str">
        <f>IFERROR(__xludf.DUMMYFUNCTION("""COMPUTED_VALUE"""),"2, 6")</f>
        <v>2, 6</v>
      </c>
      <c r="E152" s="87" t="str">
        <f>IFERROR(__xludf.DUMMYFUNCTION("""COMPUTED_VALUE"""),"2, 3")</f>
        <v>2, 3</v>
      </c>
      <c r="F152" s="87" t="str">
        <f>IFERROR(__xludf.DUMMYFUNCTION("""COMPUTED_VALUE"""),"1647, 113")</f>
        <v>1647, 113</v>
      </c>
      <c r="G152" s="87">
        <f>IFERROR(__xludf.DUMMYFUNCTION("""COMPUTED_VALUE"""),-6.31191388429041)</f>
        <v>-6.311913884</v>
      </c>
      <c r="H152" s="86">
        <f>IFERROR(__xludf.DUMMYFUNCTION("""COMPUTED_VALUE"""),106.714050044332)</f>
        <v>106.71405</v>
      </c>
      <c r="I152" s="85"/>
      <c r="J152" s="85"/>
      <c r="K152" s="85"/>
      <c r="L152" s="85"/>
      <c r="M152" s="85"/>
      <c r="N152" s="85"/>
      <c r="O152" s="85"/>
      <c r="P152" s="85"/>
      <c r="Q152" s="85"/>
      <c r="R152" s="43"/>
      <c r="S152" s="43"/>
      <c r="T152" s="43"/>
      <c r="U152" s="43"/>
      <c r="V152" s="43"/>
      <c r="W152" s="43"/>
      <c r="X152" s="43"/>
      <c r="Y152" s="43"/>
      <c r="Z152" s="43"/>
    </row>
    <row r="153">
      <c r="A153" s="86">
        <f>IFERROR(__xludf.DUMMYFUNCTION("""COMPUTED_VALUE"""),152.0)</f>
        <v>152</v>
      </c>
      <c r="B153" s="87">
        <f>IFERROR(__xludf.DUMMYFUNCTION("""COMPUTED_VALUE"""),152.0)</f>
        <v>152</v>
      </c>
      <c r="C153" s="88" t="str">
        <f>IFERROR(__xludf.DUMMYFUNCTION("""COMPUTED_VALUE"""),"Budi Kurniawan")</f>
        <v>Budi Kurniawan</v>
      </c>
      <c r="D153" s="87" t="str">
        <f>IFERROR(__xludf.DUMMYFUNCTION("""COMPUTED_VALUE"""),"4, 2")</f>
        <v>4, 2</v>
      </c>
      <c r="E153" s="87" t="str">
        <f>IFERROR(__xludf.DUMMYFUNCTION("""COMPUTED_VALUE"""),"5, 5")</f>
        <v>5, 5</v>
      </c>
      <c r="F153" s="87" t="str">
        <f>IFERROR(__xludf.DUMMYFUNCTION("""COMPUTED_VALUE"""),"1418, 1638")</f>
        <v>1418, 1638</v>
      </c>
      <c r="G153" s="87">
        <f>IFERROR(__xludf.DUMMYFUNCTION("""COMPUTED_VALUE"""),-6.20837733045467)</f>
        <v>-6.20837733</v>
      </c>
      <c r="H153" s="86">
        <f>IFERROR(__xludf.DUMMYFUNCTION("""COMPUTED_VALUE"""),106.741064312442)</f>
        <v>106.7410643</v>
      </c>
      <c r="I153" s="85"/>
      <c r="J153" s="85"/>
      <c r="K153" s="85"/>
      <c r="L153" s="85"/>
      <c r="M153" s="85"/>
      <c r="N153" s="85"/>
      <c r="O153" s="85"/>
      <c r="P153" s="85"/>
      <c r="Q153" s="85"/>
      <c r="R153" s="43"/>
      <c r="S153" s="43"/>
      <c r="T153" s="43"/>
      <c r="U153" s="43"/>
      <c r="V153" s="43"/>
      <c r="W153" s="43"/>
      <c r="X153" s="43"/>
      <c r="Y153" s="43"/>
      <c r="Z153" s="43"/>
    </row>
    <row r="154">
      <c r="A154" s="86">
        <f>IFERROR(__xludf.DUMMYFUNCTION("""COMPUTED_VALUE"""),153.0)</f>
        <v>153</v>
      </c>
      <c r="B154" s="87">
        <f>IFERROR(__xludf.DUMMYFUNCTION("""COMPUTED_VALUE"""),153.0)</f>
        <v>153</v>
      </c>
      <c r="C154" s="88" t="str">
        <f>IFERROR(__xludf.DUMMYFUNCTION("""COMPUTED_VALUE"""),"Budi Hartono")</f>
        <v>Budi Hartono</v>
      </c>
      <c r="D154" s="87" t="str">
        <f>IFERROR(__xludf.DUMMYFUNCTION("""COMPUTED_VALUE"""),"4, 1")</f>
        <v>4, 1</v>
      </c>
      <c r="E154" s="87" t="str">
        <f>IFERROR(__xludf.DUMMYFUNCTION("""COMPUTED_VALUE"""),"5, 2")</f>
        <v>5, 2</v>
      </c>
      <c r="F154" s="87" t="str">
        <f>IFERROR(__xludf.DUMMYFUNCTION("""COMPUTED_VALUE"""),"3163, 119")</f>
        <v>3163, 119</v>
      </c>
      <c r="G154" s="87">
        <f>IFERROR(__xludf.DUMMYFUNCTION("""COMPUTED_VALUE"""),-6.13001476705452)</f>
        <v>-6.130014767</v>
      </c>
      <c r="H154" s="86">
        <f>IFERROR(__xludf.DUMMYFUNCTION("""COMPUTED_VALUE"""),106.690638132864)</f>
        <v>106.6906381</v>
      </c>
      <c r="I154" s="85"/>
      <c r="J154" s="85"/>
      <c r="K154" s="85"/>
      <c r="L154" s="85"/>
      <c r="M154" s="85"/>
      <c r="N154" s="85"/>
      <c r="O154" s="85"/>
      <c r="P154" s="85"/>
      <c r="Q154" s="85"/>
      <c r="R154" s="43"/>
      <c r="S154" s="43"/>
      <c r="T154" s="43"/>
      <c r="U154" s="43"/>
      <c r="V154" s="43"/>
      <c r="W154" s="43"/>
      <c r="X154" s="43"/>
      <c r="Y154" s="43"/>
      <c r="Z154" s="43"/>
    </row>
    <row r="155">
      <c r="A155" s="86">
        <f>IFERROR(__xludf.DUMMYFUNCTION("""COMPUTED_VALUE"""),154.0)</f>
        <v>154</v>
      </c>
      <c r="B155" s="87">
        <f>IFERROR(__xludf.DUMMYFUNCTION("""COMPUTED_VALUE"""),154.0)</f>
        <v>154</v>
      </c>
      <c r="C155" s="88" t="str">
        <f>IFERROR(__xludf.DUMMYFUNCTION("""COMPUTED_VALUE"""),"Dian Nurhayati")</f>
        <v>Dian Nurhayati</v>
      </c>
      <c r="D155" s="87" t="str">
        <f>IFERROR(__xludf.DUMMYFUNCTION("""COMPUTED_VALUE"""),"5, 1")</f>
        <v>5, 1</v>
      </c>
      <c r="E155" s="87" t="str">
        <f>IFERROR(__xludf.DUMMYFUNCTION("""COMPUTED_VALUE"""),"5, 3")</f>
        <v>5, 3</v>
      </c>
      <c r="F155" s="87" t="str">
        <f>IFERROR(__xludf.DUMMYFUNCTION("""COMPUTED_VALUE"""),"1526, 111")</f>
        <v>1526, 111</v>
      </c>
      <c r="G155" s="87">
        <f>IFERROR(__xludf.DUMMYFUNCTION("""COMPUTED_VALUE"""),-6.10016184340767)</f>
        <v>-6.100161843</v>
      </c>
      <c r="H155" s="86">
        <f>IFERROR(__xludf.DUMMYFUNCTION("""COMPUTED_VALUE"""),106.812544084048)</f>
        <v>106.8125441</v>
      </c>
      <c r="I155" s="85"/>
      <c r="J155" s="85"/>
      <c r="K155" s="85"/>
      <c r="L155" s="85"/>
      <c r="M155" s="85"/>
      <c r="N155" s="85"/>
      <c r="O155" s="85"/>
      <c r="P155" s="85"/>
      <c r="Q155" s="85"/>
      <c r="R155" s="43"/>
      <c r="S155" s="43"/>
      <c r="T155" s="43"/>
      <c r="U155" s="43"/>
      <c r="V155" s="43"/>
      <c r="W155" s="43"/>
      <c r="X155" s="43"/>
      <c r="Y155" s="43"/>
      <c r="Z155" s="43"/>
    </row>
    <row r="156">
      <c r="A156" s="86">
        <f>IFERROR(__xludf.DUMMYFUNCTION("""COMPUTED_VALUE"""),155.0)</f>
        <v>155</v>
      </c>
      <c r="B156" s="87">
        <f>IFERROR(__xludf.DUMMYFUNCTION("""COMPUTED_VALUE"""),155.0)</f>
        <v>155</v>
      </c>
      <c r="C156" s="88" t="str">
        <f>IFERROR(__xludf.DUMMYFUNCTION("""COMPUTED_VALUE"""),"Sinta Saputra")</f>
        <v>Sinta Saputra</v>
      </c>
      <c r="D156" s="87" t="str">
        <f>IFERROR(__xludf.DUMMYFUNCTION("""COMPUTED_VALUE"""),"6, 4")</f>
        <v>6, 4</v>
      </c>
      <c r="E156" s="87" t="str">
        <f>IFERROR(__xludf.DUMMYFUNCTION("""COMPUTED_VALUE"""),"5, 2")</f>
        <v>5, 2</v>
      </c>
      <c r="F156" s="87" t="str">
        <f>IFERROR(__xludf.DUMMYFUNCTION("""COMPUTED_VALUE"""),"1648, 1652")</f>
        <v>1648, 1652</v>
      </c>
      <c r="G156" s="87">
        <f>IFERROR(__xludf.DUMMYFUNCTION("""COMPUTED_VALUE"""),-6.202193073385)</f>
        <v>-6.202193073</v>
      </c>
      <c r="H156" s="86">
        <f>IFERROR(__xludf.DUMMYFUNCTION("""COMPUTED_VALUE"""),106.605814086129)</f>
        <v>106.6058141</v>
      </c>
      <c r="I156" s="85"/>
      <c r="J156" s="85"/>
      <c r="K156" s="85"/>
      <c r="L156" s="85"/>
      <c r="M156" s="85"/>
      <c r="N156" s="85"/>
      <c r="O156" s="85"/>
      <c r="P156" s="85"/>
      <c r="Q156" s="85"/>
      <c r="R156" s="43"/>
      <c r="S156" s="43"/>
      <c r="T156" s="43"/>
      <c r="U156" s="43"/>
      <c r="V156" s="43"/>
      <c r="W156" s="43"/>
      <c r="X156" s="43"/>
      <c r="Y156" s="43"/>
      <c r="Z156" s="43"/>
    </row>
    <row r="157">
      <c r="A157" s="86">
        <f>IFERROR(__xludf.DUMMYFUNCTION("""COMPUTED_VALUE"""),156.0)</f>
        <v>156</v>
      </c>
      <c r="B157" s="87">
        <f>IFERROR(__xludf.DUMMYFUNCTION("""COMPUTED_VALUE"""),156.0)</f>
        <v>156</v>
      </c>
      <c r="C157" s="88" t="str">
        <f>IFERROR(__xludf.DUMMYFUNCTION("""COMPUTED_VALUE"""),"Lina Kusuma")</f>
        <v>Lina Kusuma</v>
      </c>
      <c r="D157" s="87" t="str">
        <f>IFERROR(__xludf.DUMMYFUNCTION("""COMPUTED_VALUE"""),"3, 3")</f>
        <v>3, 3</v>
      </c>
      <c r="E157" s="87" t="str">
        <f>IFERROR(__xludf.DUMMYFUNCTION("""COMPUTED_VALUE"""),"4, 3")</f>
        <v>4, 3</v>
      </c>
      <c r="F157" s="87" t="str">
        <f>IFERROR(__xludf.DUMMYFUNCTION("""COMPUTED_VALUE"""),"122, 1531")</f>
        <v>122, 1531</v>
      </c>
      <c r="G157" s="87">
        <f>IFERROR(__xludf.DUMMYFUNCTION("""COMPUTED_VALUE"""),-6.08828445758999)</f>
        <v>-6.088284458</v>
      </c>
      <c r="H157" s="86">
        <f>IFERROR(__xludf.DUMMYFUNCTION("""COMPUTED_VALUE"""),106.720303712651)</f>
        <v>106.7203037</v>
      </c>
      <c r="I157" s="85"/>
      <c r="J157" s="85"/>
      <c r="K157" s="85"/>
      <c r="L157" s="85"/>
      <c r="M157" s="85"/>
      <c r="N157" s="85"/>
      <c r="O157" s="85"/>
      <c r="P157" s="85"/>
      <c r="Q157" s="85"/>
      <c r="R157" s="43"/>
      <c r="S157" s="43"/>
      <c r="T157" s="43"/>
      <c r="U157" s="43"/>
      <c r="V157" s="43"/>
      <c r="W157" s="43"/>
      <c r="X157" s="43"/>
      <c r="Y157" s="43"/>
      <c r="Z157" s="43"/>
    </row>
    <row r="158">
      <c r="A158" s="86">
        <f>IFERROR(__xludf.DUMMYFUNCTION("""COMPUTED_VALUE"""),157.0)</f>
        <v>157</v>
      </c>
      <c r="B158" s="87">
        <f>IFERROR(__xludf.DUMMYFUNCTION("""COMPUTED_VALUE"""),157.0)</f>
        <v>157</v>
      </c>
      <c r="C158" s="88" t="str">
        <f>IFERROR(__xludf.DUMMYFUNCTION("""COMPUTED_VALUE"""),"Ani Susanto")</f>
        <v>Ani Susanto</v>
      </c>
      <c r="D158" s="87" t="str">
        <f>IFERROR(__xludf.DUMMYFUNCTION("""COMPUTED_VALUE"""),"5, 3")</f>
        <v>5, 3</v>
      </c>
      <c r="E158" s="87" t="str">
        <f>IFERROR(__xludf.DUMMYFUNCTION("""COMPUTED_VALUE"""),"4, 1")</f>
        <v>4, 1</v>
      </c>
      <c r="F158" s="87" t="str">
        <f>IFERROR(__xludf.DUMMYFUNCTION("""COMPUTED_VALUE"""),"1652, 117")</f>
        <v>1652, 117</v>
      </c>
      <c r="G158" s="87">
        <f>IFERROR(__xludf.DUMMYFUNCTION("""COMPUTED_VALUE"""),-6.17066939396635)</f>
        <v>-6.170669394</v>
      </c>
      <c r="H158" s="86">
        <f>IFERROR(__xludf.DUMMYFUNCTION("""COMPUTED_VALUE"""),106.765438204594)</f>
        <v>106.7654382</v>
      </c>
      <c r="I158" s="85"/>
      <c r="J158" s="85"/>
      <c r="K158" s="85"/>
      <c r="L158" s="85"/>
      <c r="M158" s="85"/>
      <c r="N158" s="85"/>
      <c r="O158" s="85"/>
      <c r="P158" s="85"/>
      <c r="Q158" s="85"/>
      <c r="R158" s="43"/>
      <c r="S158" s="43"/>
      <c r="T158" s="43"/>
      <c r="U158" s="43"/>
      <c r="V158" s="43"/>
      <c r="W158" s="43"/>
      <c r="X158" s="43"/>
      <c r="Y158" s="43"/>
      <c r="Z158" s="43"/>
    </row>
    <row r="159">
      <c r="A159" s="86">
        <f>IFERROR(__xludf.DUMMYFUNCTION("""COMPUTED_VALUE"""),158.0)</f>
        <v>158</v>
      </c>
      <c r="B159" s="87">
        <f>IFERROR(__xludf.DUMMYFUNCTION("""COMPUTED_VALUE"""),158.0)</f>
        <v>158</v>
      </c>
      <c r="C159" s="88" t="str">
        <f>IFERROR(__xludf.DUMMYFUNCTION("""COMPUTED_VALUE"""),"Maya Wijaya")</f>
        <v>Maya Wijaya</v>
      </c>
      <c r="D159" s="87" t="str">
        <f>IFERROR(__xludf.DUMMYFUNCTION("""COMPUTED_VALUE"""),"5, 2")</f>
        <v>5, 2</v>
      </c>
      <c r="E159" s="87" t="str">
        <f>IFERROR(__xludf.DUMMYFUNCTION("""COMPUTED_VALUE"""),"3, 4")</f>
        <v>3, 4</v>
      </c>
      <c r="F159" s="87" t="str">
        <f>IFERROR(__xludf.DUMMYFUNCTION("""COMPUTED_VALUE"""),"3455, 1421")</f>
        <v>3455, 1421</v>
      </c>
      <c r="G159" s="87">
        <f>IFERROR(__xludf.DUMMYFUNCTION("""COMPUTED_VALUE"""),-6.31059151970041)</f>
        <v>-6.31059152</v>
      </c>
      <c r="H159" s="86">
        <f>IFERROR(__xludf.DUMMYFUNCTION("""COMPUTED_VALUE"""),106.708630923007)</f>
        <v>106.7086309</v>
      </c>
      <c r="I159" s="85"/>
      <c r="J159" s="85"/>
      <c r="K159" s="85"/>
      <c r="L159" s="85"/>
      <c r="M159" s="85"/>
      <c r="N159" s="85"/>
      <c r="O159" s="85"/>
      <c r="P159" s="85"/>
      <c r="Q159" s="85"/>
      <c r="R159" s="43"/>
      <c r="S159" s="43"/>
      <c r="T159" s="43"/>
      <c r="U159" s="43"/>
      <c r="V159" s="43"/>
      <c r="W159" s="43"/>
      <c r="X159" s="43"/>
      <c r="Y159" s="43"/>
      <c r="Z159" s="43"/>
    </row>
    <row r="160">
      <c r="A160" s="86">
        <f>IFERROR(__xludf.DUMMYFUNCTION("""COMPUTED_VALUE"""),159.0)</f>
        <v>159</v>
      </c>
      <c r="B160" s="87">
        <f>IFERROR(__xludf.DUMMYFUNCTION("""COMPUTED_VALUE"""),159.0)</f>
        <v>159</v>
      </c>
      <c r="C160" s="88" t="str">
        <f>IFERROR(__xludf.DUMMYFUNCTION("""COMPUTED_VALUE"""),"Rudi Santoso")</f>
        <v>Rudi Santoso</v>
      </c>
      <c r="D160" s="87" t="str">
        <f>IFERROR(__xludf.DUMMYFUNCTION("""COMPUTED_VALUE"""),"6, 2")</f>
        <v>6, 2</v>
      </c>
      <c r="E160" s="87" t="str">
        <f>IFERROR(__xludf.DUMMYFUNCTION("""COMPUTED_VALUE"""),"5, 1")</f>
        <v>5, 1</v>
      </c>
      <c r="F160" s="87" t="str">
        <f>IFERROR(__xludf.DUMMYFUNCTION("""COMPUTED_VALUE"""),"1313, 1636")</f>
        <v>1313, 1636</v>
      </c>
      <c r="G160" s="87">
        <f>IFERROR(__xludf.DUMMYFUNCTION("""COMPUTED_VALUE"""),-6.17236073245123)</f>
        <v>-6.172360732</v>
      </c>
      <c r="H160" s="86">
        <f>IFERROR(__xludf.DUMMYFUNCTION("""COMPUTED_VALUE"""),106.870037479342)</f>
        <v>106.8700375</v>
      </c>
      <c r="I160" s="85"/>
      <c r="J160" s="85"/>
      <c r="K160" s="85"/>
      <c r="L160" s="85"/>
      <c r="M160" s="85"/>
      <c r="N160" s="85"/>
      <c r="O160" s="85"/>
      <c r="P160" s="85"/>
      <c r="Q160" s="85"/>
      <c r="R160" s="43"/>
      <c r="S160" s="43"/>
      <c r="T160" s="43"/>
      <c r="U160" s="43"/>
      <c r="V160" s="43"/>
      <c r="W160" s="43"/>
      <c r="X160" s="43"/>
      <c r="Y160" s="43"/>
      <c r="Z160" s="43"/>
    </row>
    <row r="161">
      <c r="A161" s="86">
        <f>IFERROR(__xludf.DUMMYFUNCTION("""COMPUTED_VALUE"""),160.0)</f>
        <v>160</v>
      </c>
      <c r="B161" s="87">
        <f>IFERROR(__xludf.DUMMYFUNCTION("""COMPUTED_VALUE"""),160.0)</f>
        <v>160</v>
      </c>
      <c r="C161" s="88" t="str">
        <f>IFERROR(__xludf.DUMMYFUNCTION("""COMPUTED_VALUE"""),"Hadi Hadiwijaya")</f>
        <v>Hadi Hadiwijaya</v>
      </c>
      <c r="D161" s="87" t="str">
        <f>IFERROR(__xludf.DUMMYFUNCTION("""COMPUTED_VALUE"""),"3, 1")</f>
        <v>3, 1</v>
      </c>
      <c r="E161" s="87" t="str">
        <f>IFERROR(__xludf.DUMMYFUNCTION("""COMPUTED_VALUE"""),"2, 4")</f>
        <v>2, 4</v>
      </c>
      <c r="F161" s="87" t="str">
        <f>IFERROR(__xludf.DUMMYFUNCTION("""COMPUTED_VALUE"""),"1333, 1421")</f>
        <v>1333, 1421</v>
      </c>
      <c r="G161" s="87">
        <f>IFERROR(__xludf.DUMMYFUNCTION("""COMPUTED_VALUE"""),-6.26932481185707)</f>
        <v>-6.269324812</v>
      </c>
      <c r="H161" s="86">
        <f>IFERROR(__xludf.DUMMYFUNCTION("""COMPUTED_VALUE"""),106.810108030237)</f>
        <v>106.810108</v>
      </c>
      <c r="I161" s="85"/>
      <c r="J161" s="85"/>
      <c r="K161" s="85"/>
      <c r="L161" s="85"/>
      <c r="M161" s="85"/>
      <c r="N161" s="85"/>
      <c r="O161" s="85"/>
      <c r="P161" s="85"/>
      <c r="Q161" s="85"/>
      <c r="R161" s="43"/>
      <c r="S161" s="43"/>
      <c r="T161" s="43"/>
      <c r="U161" s="43"/>
      <c r="V161" s="43"/>
      <c r="W161" s="43"/>
      <c r="X161" s="43"/>
      <c r="Y161" s="43"/>
      <c r="Z161" s="43"/>
    </row>
    <row r="162">
      <c r="A162" s="86">
        <f>IFERROR(__xludf.DUMMYFUNCTION("""COMPUTED_VALUE"""),161.0)</f>
        <v>161</v>
      </c>
      <c r="B162" s="87">
        <f>IFERROR(__xludf.DUMMYFUNCTION("""COMPUTED_VALUE"""),161.0)</f>
        <v>161</v>
      </c>
      <c r="C162" s="88" t="str">
        <f>IFERROR(__xludf.DUMMYFUNCTION("""COMPUTED_VALUE"""),"Lina Nugroho")</f>
        <v>Lina Nugroho</v>
      </c>
      <c r="D162" s="87" t="str">
        <f>IFERROR(__xludf.DUMMYFUNCTION("""COMPUTED_VALUE"""),"2, 5")</f>
        <v>2, 5</v>
      </c>
      <c r="E162" s="87" t="str">
        <f>IFERROR(__xludf.DUMMYFUNCTION("""COMPUTED_VALUE"""),"6, 5")</f>
        <v>6, 5</v>
      </c>
      <c r="F162" s="87" t="str">
        <f>IFERROR(__xludf.DUMMYFUNCTION("""COMPUTED_VALUE"""),"1528, 3163")</f>
        <v>1528, 3163</v>
      </c>
      <c r="G162" s="87">
        <f>IFERROR(__xludf.DUMMYFUNCTION("""COMPUTED_VALUE"""),-6.29113317397085)</f>
        <v>-6.291133174</v>
      </c>
      <c r="H162" s="86">
        <f>IFERROR(__xludf.DUMMYFUNCTION("""COMPUTED_VALUE"""),106.65164241509)</f>
        <v>106.6516424</v>
      </c>
      <c r="I162" s="85"/>
      <c r="J162" s="85"/>
      <c r="K162" s="85"/>
      <c r="L162" s="85"/>
      <c r="M162" s="85"/>
      <c r="N162" s="85"/>
      <c r="O162" s="85"/>
      <c r="P162" s="85"/>
      <c r="Q162" s="85"/>
      <c r="R162" s="43"/>
      <c r="S162" s="43"/>
      <c r="T162" s="43"/>
      <c r="U162" s="43"/>
      <c r="V162" s="43"/>
      <c r="W162" s="43"/>
      <c r="X162" s="43"/>
      <c r="Y162" s="43"/>
      <c r="Z162" s="43"/>
    </row>
    <row r="163">
      <c r="A163" s="86">
        <f>IFERROR(__xludf.DUMMYFUNCTION("""COMPUTED_VALUE"""),162.0)</f>
        <v>162</v>
      </c>
      <c r="B163" s="87">
        <f>IFERROR(__xludf.DUMMYFUNCTION("""COMPUTED_VALUE"""),162.0)</f>
        <v>162</v>
      </c>
      <c r="C163" s="88" t="str">
        <f>IFERROR(__xludf.DUMMYFUNCTION("""COMPUTED_VALUE"""),"Dewi Nugroho")</f>
        <v>Dewi Nugroho</v>
      </c>
      <c r="D163" s="87" t="str">
        <f>IFERROR(__xludf.DUMMYFUNCTION("""COMPUTED_VALUE"""),"1, 4")</f>
        <v>1, 4</v>
      </c>
      <c r="E163" s="87" t="str">
        <f>IFERROR(__xludf.DUMMYFUNCTION("""COMPUTED_VALUE"""),"2, 5")</f>
        <v>2, 5</v>
      </c>
      <c r="F163" s="87" t="str">
        <f>IFERROR(__xludf.DUMMYFUNCTION("""COMPUTED_VALUE"""),"1313, 1647")</f>
        <v>1313, 1647</v>
      </c>
      <c r="G163" s="87">
        <f>IFERROR(__xludf.DUMMYFUNCTION("""COMPUTED_VALUE"""),-6.23075609439918)</f>
        <v>-6.230756094</v>
      </c>
      <c r="H163" s="86">
        <f>IFERROR(__xludf.DUMMYFUNCTION("""COMPUTED_VALUE"""),106.693011563945)</f>
        <v>106.6930116</v>
      </c>
      <c r="I163" s="85"/>
      <c r="J163" s="85"/>
      <c r="K163" s="85"/>
      <c r="L163" s="85"/>
      <c r="M163" s="85"/>
      <c r="N163" s="85"/>
      <c r="O163" s="85"/>
      <c r="P163" s="85"/>
      <c r="Q163" s="85"/>
      <c r="R163" s="43"/>
      <c r="S163" s="43"/>
      <c r="T163" s="43"/>
      <c r="U163" s="43"/>
      <c r="V163" s="43"/>
      <c r="W163" s="43"/>
      <c r="X163" s="43"/>
      <c r="Y163" s="43"/>
      <c r="Z163" s="43"/>
    </row>
    <row r="164">
      <c r="A164" s="86">
        <f>IFERROR(__xludf.DUMMYFUNCTION("""COMPUTED_VALUE"""),163.0)</f>
        <v>163</v>
      </c>
      <c r="B164" s="87">
        <f>IFERROR(__xludf.DUMMYFUNCTION("""COMPUTED_VALUE"""),163.0)</f>
        <v>163</v>
      </c>
      <c r="C164" s="88" t="str">
        <f>IFERROR(__xludf.DUMMYFUNCTION("""COMPUTED_VALUE"""),"Budi Susanto")</f>
        <v>Budi Susanto</v>
      </c>
      <c r="D164" s="87" t="str">
        <f>IFERROR(__xludf.DUMMYFUNCTION("""COMPUTED_VALUE"""),"1, 4")</f>
        <v>1, 4</v>
      </c>
      <c r="E164" s="87" t="str">
        <f>IFERROR(__xludf.DUMMYFUNCTION("""COMPUTED_VALUE"""),"6, 3")</f>
        <v>6, 3</v>
      </c>
      <c r="F164" s="87" t="str">
        <f>IFERROR(__xludf.DUMMYFUNCTION("""COMPUTED_VALUE"""),"111, 1420")</f>
        <v>111, 1420</v>
      </c>
      <c r="G164" s="87">
        <f>IFERROR(__xludf.DUMMYFUNCTION("""COMPUTED_VALUE"""),-6.15241182528298)</f>
        <v>-6.152411825</v>
      </c>
      <c r="H164" s="86">
        <f>IFERROR(__xludf.DUMMYFUNCTION("""COMPUTED_VALUE"""),106.884521904566)</f>
        <v>106.8845219</v>
      </c>
      <c r="I164" s="85"/>
      <c r="J164" s="85"/>
      <c r="K164" s="85"/>
      <c r="L164" s="85"/>
      <c r="M164" s="85"/>
      <c r="N164" s="85"/>
      <c r="O164" s="85"/>
      <c r="P164" s="85"/>
      <c r="Q164" s="85"/>
      <c r="R164" s="43"/>
      <c r="S164" s="43"/>
      <c r="T164" s="43"/>
      <c r="U164" s="43"/>
      <c r="V164" s="43"/>
      <c r="W164" s="43"/>
      <c r="X164" s="43"/>
      <c r="Y164" s="43"/>
      <c r="Z164" s="43"/>
    </row>
    <row r="165">
      <c r="A165" s="86">
        <f>IFERROR(__xludf.DUMMYFUNCTION("""COMPUTED_VALUE"""),164.0)</f>
        <v>164</v>
      </c>
      <c r="B165" s="87">
        <f>IFERROR(__xludf.DUMMYFUNCTION("""COMPUTED_VALUE"""),164.0)</f>
        <v>164</v>
      </c>
      <c r="C165" s="88" t="str">
        <f>IFERROR(__xludf.DUMMYFUNCTION("""COMPUTED_VALUE"""),"Bambang Purnama")</f>
        <v>Bambang Purnama</v>
      </c>
      <c r="D165" s="87" t="str">
        <f>IFERROR(__xludf.DUMMYFUNCTION("""COMPUTED_VALUE"""),"2, 1")</f>
        <v>2, 1</v>
      </c>
      <c r="E165" s="87" t="str">
        <f>IFERROR(__xludf.DUMMYFUNCTION("""COMPUTED_VALUE"""),"2, 3")</f>
        <v>2, 3</v>
      </c>
      <c r="F165" s="87" t="str">
        <f>IFERROR(__xludf.DUMMYFUNCTION("""COMPUTED_VALUE"""),"1423, 3169")</f>
        <v>1423, 3169</v>
      </c>
      <c r="G165" s="87">
        <f>IFERROR(__xludf.DUMMYFUNCTION("""COMPUTED_VALUE"""),-6.27060178506215)</f>
        <v>-6.270601785</v>
      </c>
      <c r="H165" s="86">
        <f>IFERROR(__xludf.DUMMYFUNCTION("""COMPUTED_VALUE"""),106.782477797875)</f>
        <v>106.7824778</v>
      </c>
      <c r="I165" s="85"/>
      <c r="J165" s="85"/>
      <c r="K165" s="85"/>
      <c r="L165" s="85"/>
      <c r="M165" s="85"/>
      <c r="N165" s="85"/>
      <c r="O165" s="85"/>
      <c r="P165" s="85"/>
      <c r="Q165" s="85"/>
      <c r="R165" s="43"/>
      <c r="S165" s="43"/>
      <c r="T165" s="43"/>
      <c r="U165" s="43"/>
      <c r="V165" s="43"/>
      <c r="W165" s="43"/>
      <c r="X165" s="43"/>
      <c r="Y165" s="43"/>
      <c r="Z165" s="43"/>
    </row>
    <row r="166">
      <c r="A166" s="86">
        <f>IFERROR(__xludf.DUMMYFUNCTION("""COMPUTED_VALUE"""),165.0)</f>
        <v>165</v>
      </c>
      <c r="B166" s="87">
        <f>IFERROR(__xludf.DUMMYFUNCTION("""COMPUTED_VALUE"""),165.0)</f>
        <v>165</v>
      </c>
      <c r="C166" s="88" t="str">
        <f>IFERROR(__xludf.DUMMYFUNCTION("""COMPUTED_VALUE"""),"Agus Pratama")</f>
        <v>Agus Pratama</v>
      </c>
      <c r="D166" s="87" t="str">
        <f>IFERROR(__xludf.DUMMYFUNCTION("""COMPUTED_VALUE"""),"5, 6")</f>
        <v>5, 6</v>
      </c>
      <c r="E166" s="87" t="str">
        <f>IFERROR(__xludf.DUMMYFUNCTION("""COMPUTED_VALUE"""),"6, 2")</f>
        <v>6, 2</v>
      </c>
      <c r="F166" s="87" t="str">
        <f>IFERROR(__xludf.DUMMYFUNCTION("""COMPUTED_VALUE"""),"1416, 1417")</f>
        <v>1416, 1417</v>
      </c>
      <c r="G166" s="87">
        <f>IFERROR(__xludf.DUMMYFUNCTION("""COMPUTED_VALUE"""),-6.1100086016264)</f>
        <v>-6.110008602</v>
      </c>
      <c r="H166" s="86">
        <f>IFERROR(__xludf.DUMMYFUNCTION("""COMPUTED_VALUE"""),106.785469270225)</f>
        <v>106.7854693</v>
      </c>
      <c r="I166" s="85"/>
      <c r="J166" s="85"/>
      <c r="K166" s="85"/>
      <c r="L166" s="85"/>
      <c r="M166" s="85"/>
      <c r="N166" s="85"/>
      <c r="O166" s="85"/>
      <c r="P166" s="85"/>
      <c r="Q166" s="85"/>
      <c r="R166" s="43"/>
      <c r="S166" s="43"/>
      <c r="T166" s="43"/>
      <c r="U166" s="43"/>
      <c r="V166" s="43"/>
      <c r="W166" s="43"/>
      <c r="X166" s="43"/>
      <c r="Y166" s="43"/>
      <c r="Z166" s="43"/>
    </row>
    <row r="167">
      <c r="A167" s="86">
        <f>IFERROR(__xludf.DUMMYFUNCTION("""COMPUTED_VALUE"""),166.0)</f>
        <v>166</v>
      </c>
      <c r="B167" s="87">
        <f>IFERROR(__xludf.DUMMYFUNCTION("""COMPUTED_VALUE"""),166.0)</f>
        <v>166</v>
      </c>
      <c r="C167" s="88" t="str">
        <f>IFERROR(__xludf.DUMMYFUNCTION("""COMPUTED_VALUE"""),"Fajar Nurhayati")</f>
        <v>Fajar Nurhayati</v>
      </c>
      <c r="D167" s="87" t="str">
        <f>IFERROR(__xludf.DUMMYFUNCTION("""COMPUTED_VALUE"""),"3, 5")</f>
        <v>3, 5</v>
      </c>
      <c r="E167" s="87" t="str">
        <f>IFERROR(__xludf.DUMMYFUNCTION("""COMPUTED_VALUE"""),"3, 5")</f>
        <v>3, 5</v>
      </c>
      <c r="F167" s="87" t="str">
        <f>IFERROR(__xludf.DUMMYFUNCTION("""COMPUTED_VALUE"""),"122, 1530")</f>
        <v>122, 1530</v>
      </c>
      <c r="G167" s="87">
        <f>IFERROR(__xludf.DUMMYFUNCTION("""COMPUTED_VALUE"""),-6.18088643145842)</f>
        <v>-6.180886431</v>
      </c>
      <c r="H167" s="86">
        <f>IFERROR(__xludf.DUMMYFUNCTION("""COMPUTED_VALUE"""),106.608010650905)</f>
        <v>106.6080107</v>
      </c>
      <c r="I167" s="85"/>
      <c r="J167" s="85"/>
      <c r="K167" s="85"/>
      <c r="L167" s="85"/>
      <c r="M167" s="85"/>
      <c r="N167" s="85"/>
      <c r="O167" s="85"/>
      <c r="P167" s="85"/>
      <c r="Q167" s="85"/>
      <c r="R167" s="43"/>
      <c r="S167" s="43"/>
      <c r="T167" s="43"/>
      <c r="U167" s="43"/>
      <c r="V167" s="43"/>
      <c r="W167" s="43"/>
      <c r="X167" s="43"/>
      <c r="Y167" s="43"/>
      <c r="Z167" s="43"/>
    </row>
    <row r="168">
      <c r="A168" s="86">
        <f>IFERROR(__xludf.DUMMYFUNCTION("""COMPUTED_VALUE"""),167.0)</f>
        <v>167</v>
      </c>
      <c r="B168" s="87">
        <f>IFERROR(__xludf.DUMMYFUNCTION("""COMPUTED_VALUE"""),167.0)</f>
        <v>167</v>
      </c>
      <c r="C168" s="88" t="str">
        <f>IFERROR(__xludf.DUMMYFUNCTION("""COMPUTED_VALUE"""),"Fandi Hermawan")</f>
        <v>Fandi Hermawan</v>
      </c>
      <c r="D168" s="87" t="str">
        <f>IFERROR(__xludf.DUMMYFUNCTION("""COMPUTED_VALUE"""),"5, 1")</f>
        <v>5, 1</v>
      </c>
      <c r="E168" s="87" t="str">
        <f>IFERROR(__xludf.DUMMYFUNCTION("""COMPUTED_VALUE"""),"3, 1")</f>
        <v>3, 1</v>
      </c>
      <c r="F168" s="87" t="str">
        <f>IFERROR(__xludf.DUMMYFUNCTION("""COMPUTED_VALUE"""),"1636, 1519")</f>
        <v>1636, 1519</v>
      </c>
      <c r="G168" s="87">
        <f>IFERROR(__xludf.DUMMYFUNCTION("""COMPUTED_VALUE"""),-6.35564218852523)</f>
        <v>-6.355642189</v>
      </c>
      <c r="H168" s="86">
        <f>IFERROR(__xludf.DUMMYFUNCTION("""COMPUTED_VALUE"""),106.86658597927)</f>
        <v>106.866586</v>
      </c>
      <c r="I168" s="85"/>
      <c r="J168" s="85"/>
      <c r="K168" s="85"/>
      <c r="L168" s="85"/>
      <c r="M168" s="85"/>
      <c r="N168" s="85"/>
      <c r="O168" s="85"/>
      <c r="P168" s="85"/>
      <c r="Q168" s="85"/>
      <c r="R168" s="43"/>
      <c r="S168" s="43"/>
      <c r="T168" s="43"/>
      <c r="U168" s="43"/>
      <c r="V168" s="43"/>
      <c r="W168" s="43"/>
      <c r="X168" s="43"/>
      <c r="Y168" s="43"/>
      <c r="Z168" s="43"/>
    </row>
    <row r="169">
      <c r="A169" s="86">
        <f>IFERROR(__xludf.DUMMYFUNCTION("""COMPUTED_VALUE"""),168.0)</f>
        <v>168</v>
      </c>
      <c r="B169" s="87">
        <f>IFERROR(__xludf.DUMMYFUNCTION("""COMPUTED_VALUE"""),168.0)</f>
        <v>168</v>
      </c>
      <c r="C169" s="88" t="str">
        <f>IFERROR(__xludf.DUMMYFUNCTION("""COMPUTED_VALUE"""),"Lina Kurniawan")</f>
        <v>Lina Kurniawan</v>
      </c>
      <c r="D169" s="87" t="str">
        <f>IFERROR(__xludf.DUMMYFUNCTION("""COMPUTED_VALUE"""),"4, 5")</f>
        <v>4, 5</v>
      </c>
      <c r="E169" s="87" t="str">
        <f>IFERROR(__xludf.DUMMYFUNCTION("""COMPUTED_VALUE"""),"2, 2")</f>
        <v>2, 2</v>
      </c>
      <c r="F169" s="87" t="str">
        <f>IFERROR(__xludf.DUMMYFUNCTION("""COMPUTED_VALUE"""),"1418, 1110")</f>
        <v>1418, 1110</v>
      </c>
      <c r="G169" s="87">
        <f>IFERROR(__xludf.DUMMYFUNCTION("""COMPUTED_VALUE"""),-6.19082070697498)</f>
        <v>-6.190820707</v>
      </c>
      <c r="H169" s="86">
        <f>IFERROR(__xludf.DUMMYFUNCTION("""COMPUTED_VALUE"""),106.928239545034)</f>
        <v>106.9282395</v>
      </c>
      <c r="I169" s="85"/>
      <c r="J169" s="85"/>
      <c r="K169" s="85"/>
      <c r="L169" s="85"/>
      <c r="M169" s="85"/>
      <c r="N169" s="85"/>
      <c r="O169" s="85"/>
      <c r="P169" s="85"/>
      <c r="Q169" s="85"/>
      <c r="R169" s="43"/>
      <c r="S169" s="43"/>
      <c r="T169" s="43"/>
      <c r="U169" s="43"/>
      <c r="V169" s="43"/>
      <c r="W169" s="43"/>
      <c r="X169" s="43"/>
      <c r="Y169" s="43"/>
      <c r="Z169" s="43"/>
    </row>
    <row r="170">
      <c r="A170" s="86">
        <f>IFERROR(__xludf.DUMMYFUNCTION("""COMPUTED_VALUE"""),169.0)</f>
        <v>169</v>
      </c>
      <c r="B170" s="87">
        <f>IFERROR(__xludf.DUMMYFUNCTION("""COMPUTED_VALUE"""),169.0)</f>
        <v>169</v>
      </c>
      <c r="C170" s="88" t="str">
        <f>IFERROR(__xludf.DUMMYFUNCTION("""COMPUTED_VALUE"""),"Dian Saputra")</f>
        <v>Dian Saputra</v>
      </c>
      <c r="D170" s="87" t="str">
        <f>IFERROR(__xludf.DUMMYFUNCTION("""COMPUTED_VALUE"""),"5, 5")</f>
        <v>5, 5</v>
      </c>
      <c r="E170" s="87" t="str">
        <f>IFERROR(__xludf.DUMMYFUNCTION("""COMPUTED_VALUE"""),"6, 1")</f>
        <v>6, 1</v>
      </c>
      <c r="F170" s="87" t="str">
        <f>IFERROR(__xludf.DUMMYFUNCTION("""COMPUTED_VALUE"""),"122, 1417")</f>
        <v>122, 1417</v>
      </c>
      <c r="G170" s="87">
        <f>IFERROR(__xludf.DUMMYFUNCTION("""COMPUTED_VALUE"""),-6.31636415710541)</f>
        <v>-6.316364157</v>
      </c>
      <c r="H170" s="86">
        <f>IFERROR(__xludf.DUMMYFUNCTION("""COMPUTED_VALUE"""),106.926295490123)</f>
        <v>106.9262955</v>
      </c>
      <c r="I170" s="85"/>
      <c r="J170" s="85"/>
      <c r="K170" s="85"/>
      <c r="L170" s="85"/>
      <c r="M170" s="85"/>
      <c r="N170" s="85"/>
      <c r="O170" s="85"/>
      <c r="P170" s="85"/>
      <c r="Q170" s="85"/>
      <c r="R170" s="43"/>
      <c r="S170" s="43"/>
      <c r="T170" s="43"/>
      <c r="U170" s="43"/>
      <c r="V170" s="43"/>
      <c r="W170" s="43"/>
      <c r="X170" s="43"/>
      <c r="Y170" s="43"/>
      <c r="Z170" s="43"/>
    </row>
    <row r="171">
      <c r="A171" s="86">
        <f>IFERROR(__xludf.DUMMYFUNCTION("""COMPUTED_VALUE"""),170.0)</f>
        <v>170</v>
      </c>
      <c r="B171" s="87">
        <f>IFERROR(__xludf.DUMMYFUNCTION("""COMPUTED_VALUE"""),170.0)</f>
        <v>170</v>
      </c>
      <c r="C171" s="88" t="str">
        <f>IFERROR(__xludf.DUMMYFUNCTION("""COMPUTED_VALUE"""),"Andi Sari")</f>
        <v>Andi Sari</v>
      </c>
      <c r="D171" s="87" t="str">
        <f>IFERROR(__xludf.DUMMYFUNCTION("""COMPUTED_VALUE"""),"5, 5")</f>
        <v>5, 5</v>
      </c>
      <c r="E171" s="87" t="str">
        <f>IFERROR(__xludf.DUMMYFUNCTION("""COMPUTED_VALUE"""),"4, 6")</f>
        <v>4, 6</v>
      </c>
      <c r="F171" s="87" t="str">
        <f>IFERROR(__xludf.DUMMYFUNCTION("""COMPUTED_VALUE"""),"1424, 1427")</f>
        <v>1424, 1427</v>
      </c>
      <c r="G171" s="87">
        <f>IFERROR(__xludf.DUMMYFUNCTION("""COMPUTED_VALUE"""),-6.28329343832168)</f>
        <v>-6.283293438</v>
      </c>
      <c r="H171" s="86">
        <f>IFERROR(__xludf.DUMMYFUNCTION("""COMPUTED_VALUE"""),106.946592938421)</f>
        <v>106.9465929</v>
      </c>
      <c r="I171" s="85"/>
      <c r="J171" s="85"/>
      <c r="K171" s="85"/>
      <c r="L171" s="85"/>
      <c r="M171" s="85"/>
      <c r="N171" s="85"/>
      <c r="O171" s="85"/>
      <c r="P171" s="85"/>
      <c r="Q171" s="85"/>
      <c r="R171" s="43"/>
      <c r="S171" s="43"/>
      <c r="T171" s="43"/>
      <c r="U171" s="43"/>
      <c r="V171" s="43"/>
      <c r="W171" s="43"/>
      <c r="X171" s="43"/>
      <c r="Y171" s="43"/>
      <c r="Z171" s="43"/>
    </row>
    <row r="172">
      <c r="A172" s="86">
        <f>IFERROR(__xludf.DUMMYFUNCTION("""COMPUTED_VALUE"""),171.0)</f>
        <v>171</v>
      </c>
      <c r="B172" s="87">
        <f>IFERROR(__xludf.DUMMYFUNCTION("""COMPUTED_VALUE"""),171.0)</f>
        <v>171</v>
      </c>
      <c r="C172" s="88" t="str">
        <f>IFERROR(__xludf.DUMMYFUNCTION("""COMPUTED_VALUE"""),"Andi Santoso")</f>
        <v>Andi Santoso</v>
      </c>
      <c r="D172" s="87" t="str">
        <f>IFERROR(__xludf.DUMMYFUNCTION("""COMPUTED_VALUE"""),"2, 1")</f>
        <v>2, 1</v>
      </c>
      <c r="E172" s="87" t="str">
        <f>IFERROR(__xludf.DUMMYFUNCTION("""COMPUTED_VALUE"""),"4, 3")</f>
        <v>4, 3</v>
      </c>
      <c r="F172" s="87" t="str">
        <f>IFERROR(__xludf.DUMMYFUNCTION("""COMPUTED_VALUE"""),"1529, 3454")</f>
        <v>1529, 3454</v>
      </c>
      <c r="G172" s="87">
        <f>IFERROR(__xludf.DUMMYFUNCTION("""COMPUTED_VALUE"""),-6.31083163528977)</f>
        <v>-6.310831635</v>
      </c>
      <c r="H172" s="86">
        <f>IFERROR(__xludf.DUMMYFUNCTION("""COMPUTED_VALUE"""),106.769239933193)</f>
        <v>106.7692399</v>
      </c>
      <c r="I172" s="85"/>
      <c r="J172" s="85"/>
      <c r="K172" s="85"/>
      <c r="L172" s="85"/>
      <c r="M172" s="85"/>
      <c r="N172" s="85"/>
      <c r="O172" s="85"/>
      <c r="P172" s="85"/>
      <c r="Q172" s="85"/>
      <c r="R172" s="43"/>
      <c r="S172" s="43"/>
      <c r="T172" s="43"/>
      <c r="U172" s="43"/>
      <c r="V172" s="43"/>
      <c r="W172" s="43"/>
      <c r="X172" s="43"/>
      <c r="Y172" s="43"/>
      <c r="Z172" s="43"/>
    </row>
    <row r="173">
      <c r="A173" s="86">
        <f>IFERROR(__xludf.DUMMYFUNCTION("""COMPUTED_VALUE"""),172.0)</f>
        <v>172</v>
      </c>
      <c r="B173" s="87">
        <f>IFERROR(__xludf.DUMMYFUNCTION("""COMPUTED_VALUE"""),172.0)</f>
        <v>172</v>
      </c>
      <c r="C173" s="88" t="str">
        <f>IFERROR(__xludf.DUMMYFUNCTION("""COMPUTED_VALUE"""),"Dian Kurniawan")</f>
        <v>Dian Kurniawan</v>
      </c>
      <c r="D173" s="87" t="str">
        <f>IFERROR(__xludf.DUMMYFUNCTION("""COMPUTED_VALUE"""),"2, 4")</f>
        <v>2, 4</v>
      </c>
      <c r="E173" s="87" t="str">
        <f>IFERROR(__xludf.DUMMYFUNCTION("""COMPUTED_VALUE"""),"1, 2")</f>
        <v>1, 2</v>
      </c>
      <c r="F173" s="87" t="str">
        <f>IFERROR(__xludf.DUMMYFUNCTION("""COMPUTED_VALUE"""),"1641, 1650")</f>
        <v>1641, 1650</v>
      </c>
      <c r="G173" s="87">
        <f>IFERROR(__xludf.DUMMYFUNCTION("""COMPUTED_VALUE"""),-6.16620175117047)</f>
        <v>-6.166201751</v>
      </c>
      <c r="H173" s="86">
        <f>IFERROR(__xludf.DUMMYFUNCTION("""COMPUTED_VALUE"""),106.72155270271)</f>
        <v>106.7215527</v>
      </c>
      <c r="I173" s="85"/>
      <c r="J173" s="85"/>
      <c r="K173" s="85"/>
      <c r="L173" s="85"/>
      <c r="M173" s="85"/>
      <c r="N173" s="85"/>
      <c r="O173" s="85"/>
      <c r="P173" s="85"/>
      <c r="Q173" s="85"/>
      <c r="R173" s="43"/>
      <c r="S173" s="43"/>
      <c r="T173" s="43"/>
      <c r="U173" s="43"/>
      <c r="V173" s="43"/>
      <c r="W173" s="43"/>
      <c r="X173" s="43"/>
      <c r="Y173" s="43"/>
      <c r="Z173" s="43"/>
    </row>
    <row r="174">
      <c r="A174" s="86">
        <f>IFERROR(__xludf.DUMMYFUNCTION("""COMPUTED_VALUE"""),173.0)</f>
        <v>173</v>
      </c>
      <c r="B174" s="87">
        <f>IFERROR(__xludf.DUMMYFUNCTION("""COMPUTED_VALUE"""),173.0)</f>
        <v>173</v>
      </c>
      <c r="C174" s="88" t="str">
        <f>IFERROR(__xludf.DUMMYFUNCTION("""COMPUTED_VALUE"""),"Fajar Putri")</f>
        <v>Fajar Putri</v>
      </c>
      <c r="D174" s="87" t="str">
        <f>IFERROR(__xludf.DUMMYFUNCTION("""COMPUTED_VALUE"""),"2, 4")</f>
        <v>2, 4</v>
      </c>
      <c r="E174" s="87" t="str">
        <f>IFERROR(__xludf.DUMMYFUNCTION("""COMPUTED_VALUE"""),"2, 6")</f>
        <v>2, 6</v>
      </c>
      <c r="F174" s="87" t="str">
        <f>IFERROR(__xludf.DUMMYFUNCTION("""COMPUTED_VALUE"""),"3657, 1644")</f>
        <v>3657, 1644</v>
      </c>
      <c r="G174" s="87">
        <f>IFERROR(__xludf.DUMMYFUNCTION("""COMPUTED_VALUE"""),-6.10509513803206)</f>
        <v>-6.105095138</v>
      </c>
      <c r="H174" s="86">
        <f>IFERROR(__xludf.DUMMYFUNCTION("""COMPUTED_VALUE"""),106.926261075891)</f>
        <v>106.9262611</v>
      </c>
      <c r="I174" s="85"/>
      <c r="J174" s="85"/>
      <c r="K174" s="85"/>
      <c r="L174" s="85"/>
      <c r="M174" s="85"/>
      <c r="N174" s="85"/>
      <c r="O174" s="85"/>
      <c r="P174" s="85"/>
      <c r="Q174" s="85"/>
      <c r="R174" s="43"/>
      <c r="S174" s="43"/>
      <c r="T174" s="43"/>
      <c r="U174" s="43"/>
      <c r="V174" s="43"/>
      <c r="W174" s="43"/>
      <c r="X174" s="43"/>
      <c r="Y174" s="43"/>
      <c r="Z174" s="43"/>
    </row>
    <row r="175">
      <c r="A175" s="86">
        <f>IFERROR(__xludf.DUMMYFUNCTION("""COMPUTED_VALUE"""),174.0)</f>
        <v>174</v>
      </c>
      <c r="B175" s="87">
        <f>IFERROR(__xludf.DUMMYFUNCTION("""COMPUTED_VALUE"""),174.0)</f>
        <v>174</v>
      </c>
      <c r="C175" s="88" t="str">
        <f>IFERROR(__xludf.DUMMYFUNCTION("""COMPUTED_VALUE"""),"Maya Hermawan")</f>
        <v>Maya Hermawan</v>
      </c>
      <c r="D175" s="87" t="str">
        <f>IFERROR(__xludf.DUMMYFUNCTION("""COMPUTED_VALUE"""),"1, 5")</f>
        <v>1, 5</v>
      </c>
      <c r="E175" s="87" t="str">
        <f>IFERROR(__xludf.DUMMYFUNCTION("""COMPUTED_VALUE"""),"5, 1")</f>
        <v>5, 1</v>
      </c>
      <c r="F175" s="87" t="str">
        <f>IFERROR(__xludf.DUMMYFUNCTION("""COMPUTED_VALUE"""),"1421, 1425")</f>
        <v>1421, 1425</v>
      </c>
      <c r="G175" s="87">
        <f>IFERROR(__xludf.DUMMYFUNCTION("""COMPUTED_VALUE"""),-6.31846576753631)</f>
        <v>-6.318465768</v>
      </c>
      <c r="H175" s="86">
        <f>IFERROR(__xludf.DUMMYFUNCTION("""COMPUTED_VALUE"""),106.616955966945)</f>
        <v>106.616956</v>
      </c>
      <c r="I175" s="85"/>
      <c r="J175" s="85"/>
      <c r="K175" s="85"/>
      <c r="L175" s="85"/>
      <c r="M175" s="85"/>
      <c r="N175" s="85"/>
      <c r="O175" s="85"/>
      <c r="P175" s="85"/>
      <c r="Q175" s="85"/>
      <c r="R175" s="43"/>
      <c r="S175" s="43"/>
      <c r="T175" s="43"/>
      <c r="U175" s="43"/>
      <c r="V175" s="43"/>
      <c r="W175" s="43"/>
      <c r="X175" s="43"/>
      <c r="Y175" s="43"/>
      <c r="Z175" s="43"/>
    </row>
    <row r="176">
      <c r="A176" s="86">
        <f>IFERROR(__xludf.DUMMYFUNCTION("""COMPUTED_VALUE"""),175.0)</f>
        <v>175</v>
      </c>
      <c r="B176" s="87">
        <f>IFERROR(__xludf.DUMMYFUNCTION("""COMPUTED_VALUE"""),175.0)</f>
        <v>175</v>
      </c>
      <c r="C176" s="88" t="str">
        <f>IFERROR(__xludf.DUMMYFUNCTION("""COMPUTED_VALUE"""),"Siti Septiani")</f>
        <v>Siti Septiani</v>
      </c>
      <c r="D176" s="87" t="str">
        <f>IFERROR(__xludf.DUMMYFUNCTION("""COMPUTED_VALUE"""),"4, 6")</f>
        <v>4, 6</v>
      </c>
      <c r="E176" s="87" t="str">
        <f>IFERROR(__xludf.DUMMYFUNCTION("""COMPUTED_VALUE"""),"2, 5")</f>
        <v>2, 5</v>
      </c>
      <c r="F176" s="87" t="str">
        <f>IFERROR(__xludf.DUMMYFUNCTION("""COMPUTED_VALUE"""),"1424, 1639")</f>
        <v>1424, 1639</v>
      </c>
      <c r="G176" s="87">
        <f>IFERROR(__xludf.DUMMYFUNCTION("""COMPUTED_VALUE"""),-6.14057576987682)</f>
        <v>-6.14057577</v>
      </c>
      <c r="H176" s="86">
        <f>IFERROR(__xludf.DUMMYFUNCTION("""COMPUTED_VALUE"""),106.964647395732)</f>
        <v>106.9646474</v>
      </c>
      <c r="I176" s="85"/>
      <c r="J176" s="85"/>
      <c r="K176" s="85"/>
      <c r="L176" s="85"/>
      <c r="M176" s="85"/>
      <c r="N176" s="85"/>
      <c r="O176" s="85"/>
      <c r="P176" s="85"/>
      <c r="Q176" s="85"/>
      <c r="R176" s="43"/>
      <c r="S176" s="43"/>
      <c r="T176" s="43"/>
      <c r="U176" s="43"/>
      <c r="V176" s="43"/>
      <c r="W176" s="43"/>
      <c r="X176" s="43"/>
      <c r="Y176" s="43"/>
      <c r="Z176" s="43"/>
    </row>
    <row r="177">
      <c r="A177" s="86">
        <f>IFERROR(__xludf.DUMMYFUNCTION("""COMPUTED_VALUE"""),176.0)</f>
        <v>176</v>
      </c>
      <c r="B177" s="87">
        <f>IFERROR(__xludf.DUMMYFUNCTION("""COMPUTED_VALUE"""),176.0)</f>
        <v>176</v>
      </c>
      <c r="C177" s="88" t="str">
        <f>IFERROR(__xludf.DUMMYFUNCTION("""COMPUTED_VALUE"""),"Ani Hartono")</f>
        <v>Ani Hartono</v>
      </c>
      <c r="D177" s="87" t="str">
        <f>IFERROR(__xludf.DUMMYFUNCTION("""COMPUTED_VALUE"""),"2, 3")</f>
        <v>2, 3</v>
      </c>
      <c r="E177" s="87" t="str">
        <f>IFERROR(__xludf.DUMMYFUNCTION("""COMPUTED_VALUE"""),"2, 3")</f>
        <v>2, 3</v>
      </c>
      <c r="F177" s="87" t="str">
        <f>IFERROR(__xludf.DUMMYFUNCTION("""COMPUTED_VALUE"""),"1313, 1526")</f>
        <v>1313, 1526</v>
      </c>
      <c r="G177" s="87">
        <f>IFERROR(__xludf.DUMMYFUNCTION("""COMPUTED_VALUE"""),-6.11880374735774)</f>
        <v>-6.118803747</v>
      </c>
      <c r="H177" s="86">
        <f>IFERROR(__xludf.DUMMYFUNCTION("""COMPUTED_VALUE"""),106.878841100353)</f>
        <v>106.8788411</v>
      </c>
      <c r="I177" s="85"/>
      <c r="J177" s="85"/>
      <c r="K177" s="85"/>
      <c r="L177" s="85"/>
      <c r="M177" s="85"/>
      <c r="N177" s="85"/>
      <c r="O177" s="85"/>
      <c r="P177" s="85"/>
      <c r="Q177" s="85"/>
      <c r="R177" s="43"/>
      <c r="S177" s="43"/>
      <c r="T177" s="43"/>
      <c r="U177" s="43"/>
      <c r="V177" s="43"/>
      <c r="W177" s="43"/>
      <c r="X177" s="43"/>
      <c r="Y177" s="43"/>
      <c r="Z177" s="43"/>
    </row>
    <row r="178">
      <c r="A178" s="86">
        <f>IFERROR(__xludf.DUMMYFUNCTION("""COMPUTED_VALUE"""),177.0)</f>
        <v>177</v>
      </c>
      <c r="B178" s="87">
        <f>IFERROR(__xludf.DUMMYFUNCTION("""COMPUTED_VALUE"""),177.0)</f>
        <v>177</v>
      </c>
      <c r="C178" s="88" t="str">
        <f>IFERROR(__xludf.DUMMYFUNCTION("""COMPUTED_VALUE"""),"Andi Susanto")</f>
        <v>Andi Susanto</v>
      </c>
      <c r="D178" s="87" t="str">
        <f>IFERROR(__xludf.DUMMYFUNCTION("""COMPUTED_VALUE"""),"3, 1")</f>
        <v>3, 1</v>
      </c>
      <c r="E178" s="87" t="str">
        <f>IFERROR(__xludf.DUMMYFUNCTION("""COMPUTED_VALUE"""),"2, 6")</f>
        <v>2, 6</v>
      </c>
      <c r="F178" s="87" t="str">
        <f>IFERROR(__xludf.DUMMYFUNCTION("""COMPUTED_VALUE"""),"114, 1424")</f>
        <v>114, 1424</v>
      </c>
      <c r="G178" s="87">
        <f>IFERROR(__xludf.DUMMYFUNCTION("""COMPUTED_VALUE"""),-6.16981908592871)</f>
        <v>-6.169819086</v>
      </c>
      <c r="H178" s="86">
        <f>IFERROR(__xludf.DUMMYFUNCTION("""COMPUTED_VALUE"""),106.750907443528)</f>
        <v>106.7509074</v>
      </c>
      <c r="I178" s="85"/>
      <c r="J178" s="85"/>
      <c r="K178" s="85"/>
      <c r="L178" s="85"/>
      <c r="M178" s="85"/>
      <c r="N178" s="85"/>
      <c r="O178" s="85"/>
      <c r="P178" s="85"/>
      <c r="Q178" s="85"/>
      <c r="R178" s="43"/>
      <c r="S178" s="43"/>
      <c r="T178" s="43"/>
      <c r="U178" s="43"/>
      <c r="V178" s="43"/>
      <c r="W178" s="43"/>
      <c r="X178" s="43"/>
      <c r="Y178" s="43"/>
      <c r="Z178" s="43"/>
    </row>
    <row r="179">
      <c r="A179" s="86">
        <f>IFERROR(__xludf.DUMMYFUNCTION("""COMPUTED_VALUE"""),178.0)</f>
        <v>178</v>
      </c>
      <c r="B179" s="87">
        <f>IFERROR(__xludf.DUMMYFUNCTION("""COMPUTED_VALUE"""),178.0)</f>
        <v>178</v>
      </c>
      <c r="C179" s="88" t="str">
        <f>IFERROR(__xludf.DUMMYFUNCTION("""COMPUTED_VALUE"""),"Dewi Hidayat")</f>
        <v>Dewi Hidayat</v>
      </c>
      <c r="D179" s="87" t="str">
        <f>IFERROR(__xludf.DUMMYFUNCTION("""COMPUTED_VALUE"""),"1, 3")</f>
        <v>1, 3</v>
      </c>
      <c r="E179" s="87" t="str">
        <f>IFERROR(__xludf.DUMMYFUNCTION("""COMPUTED_VALUE"""),"3, 2")</f>
        <v>3, 2</v>
      </c>
      <c r="F179" s="87" t="str">
        <f>IFERROR(__xludf.DUMMYFUNCTION("""COMPUTED_VALUE"""),"3658, 3658")</f>
        <v>3658, 3658</v>
      </c>
      <c r="G179" s="87">
        <f>IFERROR(__xludf.DUMMYFUNCTION("""COMPUTED_VALUE"""),-6.29762200887867)</f>
        <v>-6.297622009</v>
      </c>
      <c r="H179" s="86">
        <f>IFERROR(__xludf.DUMMYFUNCTION("""COMPUTED_VALUE"""),107.021131945435)</f>
        <v>107.0211319</v>
      </c>
      <c r="I179" s="85"/>
      <c r="J179" s="85"/>
      <c r="K179" s="85"/>
      <c r="L179" s="85"/>
      <c r="M179" s="85"/>
      <c r="N179" s="85"/>
      <c r="O179" s="85"/>
      <c r="P179" s="85"/>
      <c r="Q179" s="85"/>
      <c r="R179" s="43"/>
      <c r="S179" s="43"/>
      <c r="T179" s="43"/>
      <c r="U179" s="43"/>
      <c r="V179" s="43"/>
      <c r="W179" s="43"/>
      <c r="X179" s="43"/>
      <c r="Y179" s="43"/>
      <c r="Z179" s="43"/>
    </row>
    <row r="180">
      <c r="A180" s="86">
        <f>IFERROR(__xludf.DUMMYFUNCTION("""COMPUTED_VALUE"""),179.0)</f>
        <v>179</v>
      </c>
      <c r="B180" s="87">
        <f>IFERROR(__xludf.DUMMYFUNCTION("""COMPUTED_VALUE"""),179.0)</f>
        <v>179</v>
      </c>
      <c r="C180" s="88" t="str">
        <f>IFERROR(__xludf.DUMMYFUNCTION("""COMPUTED_VALUE"""),"Andi Susanto")</f>
        <v>Andi Susanto</v>
      </c>
      <c r="D180" s="87" t="str">
        <f>IFERROR(__xludf.DUMMYFUNCTION("""COMPUTED_VALUE"""),"6, 6")</f>
        <v>6, 6</v>
      </c>
      <c r="E180" s="87" t="str">
        <f>IFERROR(__xludf.DUMMYFUNCTION("""COMPUTED_VALUE"""),"1, 6")</f>
        <v>1, 6</v>
      </c>
      <c r="F180" s="87" t="str">
        <f>IFERROR(__xludf.DUMMYFUNCTION("""COMPUTED_VALUE"""),"118, 1638")</f>
        <v>118, 1638</v>
      </c>
      <c r="G180" s="87">
        <f>IFERROR(__xludf.DUMMYFUNCTION("""COMPUTED_VALUE"""),-6.23175843444168)</f>
        <v>-6.231758434</v>
      </c>
      <c r="H180" s="86">
        <f>IFERROR(__xludf.DUMMYFUNCTION("""COMPUTED_VALUE"""),106.597049863733)</f>
        <v>106.5970499</v>
      </c>
      <c r="I180" s="85"/>
      <c r="J180" s="85"/>
      <c r="K180" s="85"/>
      <c r="L180" s="85"/>
      <c r="M180" s="85"/>
      <c r="N180" s="85"/>
      <c r="O180" s="85"/>
      <c r="P180" s="85"/>
      <c r="Q180" s="85"/>
      <c r="R180" s="43"/>
      <c r="S180" s="43"/>
      <c r="T180" s="43"/>
      <c r="U180" s="43"/>
      <c r="V180" s="43"/>
      <c r="W180" s="43"/>
      <c r="X180" s="43"/>
      <c r="Y180" s="43"/>
      <c r="Z180" s="43"/>
    </row>
    <row r="181">
      <c r="A181" s="86">
        <f>IFERROR(__xludf.DUMMYFUNCTION("""COMPUTED_VALUE"""),180.0)</f>
        <v>180</v>
      </c>
      <c r="B181" s="87">
        <f>IFERROR(__xludf.DUMMYFUNCTION("""COMPUTED_VALUE"""),180.0)</f>
        <v>180</v>
      </c>
      <c r="C181" s="88" t="str">
        <f>IFERROR(__xludf.DUMMYFUNCTION("""COMPUTED_VALUE"""),"Andi Susanto")</f>
        <v>Andi Susanto</v>
      </c>
      <c r="D181" s="87" t="str">
        <f>IFERROR(__xludf.DUMMYFUNCTION("""COMPUTED_VALUE"""),"3, 1")</f>
        <v>3, 1</v>
      </c>
      <c r="E181" s="87" t="str">
        <f>IFERROR(__xludf.DUMMYFUNCTION("""COMPUTED_VALUE"""),"6, 5")</f>
        <v>6, 5</v>
      </c>
      <c r="F181" s="87" t="str">
        <f>IFERROR(__xludf.DUMMYFUNCTION("""COMPUTED_VALUE"""),"1334, 1332")</f>
        <v>1334, 1332</v>
      </c>
      <c r="G181" s="87">
        <f>IFERROR(__xludf.DUMMYFUNCTION("""COMPUTED_VALUE"""),-6.28237054094163)</f>
        <v>-6.282370541</v>
      </c>
      <c r="H181" s="86">
        <f>IFERROR(__xludf.DUMMYFUNCTION("""COMPUTED_VALUE"""),106.943111418322)</f>
        <v>106.9431114</v>
      </c>
      <c r="I181" s="85"/>
      <c r="J181" s="85"/>
      <c r="K181" s="85"/>
      <c r="L181" s="85"/>
      <c r="M181" s="85"/>
      <c r="N181" s="85"/>
      <c r="O181" s="85"/>
      <c r="P181" s="85"/>
      <c r="Q181" s="85"/>
      <c r="R181" s="43"/>
      <c r="S181" s="43"/>
      <c r="T181" s="43"/>
      <c r="U181" s="43"/>
      <c r="V181" s="43"/>
      <c r="W181" s="43"/>
      <c r="X181" s="43"/>
      <c r="Y181" s="43"/>
      <c r="Z181" s="43"/>
    </row>
    <row r="182">
      <c r="A182" s="86">
        <f>IFERROR(__xludf.DUMMYFUNCTION("""COMPUTED_VALUE"""),181.0)</f>
        <v>181</v>
      </c>
      <c r="B182" s="87">
        <f>IFERROR(__xludf.DUMMYFUNCTION("""COMPUTED_VALUE"""),181.0)</f>
        <v>181</v>
      </c>
      <c r="C182" s="88" t="str">
        <f>IFERROR(__xludf.DUMMYFUNCTION("""COMPUTED_VALUE"""),"Andi Hadiwijaya")</f>
        <v>Andi Hadiwijaya</v>
      </c>
      <c r="D182" s="87" t="str">
        <f>IFERROR(__xludf.DUMMYFUNCTION("""COMPUTED_VALUE"""),"3, 5")</f>
        <v>3, 5</v>
      </c>
      <c r="E182" s="87" t="str">
        <f>IFERROR(__xludf.DUMMYFUNCTION("""COMPUTED_VALUE"""),"3, 2")</f>
        <v>3, 2</v>
      </c>
      <c r="F182" s="87" t="str">
        <f>IFERROR(__xludf.DUMMYFUNCTION("""COMPUTED_VALUE"""),"113, 3454")</f>
        <v>113, 3454</v>
      </c>
      <c r="G182" s="87">
        <f>IFERROR(__xludf.DUMMYFUNCTION("""COMPUTED_VALUE"""),-6.3487994315465)</f>
        <v>-6.348799432</v>
      </c>
      <c r="H182" s="86">
        <f>IFERROR(__xludf.DUMMYFUNCTION("""COMPUTED_VALUE"""),106.836478583063)</f>
        <v>106.8364786</v>
      </c>
      <c r="I182" s="85"/>
      <c r="J182" s="85"/>
      <c r="K182" s="85"/>
      <c r="L182" s="85"/>
      <c r="M182" s="85"/>
      <c r="N182" s="85"/>
      <c r="O182" s="85"/>
      <c r="P182" s="85"/>
      <c r="Q182" s="85"/>
      <c r="R182" s="43"/>
      <c r="S182" s="43"/>
      <c r="T182" s="43"/>
      <c r="U182" s="43"/>
      <c r="V182" s="43"/>
      <c r="W182" s="43"/>
      <c r="X182" s="43"/>
      <c r="Y182" s="43"/>
      <c r="Z182" s="43"/>
    </row>
    <row r="183">
      <c r="A183" s="86">
        <f>IFERROR(__xludf.DUMMYFUNCTION("""COMPUTED_VALUE"""),182.0)</f>
        <v>182</v>
      </c>
      <c r="B183" s="87">
        <f>IFERROR(__xludf.DUMMYFUNCTION("""COMPUTED_VALUE"""),182.0)</f>
        <v>182</v>
      </c>
      <c r="C183" s="88" t="str">
        <f>IFERROR(__xludf.DUMMYFUNCTION("""COMPUTED_VALUE"""),"Siti Utami")</f>
        <v>Siti Utami</v>
      </c>
      <c r="D183" s="87" t="str">
        <f>IFERROR(__xludf.DUMMYFUNCTION("""COMPUTED_VALUE"""),"2, 4")</f>
        <v>2, 4</v>
      </c>
      <c r="E183" s="87" t="str">
        <f>IFERROR(__xludf.DUMMYFUNCTION("""COMPUTED_VALUE"""),"5, 4")</f>
        <v>5, 4</v>
      </c>
      <c r="F183" s="87" t="str">
        <f>IFERROR(__xludf.DUMMYFUNCTION("""COMPUTED_VALUE"""),"1526, 1529")</f>
        <v>1526, 1529</v>
      </c>
      <c r="G183" s="87">
        <f>IFERROR(__xludf.DUMMYFUNCTION("""COMPUTED_VALUE"""),-6.27211047550037)</f>
        <v>-6.272110476</v>
      </c>
      <c r="H183" s="86">
        <f>IFERROR(__xludf.DUMMYFUNCTION("""COMPUTED_VALUE"""),107.025886346839)</f>
        <v>107.0258863</v>
      </c>
      <c r="I183" s="85"/>
      <c r="J183" s="85"/>
      <c r="K183" s="85"/>
      <c r="L183" s="85"/>
      <c r="M183" s="85"/>
      <c r="N183" s="85"/>
      <c r="O183" s="85"/>
      <c r="P183" s="85"/>
      <c r="Q183" s="85"/>
      <c r="R183" s="43"/>
      <c r="S183" s="43"/>
      <c r="T183" s="43"/>
      <c r="U183" s="43"/>
      <c r="V183" s="43"/>
      <c r="W183" s="43"/>
      <c r="X183" s="43"/>
      <c r="Y183" s="43"/>
      <c r="Z183" s="43"/>
    </row>
    <row r="184">
      <c r="A184" s="86">
        <f>IFERROR(__xludf.DUMMYFUNCTION("""COMPUTED_VALUE"""),183.0)</f>
        <v>183</v>
      </c>
      <c r="B184" s="87">
        <f>IFERROR(__xludf.DUMMYFUNCTION("""COMPUTED_VALUE"""),183.0)</f>
        <v>183</v>
      </c>
      <c r="C184" s="88" t="str">
        <f>IFERROR(__xludf.DUMMYFUNCTION("""COMPUTED_VALUE"""),"Siti Nugroho")</f>
        <v>Siti Nugroho</v>
      </c>
      <c r="D184" s="87" t="str">
        <f>IFERROR(__xludf.DUMMYFUNCTION("""COMPUTED_VALUE"""),"6, 3")</f>
        <v>6, 3</v>
      </c>
      <c r="E184" s="87" t="str">
        <f>IFERROR(__xludf.DUMMYFUNCTION("""COMPUTED_VALUE"""),"4, 6")</f>
        <v>4, 6</v>
      </c>
      <c r="F184" s="87" t="str">
        <f>IFERROR(__xludf.DUMMYFUNCTION("""COMPUTED_VALUE"""),"111, 1421")</f>
        <v>111, 1421</v>
      </c>
      <c r="G184" s="87">
        <f>IFERROR(__xludf.DUMMYFUNCTION("""COMPUTED_VALUE"""),-6.12131528387058)</f>
        <v>-6.121315284</v>
      </c>
      <c r="H184" s="86">
        <f>IFERROR(__xludf.DUMMYFUNCTION("""COMPUTED_VALUE"""),106.622407207137)</f>
        <v>106.6224072</v>
      </c>
      <c r="I184" s="85"/>
      <c r="J184" s="85"/>
      <c r="K184" s="85"/>
      <c r="L184" s="85"/>
      <c r="M184" s="85"/>
      <c r="N184" s="85"/>
      <c r="O184" s="85"/>
      <c r="P184" s="85"/>
      <c r="Q184" s="85"/>
      <c r="R184" s="43"/>
      <c r="S184" s="43"/>
      <c r="T184" s="43"/>
      <c r="U184" s="43"/>
      <c r="V184" s="43"/>
      <c r="W184" s="43"/>
      <c r="X184" s="43"/>
      <c r="Y184" s="43"/>
      <c r="Z184" s="43"/>
    </row>
    <row r="185">
      <c r="A185" s="86">
        <f>IFERROR(__xludf.DUMMYFUNCTION("""COMPUTED_VALUE"""),184.0)</f>
        <v>184</v>
      </c>
      <c r="B185" s="87">
        <f>IFERROR(__xludf.DUMMYFUNCTION("""COMPUTED_VALUE"""),184.0)</f>
        <v>184</v>
      </c>
      <c r="C185" s="88" t="str">
        <f>IFERROR(__xludf.DUMMYFUNCTION("""COMPUTED_VALUE"""),"Dewi Hadiwijaya")</f>
        <v>Dewi Hadiwijaya</v>
      </c>
      <c r="D185" s="87" t="str">
        <f>IFERROR(__xludf.DUMMYFUNCTION("""COMPUTED_VALUE"""),"6, 2")</f>
        <v>6, 2</v>
      </c>
      <c r="E185" s="87" t="str">
        <f>IFERROR(__xludf.DUMMYFUNCTION("""COMPUTED_VALUE"""),"2, 1")</f>
        <v>2, 1</v>
      </c>
      <c r="F185" s="87" t="str">
        <f>IFERROR(__xludf.DUMMYFUNCTION("""COMPUTED_VALUE"""),"1647, 3165")</f>
        <v>1647, 3165</v>
      </c>
      <c r="G185" s="87">
        <f>IFERROR(__xludf.DUMMYFUNCTION("""COMPUTED_VALUE"""),-6.13814634273759)</f>
        <v>-6.138146343</v>
      </c>
      <c r="H185" s="86">
        <f>IFERROR(__xludf.DUMMYFUNCTION("""COMPUTED_VALUE"""),106.977023328066)</f>
        <v>106.9770233</v>
      </c>
      <c r="I185" s="85"/>
      <c r="J185" s="85"/>
      <c r="K185" s="85"/>
      <c r="L185" s="85"/>
      <c r="M185" s="85"/>
      <c r="N185" s="85"/>
      <c r="O185" s="85"/>
      <c r="P185" s="85"/>
      <c r="Q185" s="85"/>
      <c r="R185" s="43"/>
      <c r="S185" s="43"/>
      <c r="T185" s="43"/>
      <c r="U185" s="43"/>
      <c r="V185" s="43"/>
      <c r="W185" s="43"/>
      <c r="X185" s="43"/>
      <c r="Y185" s="43"/>
      <c r="Z185" s="43"/>
    </row>
    <row r="186">
      <c r="A186" s="86">
        <f>IFERROR(__xludf.DUMMYFUNCTION("""COMPUTED_VALUE"""),185.0)</f>
        <v>185</v>
      </c>
      <c r="B186" s="87">
        <f>IFERROR(__xludf.DUMMYFUNCTION("""COMPUTED_VALUE"""),185.0)</f>
        <v>185</v>
      </c>
      <c r="C186" s="88" t="str">
        <f>IFERROR(__xludf.DUMMYFUNCTION("""COMPUTED_VALUE"""),"Budi Wijaya")</f>
        <v>Budi Wijaya</v>
      </c>
      <c r="D186" s="87" t="str">
        <f>IFERROR(__xludf.DUMMYFUNCTION("""COMPUTED_VALUE"""),"1, 2")</f>
        <v>1, 2</v>
      </c>
      <c r="E186" s="87" t="str">
        <f>IFERROR(__xludf.DUMMYFUNCTION("""COMPUTED_VALUE"""),"6, 3")</f>
        <v>6, 3</v>
      </c>
      <c r="F186" s="87" t="str">
        <f>IFERROR(__xludf.DUMMYFUNCTION("""COMPUTED_VALUE"""),"1519, 1531")</f>
        <v>1519, 1531</v>
      </c>
      <c r="G186" s="87">
        <f>IFERROR(__xludf.DUMMYFUNCTION("""COMPUTED_VALUE"""),-6.10044679772307)</f>
        <v>-6.100446798</v>
      </c>
      <c r="H186" s="86">
        <f>IFERROR(__xludf.DUMMYFUNCTION("""COMPUTED_VALUE"""),106.829579241994)</f>
        <v>106.8295792</v>
      </c>
      <c r="I186" s="85"/>
      <c r="J186" s="85"/>
      <c r="K186" s="85"/>
      <c r="L186" s="85"/>
      <c r="M186" s="85"/>
      <c r="N186" s="85"/>
      <c r="O186" s="85"/>
      <c r="P186" s="85"/>
      <c r="Q186" s="85"/>
      <c r="R186" s="43"/>
      <c r="S186" s="43"/>
      <c r="T186" s="43"/>
      <c r="U186" s="43"/>
      <c r="V186" s="43"/>
      <c r="W186" s="43"/>
      <c r="X186" s="43"/>
      <c r="Y186" s="43"/>
      <c r="Z186" s="43"/>
    </row>
    <row r="187">
      <c r="A187" s="86">
        <f>IFERROR(__xludf.DUMMYFUNCTION("""COMPUTED_VALUE"""),186.0)</f>
        <v>186</v>
      </c>
      <c r="B187" s="87">
        <f>IFERROR(__xludf.DUMMYFUNCTION("""COMPUTED_VALUE"""),186.0)</f>
        <v>186</v>
      </c>
      <c r="C187" s="88" t="str">
        <f>IFERROR(__xludf.DUMMYFUNCTION("""COMPUTED_VALUE"""),"Budi Wijaya")</f>
        <v>Budi Wijaya</v>
      </c>
      <c r="D187" s="87" t="str">
        <f>IFERROR(__xludf.DUMMYFUNCTION("""COMPUTED_VALUE"""),"6, 6")</f>
        <v>6, 6</v>
      </c>
      <c r="E187" s="87" t="str">
        <f>IFERROR(__xludf.DUMMYFUNCTION("""COMPUTED_VALUE"""),"1, 4")</f>
        <v>1, 4</v>
      </c>
      <c r="F187" s="87" t="str">
        <f>IFERROR(__xludf.DUMMYFUNCTION("""COMPUTED_VALUE"""),"1640, 1313")</f>
        <v>1640, 1313</v>
      </c>
      <c r="G187" s="87">
        <f>IFERROR(__xludf.DUMMYFUNCTION("""COMPUTED_VALUE"""),-6.24398512093736)</f>
        <v>-6.243985121</v>
      </c>
      <c r="H187" s="86">
        <f>IFERROR(__xludf.DUMMYFUNCTION("""COMPUTED_VALUE"""),106.828849350752)</f>
        <v>106.8288494</v>
      </c>
      <c r="I187" s="85"/>
      <c r="J187" s="85"/>
      <c r="K187" s="85"/>
      <c r="L187" s="85"/>
      <c r="M187" s="85"/>
      <c r="N187" s="85"/>
      <c r="O187" s="85"/>
      <c r="P187" s="85"/>
      <c r="Q187" s="85"/>
      <c r="R187" s="43"/>
      <c r="S187" s="43"/>
      <c r="T187" s="43"/>
      <c r="U187" s="43"/>
      <c r="V187" s="43"/>
      <c r="W187" s="43"/>
      <c r="X187" s="43"/>
      <c r="Y187" s="43"/>
      <c r="Z187" s="43"/>
    </row>
    <row r="188">
      <c r="A188" s="86">
        <f>IFERROR(__xludf.DUMMYFUNCTION("""COMPUTED_VALUE"""),187.0)</f>
        <v>187</v>
      </c>
      <c r="B188" s="87">
        <f>IFERROR(__xludf.DUMMYFUNCTION("""COMPUTED_VALUE"""),187.0)</f>
        <v>187</v>
      </c>
      <c r="C188" s="88" t="str">
        <f>IFERROR(__xludf.DUMMYFUNCTION("""COMPUTED_VALUE"""),"Bambang Saputra")</f>
        <v>Bambang Saputra</v>
      </c>
      <c r="D188" s="87" t="str">
        <f>IFERROR(__xludf.DUMMYFUNCTION("""COMPUTED_VALUE"""),"4, 5")</f>
        <v>4, 5</v>
      </c>
      <c r="E188" s="87" t="str">
        <f>IFERROR(__xludf.DUMMYFUNCTION("""COMPUTED_VALUE"""),"3, 1")</f>
        <v>3, 1</v>
      </c>
      <c r="F188" s="87" t="str">
        <f>IFERROR(__xludf.DUMMYFUNCTION("""COMPUTED_VALUE"""),"1643, 1212")</f>
        <v>1643, 1212</v>
      </c>
      <c r="G188" s="87">
        <f>IFERROR(__xludf.DUMMYFUNCTION("""COMPUTED_VALUE"""),-6.17480847142355)</f>
        <v>-6.174808471</v>
      </c>
      <c r="H188" s="86">
        <f>IFERROR(__xludf.DUMMYFUNCTION("""COMPUTED_VALUE"""),106.849790184717)</f>
        <v>106.8497902</v>
      </c>
      <c r="I188" s="85"/>
      <c r="J188" s="85"/>
      <c r="K188" s="85"/>
      <c r="L188" s="85"/>
      <c r="M188" s="85"/>
      <c r="N188" s="85"/>
      <c r="O188" s="85"/>
      <c r="P188" s="85"/>
      <c r="Q188" s="85"/>
      <c r="R188" s="43"/>
      <c r="S188" s="43"/>
      <c r="T188" s="43"/>
      <c r="U188" s="43"/>
      <c r="V188" s="43"/>
      <c r="W188" s="43"/>
      <c r="X188" s="43"/>
      <c r="Y188" s="43"/>
      <c r="Z188" s="43"/>
    </row>
    <row r="189">
      <c r="A189" s="86">
        <f>IFERROR(__xludf.DUMMYFUNCTION("""COMPUTED_VALUE"""),188.0)</f>
        <v>188</v>
      </c>
      <c r="B189" s="87">
        <f>IFERROR(__xludf.DUMMYFUNCTION("""COMPUTED_VALUE"""),188.0)</f>
        <v>188</v>
      </c>
      <c r="C189" s="88" t="str">
        <f>IFERROR(__xludf.DUMMYFUNCTION("""COMPUTED_VALUE"""),"Siti Setiawan")</f>
        <v>Siti Setiawan</v>
      </c>
      <c r="D189" s="87" t="str">
        <f>IFERROR(__xludf.DUMMYFUNCTION("""COMPUTED_VALUE"""),"2, 3")</f>
        <v>2, 3</v>
      </c>
      <c r="E189" s="87" t="str">
        <f>IFERROR(__xludf.DUMMYFUNCTION("""COMPUTED_VALUE"""),"6, 6")</f>
        <v>6, 6</v>
      </c>
      <c r="F189" s="87" t="str">
        <f>IFERROR(__xludf.DUMMYFUNCTION("""COMPUTED_VALUE"""),"3356, 1553")</f>
        <v>3356, 1553</v>
      </c>
      <c r="G189" s="87">
        <f>IFERROR(__xludf.DUMMYFUNCTION("""COMPUTED_VALUE"""),-6.1220555023521)</f>
        <v>-6.122055502</v>
      </c>
      <c r="H189" s="86">
        <f>IFERROR(__xludf.DUMMYFUNCTION("""COMPUTED_VALUE"""),106.843675755189)</f>
        <v>106.8436758</v>
      </c>
      <c r="I189" s="85"/>
      <c r="J189" s="85"/>
      <c r="K189" s="85"/>
      <c r="L189" s="85"/>
      <c r="M189" s="85"/>
      <c r="N189" s="85"/>
      <c r="O189" s="85"/>
      <c r="P189" s="85"/>
      <c r="Q189" s="85"/>
      <c r="R189" s="43"/>
      <c r="S189" s="43"/>
      <c r="T189" s="43"/>
      <c r="U189" s="43"/>
      <c r="V189" s="43"/>
      <c r="W189" s="43"/>
      <c r="X189" s="43"/>
      <c r="Y189" s="43"/>
      <c r="Z189" s="43"/>
    </row>
    <row r="190">
      <c r="A190" s="86">
        <f>IFERROR(__xludf.DUMMYFUNCTION("""COMPUTED_VALUE"""),189.0)</f>
        <v>189</v>
      </c>
      <c r="B190" s="87">
        <f>IFERROR(__xludf.DUMMYFUNCTION("""COMPUTED_VALUE"""),189.0)</f>
        <v>189</v>
      </c>
      <c r="C190" s="88" t="str">
        <f>IFERROR(__xludf.DUMMYFUNCTION("""COMPUTED_VALUE"""),"Arif Putri")</f>
        <v>Arif Putri</v>
      </c>
      <c r="D190" s="87" t="str">
        <f>IFERROR(__xludf.DUMMYFUNCTION("""COMPUTED_VALUE"""),"6, 5")</f>
        <v>6, 5</v>
      </c>
      <c r="E190" s="87" t="str">
        <f>IFERROR(__xludf.DUMMYFUNCTION("""COMPUTED_VALUE"""),"4, 2")</f>
        <v>4, 2</v>
      </c>
      <c r="F190" s="87" t="str">
        <f>IFERROR(__xludf.DUMMYFUNCTION("""COMPUTED_VALUE"""),"3659, 3167")</f>
        <v>3659, 3167</v>
      </c>
      <c r="G190" s="87">
        <f>IFERROR(__xludf.DUMMYFUNCTION("""COMPUTED_VALUE"""),-6.11265809212885)</f>
        <v>-6.112658092</v>
      </c>
      <c r="H190" s="86">
        <f>IFERROR(__xludf.DUMMYFUNCTION("""COMPUTED_VALUE"""),106.77318502564)</f>
        <v>106.773185</v>
      </c>
      <c r="I190" s="85"/>
      <c r="J190" s="85"/>
      <c r="K190" s="85"/>
      <c r="L190" s="85"/>
      <c r="M190" s="85"/>
      <c r="N190" s="85"/>
      <c r="O190" s="85"/>
      <c r="P190" s="85"/>
      <c r="Q190" s="85"/>
      <c r="R190" s="43"/>
      <c r="S190" s="43"/>
      <c r="T190" s="43"/>
      <c r="U190" s="43"/>
      <c r="V190" s="43"/>
      <c r="W190" s="43"/>
      <c r="X190" s="43"/>
      <c r="Y190" s="43"/>
      <c r="Z190" s="43"/>
    </row>
    <row r="191">
      <c r="A191" s="86">
        <f>IFERROR(__xludf.DUMMYFUNCTION("""COMPUTED_VALUE"""),190.0)</f>
        <v>190</v>
      </c>
      <c r="B191" s="87">
        <f>IFERROR(__xludf.DUMMYFUNCTION("""COMPUTED_VALUE"""),190.0)</f>
        <v>190</v>
      </c>
      <c r="C191" s="88" t="str">
        <f>IFERROR(__xludf.DUMMYFUNCTION("""COMPUTED_VALUE"""),"Fajar Santoso")</f>
        <v>Fajar Santoso</v>
      </c>
      <c r="D191" s="87" t="str">
        <f>IFERROR(__xludf.DUMMYFUNCTION("""COMPUTED_VALUE"""),"1, 3")</f>
        <v>1, 3</v>
      </c>
      <c r="E191" s="87" t="str">
        <f>IFERROR(__xludf.DUMMYFUNCTION("""COMPUTED_VALUE"""),"1, 3")</f>
        <v>1, 3</v>
      </c>
      <c r="F191" s="87" t="str">
        <f>IFERROR(__xludf.DUMMYFUNCTION("""COMPUTED_VALUE"""),"113, 1416")</f>
        <v>113, 1416</v>
      </c>
      <c r="G191" s="87">
        <f>IFERROR(__xludf.DUMMYFUNCTION("""COMPUTED_VALUE"""),-6.17386782708454)</f>
        <v>-6.173867827</v>
      </c>
      <c r="H191" s="86">
        <f>IFERROR(__xludf.DUMMYFUNCTION("""COMPUTED_VALUE"""),106.847806187808)</f>
        <v>106.8478062</v>
      </c>
      <c r="I191" s="85"/>
      <c r="J191" s="85"/>
      <c r="K191" s="85"/>
      <c r="L191" s="85"/>
      <c r="M191" s="85"/>
      <c r="N191" s="85"/>
      <c r="O191" s="85"/>
      <c r="P191" s="85"/>
      <c r="Q191" s="85"/>
      <c r="R191" s="43"/>
      <c r="S191" s="43"/>
      <c r="T191" s="43"/>
      <c r="U191" s="43"/>
      <c r="V191" s="43"/>
      <c r="W191" s="43"/>
      <c r="X191" s="43"/>
      <c r="Y191" s="43"/>
      <c r="Z191" s="43"/>
    </row>
    <row r="192">
      <c r="A192" s="86">
        <f>IFERROR(__xludf.DUMMYFUNCTION("""COMPUTED_VALUE"""),191.0)</f>
        <v>191</v>
      </c>
      <c r="B192" s="87">
        <f>IFERROR(__xludf.DUMMYFUNCTION("""COMPUTED_VALUE"""),191.0)</f>
        <v>191</v>
      </c>
      <c r="C192" s="88" t="str">
        <f>IFERROR(__xludf.DUMMYFUNCTION("""COMPUTED_VALUE"""),"Rudi Hermawan")</f>
        <v>Rudi Hermawan</v>
      </c>
      <c r="D192" s="87" t="str">
        <f>IFERROR(__xludf.DUMMYFUNCTION("""COMPUTED_VALUE"""),"4, 6")</f>
        <v>4, 6</v>
      </c>
      <c r="E192" s="87" t="str">
        <f>IFERROR(__xludf.DUMMYFUNCTION("""COMPUTED_VALUE"""),"5, 6")</f>
        <v>5, 6</v>
      </c>
      <c r="F192" s="87" t="str">
        <f>IFERROR(__xludf.DUMMYFUNCTION("""COMPUTED_VALUE"""),"1641, 1111")</f>
        <v>1641, 1111</v>
      </c>
      <c r="G192" s="87">
        <f>IFERROR(__xludf.DUMMYFUNCTION("""COMPUTED_VALUE"""),-6.13713406026293)</f>
        <v>-6.13713406</v>
      </c>
      <c r="H192" s="86">
        <f>IFERROR(__xludf.DUMMYFUNCTION("""COMPUTED_VALUE"""),106.840556363529)</f>
        <v>106.8405564</v>
      </c>
      <c r="I192" s="85"/>
      <c r="J192" s="85"/>
      <c r="K192" s="85"/>
      <c r="L192" s="85"/>
      <c r="M192" s="85"/>
      <c r="N192" s="85"/>
      <c r="O192" s="85"/>
      <c r="P192" s="85"/>
      <c r="Q192" s="85"/>
      <c r="R192" s="43"/>
      <c r="S192" s="43"/>
      <c r="T192" s="43"/>
      <c r="U192" s="43"/>
      <c r="V192" s="43"/>
      <c r="W192" s="43"/>
      <c r="X192" s="43"/>
      <c r="Y192" s="43"/>
      <c r="Z192" s="43"/>
    </row>
    <row r="193">
      <c r="A193" s="86">
        <f>IFERROR(__xludf.DUMMYFUNCTION("""COMPUTED_VALUE"""),192.0)</f>
        <v>192</v>
      </c>
      <c r="B193" s="87">
        <f>IFERROR(__xludf.DUMMYFUNCTION("""COMPUTED_VALUE"""),192.0)</f>
        <v>192</v>
      </c>
      <c r="C193" s="88" t="str">
        <f>IFERROR(__xludf.DUMMYFUNCTION("""COMPUTED_VALUE"""),"Joko Hadiwijaya")</f>
        <v>Joko Hadiwijaya</v>
      </c>
      <c r="D193" s="87" t="str">
        <f>IFERROR(__xludf.DUMMYFUNCTION("""COMPUTED_VALUE"""),"5, 6")</f>
        <v>5, 6</v>
      </c>
      <c r="E193" s="87" t="str">
        <f>IFERROR(__xludf.DUMMYFUNCTION("""COMPUTED_VALUE"""),"1, 3")</f>
        <v>1, 3</v>
      </c>
      <c r="F193" s="87" t="str">
        <f>IFERROR(__xludf.DUMMYFUNCTION("""COMPUTED_VALUE"""),"1417, 1652")</f>
        <v>1417, 1652</v>
      </c>
      <c r="G193" s="87">
        <f>IFERROR(__xludf.DUMMYFUNCTION("""COMPUTED_VALUE"""),-6.34877252535457)</f>
        <v>-6.348772525</v>
      </c>
      <c r="H193" s="86">
        <f>IFERROR(__xludf.DUMMYFUNCTION("""COMPUTED_VALUE"""),106.820513872492)</f>
        <v>106.8205139</v>
      </c>
      <c r="I193" s="85"/>
      <c r="J193" s="85"/>
      <c r="K193" s="85"/>
      <c r="L193" s="85"/>
      <c r="M193" s="85"/>
      <c r="N193" s="85"/>
      <c r="O193" s="85"/>
      <c r="P193" s="85"/>
      <c r="Q193" s="85"/>
      <c r="R193" s="43"/>
      <c r="S193" s="43"/>
      <c r="T193" s="43"/>
      <c r="U193" s="43"/>
      <c r="V193" s="43"/>
      <c r="W193" s="43"/>
      <c r="X193" s="43"/>
      <c r="Y193" s="43"/>
      <c r="Z193" s="43"/>
    </row>
    <row r="194">
      <c r="A194" s="86">
        <f>IFERROR(__xludf.DUMMYFUNCTION("""COMPUTED_VALUE"""),193.0)</f>
        <v>193</v>
      </c>
      <c r="B194" s="87">
        <f>IFERROR(__xludf.DUMMYFUNCTION("""COMPUTED_VALUE"""),193.0)</f>
        <v>193</v>
      </c>
      <c r="C194" s="88" t="str">
        <f>IFERROR(__xludf.DUMMYFUNCTION("""COMPUTED_VALUE"""),"Dina Wijaya")</f>
        <v>Dina Wijaya</v>
      </c>
      <c r="D194" s="87" t="str">
        <f>IFERROR(__xludf.DUMMYFUNCTION("""COMPUTED_VALUE"""),"5, 2")</f>
        <v>5, 2</v>
      </c>
      <c r="E194" s="87" t="str">
        <f>IFERROR(__xludf.DUMMYFUNCTION("""COMPUTED_VALUE"""),"4, 5")</f>
        <v>4, 5</v>
      </c>
      <c r="F194" s="87" t="str">
        <f>IFERROR(__xludf.DUMMYFUNCTION("""COMPUTED_VALUE"""),"1421, 3162")</f>
        <v>1421, 3162</v>
      </c>
      <c r="G194" s="87">
        <f>IFERROR(__xludf.DUMMYFUNCTION("""COMPUTED_VALUE"""),-6.29919595323403)</f>
        <v>-6.299195953</v>
      </c>
      <c r="H194" s="86">
        <f>IFERROR(__xludf.DUMMYFUNCTION("""COMPUTED_VALUE"""),106.639258713306)</f>
        <v>106.6392587</v>
      </c>
      <c r="I194" s="85"/>
      <c r="J194" s="85"/>
      <c r="K194" s="85"/>
      <c r="L194" s="85"/>
      <c r="M194" s="85"/>
      <c r="N194" s="85"/>
      <c r="O194" s="85"/>
      <c r="P194" s="85"/>
      <c r="Q194" s="85"/>
      <c r="R194" s="43"/>
      <c r="S194" s="43"/>
      <c r="T194" s="43"/>
      <c r="U194" s="43"/>
      <c r="V194" s="43"/>
      <c r="W194" s="43"/>
      <c r="X194" s="43"/>
      <c r="Y194" s="43"/>
      <c r="Z194" s="43"/>
    </row>
    <row r="195">
      <c r="A195" s="86">
        <f>IFERROR(__xludf.DUMMYFUNCTION("""COMPUTED_VALUE"""),194.0)</f>
        <v>194</v>
      </c>
      <c r="B195" s="87">
        <f>IFERROR(__xludf.DUMMYFUNCTION("""COMPUTED_VALUE"""),194.0)</f>
        <v>194</v>
      </c>
      <c r="C195" s="88" t="str">
        <f>IFERROR(__xludf.DUMMYFUNCTION("""COMPUTED_VALUE"""),"Andi Putri")</f>
        <v>Andi Putri</v>
      </c>
      <c r="D195" s="87" t="str">
        <f>IFERROR(__xludf.DUMMYFUNCTION("""COMPUTED_VALUE"""),"4, 5")</f>
        <v>4, 5</v>
      </c>
      <c r="E195" s="87" t="str">
        <f>IFERROR(__xludf.DUMMYFUNCTION("""COMPUTED_VALUE"""),"4, 4")</f>
        <v>4, 4</v>
      </c>
      <c r="F195" s="87" t="str">
        <f>IFERROR(__xludf.DUMMYFUNCTION("""COMPUTED_VALUE"""),"3454, 3164")</f>
        <v>3454, 3164</v>
      </c>
      <c r="G195" s="87">
        <f>IFERROR(__xludf.DUMMYFUNCTION("""COMPUTED_VALUE"""),-6.12889379163073)</f>
        <v>-6.128893792</v>
      </c>
      <c r="H195" s="86">
        <f>IFERROR(__xludf.DUMMYFUNCTION("""COMPUTED_VALUE"""),106.918462238604)</f>
        <v>106.9184622</v>
      </c>
      <c r="I195" s="85"/>
      <c r="J195" s="85"/>
      <c r="K195" s="85"/>
      <c r="L195" s="85"/>
      <c r="M195" s="85"/>
      <c r="N195" s="85"/>
      <c r="O195" s="85"/>
      <c r="P195" s="85"/>
      <c r="Q195" s="85"/>
      <c r="R195" s="43"/>
      <c r="S195" s="43"/>
      <c r="T195" s="43"/>
      <c r="U195" s="43"/>
      <c r="V195" s="43"/>
      <c r="W195" s="43"/>
      <c r="X195" s="43"/>
      <c r="Y195" s="43"/>
      <c r="Z195" s="43"/>
    </row>
    <row r="196">
      <c r="A196" s="86">
        <f>IFERROR(__xludf.DUMMYFUNCTION("""COMPUTED_VALUE"""),195.0)</f>
        <v>195</v>
      </c>
      <c r="B196" s="87">
        <f>IFERROR(__xludf.DUMMYFUNCTION("""COMPUTED_VALUE"""),195.0)</f>
        <v>195</v>
      </c>
      <c r="C196" s="88" t="str">
        <f>IFERROR(__xludf.DUMMYFUNCTION("""COMPUTED_VALUE"""),"Rudi Purnama")</f>
        <v>Rudi Purnama</v>
      </c>
      <c r="D196" s="87" t="str">
        <f>IFERROR(__xludf.DUMMYFUNCTION("""COMPUTED_VALUE"""),"1, 1")</f>
        <v>1, 1</v>
      </c>
      <c r="E196" s="87" t="str">
        <f>IFERROR(__xludf.DUMMYFUNCTION("""COMPUTED_VALUE"""),"2, 4")</f>
        <v>2, 4</v>
      </c>
      <c r="F196" s="87" t="str">
        <f>IFERROR(__xludf.DUMMYFUNCTION("""COMPUTED_VALUE"""),"1640, 1519")</f>
        <v>1640, 1519</v>
      </c>
      <c r="G196" s="87">
        <f>IFERROR(__xludf.DUMMYFUNCTION("""COMPUTED_VALUE"""),-6.16159855002344)</f>
        <v>-6.16159855</v>
      </c>
      <c r="H196" s="86">
        <f>IFERROR(__xludf.DUMMYFUNCTION("""COMPUTED_VALUE"""),106.917631304413)</f>
        <v>106.9176313</v>
      </c>
      <c r="I196" s="85"/>
      <c r="J196" s="85"/>
      <c r="K196" s="85"/>
      <c r="L196" s="85"/>
      <c r="M196" s="85"/>
      <c r="N196" s="85"/>
      <c r="O196" s="85"/>
      <c r="P196" s="85"/>
      <c r="Q196" s="85"/>
      <c r="R196" s="43"/>
      <c r="S196" s="43"/>
      <c r="T196" s="43"/>
      <c r="U196" s="43"/>
      <c r="V196" s="43"/>
      <c r="W196" s="43"/>
      <c r="X196" s="43"/>
      <c r="Y196" s="43"/>
      <c r="Z196" s="43"/>
    </row>
    <row r="197">
      <c r="A197" s="86">
        <f>IFERROR(__xludf.DUMMYFUNCTION("""COMPUTED_VALUE"""),196.0)</f>
        <v>196</v>
      </c>
      <c r="B197" s="87">
        <f>IFERROR(__xludf.DUMMYFUNCTION("""COMPUTED_VALUE"""),196.0)</f>
        <v>196</v>
      </c>
      <c r="C197" s="88" t="str">
        <f>IFERROR(__xludf.DUMMYFUNCTION("""COMPUTED_VALUE"""),"Dewi Susanto")</f>
        <v>Dewi Susanto</v>
      </c>
      <c r="D197" s="87" t="str">
        <f>IFERROR(__xludf.DUMMYFUNCTION("""COMPUTED_VALUE"""),"4, 2")</f>
        <v>4, 2</v>
      </c>
      <c r="E197" s="87" t="str">
        <f>IFERROR(__xludf.DUMMYFUNCTION("""COMPUTED_VALUE"""),"2, 1")</f>
        <v>2, 1</v>
      </c>
      <c r="F197" s="87" t="str">
        <f>IFERROR(__xludf.DUMMYFUNCTION("""COMPUTED_VALUE"""),"1333, 1648")</f>
        <v>1333, 1648</v>
      </c>
      <c r="G197" s="87">
        <f>IFERROR(__xludf.DUMMYFUNCTION("""COMPUTED_VALUE"""),-6.19521666901739)</f>
        <v>-6.195216669</v>
      </c>
      <c r="H197" s="86">
        <f>IFERROR(__xludf.DUMMYFUNCTION("""COMPUTED_VALUE"""),106.586728762304)</f>
        <v>106.5867288</v>
      </c>
      <c r="I197" s="85"/>
      <c r="J197" s="85"/>
      <c r="K197" s="85"/>
      <c r="L197" s="85"/>
      <c r="M197" s="85"/>
      <c r="N197" s="85"/>
      <c r="O197" s="85"/>
      <c r="P197" s="85"/>
      <c r="Q197" s="85"/>
      <c r="R197" s="43"/>
      <c r="S197" s="43"/>
      <c r="T197" s="43"/>
      <c r="U197" s="43"/>
      <c r="V197" s="43"/>
      <c r="W197" s="43"/>
      <c r="X197" s="43"/>
      <c r="Y197" s="43"/>
      <c r="Z197" s="43"/>
    </row>
    <row r="198">
      <c r="A198" s="86">
        <f>IFERROR(__xludf.DUMMYFUNCTION("""COMPUTED_VALUE"""),197.0)</f>
        <v>197</v>
      </c>
      <c r="B198" s="87">
        <f>IFERROR(__xludf.DUMMYFUNCTION("""COMPUTED_VALUE"""),197.0)</f>
        <v>197</v>
      </c>
      <c r="C198" s="88" t="str">
        <f>IFERROR(__xludf.DUMMYFUNCTION("""COMPUTED_VALUE"""),"Dian Sari")</f>
        <v>Dian Sari</v>
      </c>
      <c r="D198" s="87" t="str">
        <f>IFERROR(__xludf.DUMMYFUNCTION("""COMPUTED_VALUE"""),"2, 5")</f>
        <v>2, 5</v>
      </c>
      <c r="E198" s="87" t="str">
        <f>IFERROR(__xludf.DUMMYFUNCTION("""COMPUTED_VALUE"""),"6, 3")</f>
        <v>6, 3</v>
      </c>
      <c r="F198" s="87" t="str">
        <f>IFERROR(__xludf.DUMMYFUNCTION("""COMPUTED_VALUE"""),"3163, 1645")</f>
        <v>3163, 1645</v>
      </c>
      <c r="G198" s="87">
        <f>IFERROR(__xludf.DUMMYFUNCTION("""COMPUTED_VALUE"""),-6.28418289816649)</f>
        <v>-6.284182898</v>
      </c>
      <c r="H198" s="86">
        <f>IFERROR(__xludf.DUMMYFUNCTION("""COMPUTED_VALUE"""),106.913468628926)</f>
        <v>106.9134686</v>
      </c>
      <c r="I198" s="85"/>
      <c r="J198" s="85"/>
      <c r="K198" s="85"/>
      <c r="L198" s="85"/>
      <c r="M198" s="85"/>
      <c r="N198" s="85"/>
      <c r="O198" s="85"/>
      <c r="P198" s="85"/>
      <c r="Q198" s="85"/>
      <c r="R198" s="43"/>
      <c r="S198" s="43"/>
      <c r="T198" s="43"/>
      <c r="U198" s="43"/>
      <c r="V198" s="43"/>
      <c r="W198" s="43"/>
      <c r="X198" s="43"/>
      <c r="Y198" s="43"/>
      <c r="Z198" s="43"/>
    </row>
    <row r="199">
      <c r="A199" s="86">
        <f>IFERROR(__xludf.DUMMYFUNCTION("""COMPUTED_VALUE"""),198.0)</f>
        <v>198</v>
      </c>
      <c r="B199" s="87">
        <f>IFERROR(__xludf.DUMMYFUNCTION("""COMPUTED_VALUE"""),198.0)</f>
        <v>198</v>
      </c>
      <c r="C199" s="88" t="str">
        <f>IFERROR(__xludf.DUMMYFUNCTION("""COMPUTED_VALUE"""),"Siti Nugroho")</f>
        <v>Siti Nugroho</v>
      </c>
      <c r="D199" s="87" t="str">
        <f>IFERROR(__xludf.DUMMYFUNCTION("""COMPUTED_VALUE"""),"2, 2")</f>
        <v>2, 2</v>
      </c>
      <c r="E199" s="87" t="str">
        <f>IFERROR(__xludf.DUMMYFUNCTION("""COMPUTED_VALUE"""),"5, 2")</f>
        <v>5, 2</v>
      </c>
      <c r="F199" s="87" t="str">
        <f>IFERROR(__xludf.DUMMYFUNCTION("""COMPUTED_VALUE"""),"3167, 1427")</f>
        <v>3167, 1427</v>
      </c>
      <c r="G199" s="87">
        <f>IFERROR(__xludf.DUMMYFUNCTION("""COMPUTED_VALUE"""),-6.23405639341329)</f>
        <v>-6.234056393</v>
      </c>
      <c r="H199" s="86">
        <f>IFERROR(__xludf.DUMMYFUNCTION("""COMPUTED_VALUE"""),106.682485132471)</f>
        <v>106.6824851</v>
      </c>
      <c r="I199" s="85"/>
      <c r="J199" s="85"/>
      <c r="K199" s="85"/>
      <c r="L199" s="85"/>
      <c r="M199" s="85"/>
      <c r="N199" s="85"/>
      <c r="O199" s="85"/>
      <c r="P199" s="85"/>
      <c r="Q199" s="85"/>
      <c r="R199" s="43"/>
      <c r="S199" s="43"/>
      <c r="T199" s="43"/>
      <c r="U199" s="43"/>
      <c r="V199" s="43"/>
      <c r="W199" s="43"/>
      <c r="X199" s="43"/>
      <c r="Y199" s="43"/>
      <c r="Z199" s="43"/>
    </row>
    <row r="200">
      <c r="A200" s="86">
        <f>IFERROR(__xludf.DUMMYFUNCTION("""COMPUTED_VALUE"""),199.0)</f>
        <v>199</v>
      </c>
      <c r="B200" s="87">
        <f>IFERROR(__xludf.DUMMYFUNCTION("""COMPUTED_VALUE"""),199.0)</f>
        <v>199</v>
      </c>
      <c r="C200" s="88" t="str">
        <f>IFERROR(__xludf.DUMMYFUNCTION("""COMPUTED_VALUE"""),"Rudi Putri")</f>
        <v>Rudi Putri</v>
      </c>
      <c r="D200" s="87" t="str">
        <f>IFERROR(__xludf.DUMMYFUNCTION("""COMPUTED_VALUE"""),"5, 1")</f>
        <v>5, 1</v>
      </c>
      <c r="E200" s="87" t="str">
        <f>IFERROR(__xludf.DUMMYFUNCTION("""COMPUTED_VALUE"""),"2, 1")</f>
        <v>2, 1</v>
      </c>
      <c r="F200" s="87" t="str">
        <f>IFERROR(__xludf.DUMMYFUNCTION("""COMPUTED_VALUE"""),"1335, 1645")</f>
        <v>1335, 1645</v>
      </c>
      <c r="G200" s="87">
        <f>IFERROR(__xludf.DUMMYFUNCTION("""COMPUTED_VALUE"""),-6.28407914411703)</f>
        <v>-6.284079144</v>
      </c>
      <c r="H200" s="86">
        <f>IFERROR(__xludf.DUMMYFUNCTION("""COMPUTED_VALUE"""),106.59648980047)</f>
        <v>106.5964898</v>
      </c>
      <c r="I200" s="85"/>
      <c r="J200" s="85"/>
      <c r="K200" s="85"/>
      <c r="L200" s="85"/>
      <c r="M200" s="85"/>
      <c r="N200" s="85"/>
      <c r="O200" s="85"/>
      <c r="P200" s="85"/>
      <c r="Q200" s="85"/>
      <c r="R200" s="43"/>
      <c r="S200" s="43"/>
      <c r="T200" s="43"/>
      <c r="U200" s="43"/>
      <c r="V200" s="43"/>
      <c r="W200" s="43"/>
      <c r="X200" s="43"/>
      <c r="Y200" s="43"/>
      <c r="Z200" s="43"/>
    </row>
    <row r="201">
      <c r="A201" s="86">
        <f>IFERROR(__xludf.DUMMYFUNCTION("""COMPUTED_VALUE"""),200.0)</f>
        <v>200</v>
      </c>
      <c r="B201" s="87">
        <f>IFERROR(__xludf.DUMMYFUNCTION("""COMPUTED_VALUE"""),200.0)</f>
        <v>200</v>
      </c>
      <c r="C201" s="88" t="str">
        <f>IFERROR(__xludf.DUMMYFUNCTION("""COMPUTED_VALUE"""),"Dina Susanto")</f>
        <v>Dina Susanto</v>
      </c>
      <c r="D201" s="87" t="str">
        <f>IFERROR(__xludf.DUMMYFUNCTION("""COMPUTED_VALUE"""),"6, 4")</f>
        <v>6, 4</v>
      </c>
      <c r="E201" s="87" t="str">
        <f>IFERROR(__xludf.DUMMYFUNCTION("""COMPUTED_VALUE"""),"5, 4")</f>
        <v>5, 4</v>
      </c>
      <c r="F201" s="87" t="str">
        <f>IFERROR(__xludf.DUMMYFUNCTION("""COMPUTED_VALUE"""),"1519, 1421")</f>
        <v>1519, 1421</v>
      </c>
      <c r="G201" s="87">
        <f>IFERROR(__xludf.DUMMYFUNCTION("""COMPUTED_VALUE"""),-6.31004863571676)</f>
        <v>-6.310048636</v>
      </c>
      <c r="H201" s="86">
        <f>IFERROR(__xludf.DUMMYFUNCTION("""COMPUTED_VALUE"""),106.982597564256)</f>
        <v>106.9825976</v>
      </c>
      <c r="I201" s="85"/>
      <c r="J201" s="85"/>
      <c r="K201" s="85"/>
      <c r="L201" s="85"/>
      <c r="M201" s="85"/>
      <c r="N201" s="85"/>
      <c r="O201" s="85"/>
      <c r="P201" s="85"/>
      <c r="Q201" s="85"/>
      <c r="R201" s="43"/>
      <c r="S201" s="43"/>
      <c r="T201" s="43"/>
      <c r="U201" s="43"/>
      <c r="V201" s="43"/>
      <c r="W201" s="43"/>
      <c r="X201" s="43"/>
      <c r="Y201" s="43"/>
      <c r="Z201" s="43"/>
    </row>
    <row r="202">
      <c r="A202" s="89"/>
      <c r="B202" s="89"/>
      <c r="C202" s="89"/>
      <c r="D202" s="90"/>
      <c r="E202" s="91"/>
      <c r="F202" s="91"/>
      <c r="G202" s="91"/>
      <c r="H202" s="91"/>
      <c r="I202" s="85"/>
      <c r="J202" s="85"/>
      <c r="K202" s="85"/>
      <c r="L202" s="85"/>
      <c r="M202" s="85"/>
      <c r="N202" s="85"/>
      <c r="O202" s="85"/>
      <c r="P202" s="85"/>
      <c r="Q202" s="85"/>
      <c r="R202" s="43"/>
      <c r="S202" s="43"/>
      <c r="T202" s="43"/>
      <c r="U202" s="43"/>
      <c r="V202" s="43"/>
      <c r="W202" s="43"/>
      <c r="X202" s="43"/>
      <c r="Y202" s="43"/>
      <c r="Z202" s="43"/>
    </row>
    <row r="203">
      <c r="A203" s="89"/>
      <c r="B203" s="89"/>
      <c r="C203" s="89"/>
      <c r="D203" s="90"/>
      <c r="E203" s="91"/>
      <c r="F203" s="91"/>
      <c r="G203" s="91"/>
      <c r="H203" s="91"/>
      <c r="I203" s="85"/>
      <c r="J203" s="85"/>
      <c r="K203" s="85"/>
      <c r="L203" s="85"/>
      <c r="M203" s="85"/>
      <c r="N203" s="85"/>
      <c r="O203" s="85"/>
      <c r="P203" s="85"/>
      <c r="Q203" s="85"/>
      <c r="R203" s="43"/>
      <c r="S203" s="43"/>
      <c r="T203" s="43"/>
      <c r="U203" s="43"/>
      <c r="V203" s="43"/>
      <c r="W203" s="43"/>
      <c r="X203" s="43"/>
      <c r="Y203" s="43"/>
      <c r="Z203" s="43"/>
    </row>
    <row r="204">
      <c r="A204" s="89"/>
      <c r="B204" s="89"/>
      <c r="C204" s="89"/>
      <c r="D204" s="90"/>
      <c r="E204" s="91"/>
      <c r="F204" s="91"/>
      <c r="G204" s="91"/>
      <c r="H204" s="91"/>
      <c r="I204" s="85"/>
      <c r="J204" s="85"/>
      <c r="K204" s="85"/>
      <c r="L204" s="85"/>
      <c r="M204" s="85"/>
      <c r="N204" s="85"/>
      <c r="O204" s="85"/>
      <c r="P204" s="85"/>
      <c r="Q204" s="85"/>
      <c r="R204" s="43"/>
      <c r="S204" s="43"/>
      <c r="T204" s="43"/>
      <c r="U204" s="43"/>
      <c r="V204" s="43"/>
      <c r="W204" s="43"/>
      <c r="X204" s="43"/>
      <c r="Y204" s="43"/>
      <c r="Z204" s="43"/>
    </row>
    <row r="205">
      <c r="A205" s="89"/>
      <c r="B205" s="89"/>
      <c r="C205" s="89"/>
      <c r="D205" s="90"/>
      <c r="E205" s="91"/>
      <c r="F205" s="91"/>
      <c r="G205" s="91"/>
      <c r="H205" s="91"/>
      <c r="I205" s="85"/>
      <c r="J205" s="85"/>
      <c r="K205" s="85"/>
      <c r="L205" s="85"/>
      <c r="M205" s="85"/>
      <c r="N205" s="85"/>
      <c r="O205" s="85"/>
      <c r="P205" s="85"/>
      <c r="Q205" s="85"/>
      <c r="R205" s="43"/>
      <c r="S205" s="43"/>
      <c r="T205" s="43"/>
      <c r="U205" s="43"/>
      <c r="V205" s="43"/>
      <c r="W205" s="43"/>
      <c r="X205" s="43"/>
      <c r="Y205" s="43"/>
      <c r="Z205" s="43"/>
    </row>
    <row r="206">
      <c r="A206" s="89"/>
      <c r="B206" s="89"/>
      <c r="C206" s="89"/>
      <c r="D206" s="90"/>
      <c r="E206" s="91"/>
      <c r="F206" s="91"/>
      <c r="G206" s="91"/>
      <c r="H206" s="91"/>
      <c r="I206" s="85"/>
      <c r="J206" s="85"/>
      <c r="K206" s="85"/>
      <c r="L206" s="85"/>
      <c r="M206" s="85"/>
      <c r="N206" s="85"/>
      <c r="O206" s="85"/>
      <c r="P206" s="85"/>
      <c r="Q206" s="85"/>
      <c r="R206" s="43"/>
      <c r="S206" s="43"/>
      <c r="T206" s="43"/>
      <c r="U206" s="43"/>
      <c r="V206" s="43"/>
      <c r="W206" s="43"/>
      <c r="X206" s="43"/>
      <c r="Y206" s="43"/>
      <c r="Z206" s="43"/>
    </row>
    <row r="207">
      <c r="A207" s="89"/>
      <c r="B207" s="89"/>
      <c r="C207" s="89"/>
      <c r="D207" s="90"/>
      <c r="E207" s="91"/>
      <c r="F207" s="91"/>
      <c r="G207" s="91"/>
      <c r="H207" s="91"/>
      <c r="I207" s="85"/>
      <c r="J207" s="85"/>
      <c r="K207" s="85"/>
      <c r="L207" s="85"/>
      <c r="M207" s="85"/>
      <c r="N207" s="85"/>
      <c r="O207" s="85"/>
      <c r="P207" s="85"/>
      <c r="Q207" s="85"/>
      <c r="R207" s="43"/>
      <c r="S207" s="43"/>
      <c r="T207" s="43"/>
      <c r="U207" s="43"/>
      <c r="V207" s="43"/>
      <c r="W207" s="43"/>
      <c r="X207" s="43"/>
      <c r="Y207" s="43"/>
      <c r="Z207" s="43"/>
    </row>
    <row r="208">
      <c r="A208" s="89"/>
      <c r="B208" s="89"/>
      <c r="C208" s="89"/>
      <c r="D208" s="90"/>
      <c r="E208" s="91"/>
      <c r="F208" s="91"/>
      <c r="G208" s="91"/>
      <c r="H208" s="91"/>
      <c r="I208" s="85"/>
      <c r="J208" s="85"/>
      <c r="K208" s="85"/>
      <c r="L208" s="85"/>
      <c r="M208" s="85"/>
      <c r="N208" s="85"/>
      <c r="O208" s="85"/>
      <c r="P208" s="85"/>
      <c r="Q208" s="85"/>
      <c r="R208" s="43"/>
      <c r="S208" s="43"/>
      <c r="T208" s="43"/>
      <c r="U208" s="43"/>
      <c r="V208" s="43"/>
      <c r="W208" s="43"/>
      <c r="X208" s="43"/>
      <c r="Y208" s="43"/>
      <c r="Z208" s="43"/>
    </row>
    <row r="209">
      <c r="A209" s="89"/>
      <c r="B209" s="89"/>
      <c r="C209" s="89"/>
      <c r="D209" s="90"/>
      <c r="E209" s="91"/>
      <c r="F209" s="91"/>
      <c r="G209" s="91"/>
      <c r="H209" s="91"/>
      <c r="I209" s="85"/>
      <c r="J209" s="85"/>
      <c r="K209" s="85"/>
      <c r="L209" s="85"/>
      <c r="M209" s="85"/>
      <c r="N209" s="85"/>
      <c r="O209" s="85"/>
      <c r="P209" s="85"/>
      <c r="Q209" s="85"/>
      <c r="R209" s="43"/>
      <c r="S209" s="43"/>
      <c r="T209" s="43"/>
      <c r="U209" s="43"/>
      <c r="V209" s="43"/>
      <c r="W209" s="43"/>
      <c r="X209" s="43"/>
      <c r="Y209" s="43"/>
      <c r="Z209" s="43"/>
    </row>
    <row r="210">
      <c r="A210" s="89"/>
      <c r="B210" s="89"/>
      <c r="C210" s="89"/>
      <c r="D210" s="90"/>
      <c r="E210" s="91"/>
      <c r="F210" s="91"/>
      <c r="G210" s="91"/>
      <c r="H210" s="91"/>
      <c r="I210" s="85"/>
      <c r="J210" s="85"/>
      <c r="K210" s="85"/>
      <c r="L210" s="85"/>
      <c r="M210" s="85"/>
      <c r="N210" s="85"/>
      <c r="O210" s="85"/>
      <c r="P210" s="85"/>
      <c r="Q210" s="85"/>
      <c r="R210" s="43"/>
      <c r="S210" s="43"/>
      <c r="T210" s="43"/>
      <c r="U210" s="43"/>
      <c r="V210" s="43"/>
      <c r="W210" s="43"/>
      <c r="X210" s="43"/>
      <c r="Y210" s="43"/>
      <c r="Z210" s="43"/>
    </row>
    <row r="211">
      <c r="A211" s="89"/>
      <c r="B211" s="89"/>
      <c r="C211" s="89"/>
      <c r="D211" s="90"/>
      <c r="E211" s="91"/>
      <c r="F211" s="91"/>
      <c r="G211" s="91"/>
      <c r="H211" s="91"/>
      <c r="I211" s="85"/>
      <c r="J211" s="85"/>
      <c r="K211" s="85"/>
      <c r="L211" s="85"/>
      <c r="M211" s="85"/>
      <c r="N211" s="85"/>
      <c r="O211" s="85"/>
      <c r="P211" s="85"/>
      <c r="Q211" s="85"/>
      <c r="R211" s="43"/>
      <c r="S211" s="43"/>
      <c r="T211" s="43"/>
      <c r="U211" s="43"/>
      <c r="V211" s="43"/>
      <c r="W211" s="43"/>
      <c r="X211" s="43"/>
      <c r="Y211" s="43"/>
      <c r="Z211" s="43"/>
    </row>
    <row r="212">
      <c r="A212" s="89"/>
      <c r="B212" s="89"/>
      <c r="C212" s="89"/>
      <c r="D212" s="90"/>
      <c r="E212" s="91"/>
      <c r="F212" s="91"/>
      <c r="G212" s="91"/>
      <c r="H212" s="91"/>
      <c r="I212" s="85"/>
      <c r="J212" s="85"/>
      <c r="K212" s="85"/>
      <c r="L212" s="85"/>
      <c r="M212" s="85"/>
      <c r="N212" s="85"/>
      <c r="O212" s="85"/>
      <c r="P212" s="85"/>
      <c r="Q212" s="85"/>
      <c r="R212" s="43"/>
      <c r="S212" s="43"/>
      <c r="T212" s="43"/>
      <c r="U212" s="43"/>
      <c r="V212" s="43"/>
      <c r="W212" s="43"/>
      <c r="X212" s="43"/>
      <c r="Y212" s="43"/>
      <c r="Z212" s="43"/>
    </row>
    <row r="213">
      <c r="A213" s="89"/>
      <c r="B213" s="89"/>
      <c r="C213" s="89"/>
      <c r="D213" s="90"/>
      <c r="E213" s="91"/>
      <c r="F213" s="91"/>
      <c r="G213" s="91"/>
      <c r="H213" s="91"/>
      <c r="I213" s="85"/>
      <c r="J213" s="85"/>
      <c r="K213" s="85"/>
      <c r="L213" s="85"/>
      <c r="M213" s="85"/>
      <c r="N213" s="85"/>
      <c r="O213" s="85"/>
      <c r="P213" s="85"/>
      <c r="Q213" s="85"/>
      <c r="R213" s="43"/>
      <c r="S213" s="43"/>
      <c r="T213" s="43"/>
      <c r="U213" s="43"/>
      <c r="V213" s="43"/>
      <c r="W213" s="43"/>
      <c r="X213" s="43"/>
      <c r="Y213" s="43"/>
      <c r="Z213" s="43"/>
    </row>
    <row r="214">
      <c r="A214" s="89"/>
      <c r="B214" s="89"/>
      <c r="C214" s="89"/>
      <c r="D214" s="90"/>
      <c r="E214" s="91"/>
      <c r="F214" s="91"/>
      <c r="G214" s="91"/>
      <c r="H214" s="91"/>
      <c r="I214" s="85"/>
      <c r="J214" s="85"/>
      <c r="K214" s="85"/>
      <c r="L214" s="85"/>
      <c r="M214" s="85"/>
      <c r="N214" s="85"/>
      <c r="O214" s="85"/>
      <c r="P214" s="85"/>
      <c r="Q214" s="85"/>
      <c r="R214" s="43"/>
      <c r="S214" s="43"/>
      <c r="T214" s="43"/>
      <c r="U214" s="43"/>
      <c r="V214" s="43"/>
      <c r="W214" s="43"/>
      <c r="X214" s="43"/>
      <c r="Y214" s="43"/>
      <c r="Z214" s="43"/>
    </row>
    <row r="215">
      <c r="A215" s="89"/>
      <c r="B215" s="89"/>
      <c r="C215" s="89"/>
      <c r="D215" s="90"/>
      <c r="E215" s="91"/>
      <c r="F215" s="91"/>
      <c r="G215" s="91"/>
      <c r="H215" s="91"/>
      <c r="I215" s="85"/>
      <c r="J215" s="85"/>
      <c r="K215" s="85"/>
      <c r="L215" s="85"/>
      <c r="M215" s="85"/>
      <c r="N215" s="85"/>
      <c r="O215" s="85"/>
      <c r="P215" s="85"/>
      <c r="Q215" s="85"/>
      <c r="R215" s="43"/>
      <c r="S215" s="43"/>
      <c r="T215" s="43"/>
      <c r="U215" s="43"/>
      <c r="V215" s="43"/>
      <c r="W215" s="43"/>
      <c r="X215" s="43"/>
      <c r="Y215" s="43"/>
      <c r="Z215" s="43"/>
    </row>
    <row r="216">
      <c r="A216" s="89"/>
      <c r="B216" s="89"/>
      <c r="C216" s="89"/>
      <c r="D216" s="90"/>
      <c r="E216" s="91"/>
      <c r="F216" s="91"/>
      <c r="G216" s="91"/>
      <c r="H216" s="91"/>
      <c r="I216" s="85"/>
      <c r="J216" s="85"/>
      <c r="K216" s="85"/>
      <c r="L216" s="85"/>
      <c r="M216" s="85"/>
      <c r="N216" s="85"/>
      <c r="O216" s="85"/>
      <c r="P216" s="85"/>
      <c r="Q216" s="85"/>
      <c r="R216" s="43"/>
      <c r="S216" s="43"/>
      <c r="T216" s="43"/>
      <c r="U216" s="43"/>
      <c r="V216" s="43"/>
      <c r="W216" s="43"/>
      <c r="X216" s="43"/>
      <c r="Y216" s="43"/>
      <c r="Z216" s="43"/>
    </row>
    <row r="217">
      <c r="A217" s="89"/>
      <c r="B217" s="89"/>
      <c r="C217" s="89"/>
      <c r="D217" s="90"/>
      <c r="E217" s="91"/>
      <c r="F217" s="91"/>
      <c r="G217" s="91"/>
      <c r="H217" s="91"/>
      <c r="I217" s="85"/>
      <c r="J217" s="85"/>
      <c r="K217" s="85"/>
      <c r="L217" s="85"/>
      <c r="M217" s="85"/>
      <c r="N217" s="85"/>
      <c r="O217" s="85"/>
      <c r="P217" s="85"/>
      <c r="Q217" s="85"/>
      <c r="R217" s="43"/>
      <c r="S217" s="43"/>
      <c r="T217" s="43"/>
      <c r="U217" s="43"/>
      <c r="V217" s="43"/>
      <c r="W217" s="43"/>
      <c r="X217" s="43"/>
      <c r="Y217" s="43"/>
      <c r="Z217" s="43"/>
    </row>
    <row r="218">
      <c r="A218" s="89"/>
      <c r="B218" s="89"/>
      <c r="C218" s="89"/>
      <c r="D218" s="90"/>
      <c r="E218" s="91"/>
      <c r="F218" s="91"/>
      <c r="G218" s="91"/>
      <c r="H218" s="91"/>
      <c r="I218" s="85"/>
      <c r="J218" s="85"/>
      <c r="K218" s="85"/>
      <c r="L218" s="85"/>
      <c r="M218" s="85"/>
      <c r="N218" s="85"/>
      <c r="O218" s="85"/>
      <c r="P218" s="85"/>
      <c r="Q218" s="85"/>
      <c r="R218" s="43"/>
      <c r="S218" s="43"/>
      <c r="T218" s="43"/>
      <c r="U218" s="43"/>
      <c r="V218" s="43"/>
      <c r="W218" s="43"/>
      <c r="X218" s="43"/>
      <c r="Y218" s="43"/>
      <c r="Z218" s="43"/>
    </row>
    <row r="219">
      <c r="A219" s="89"/>
      <c r="B219" s="89"/>
      <c r="C219" s="89"/>
      <c r="D219" s="90"/>
      <c r="E219" s="91"/>
      <c r="F219" s="91"/>
      <c r="G219" s="91"/>
      <c r="H219" s="91"/>
      <c r="I219" s="85"/>
      <c r="J219" s="85"/>
      <c r="K219" s="85"/>
      <c r="L219" s="85"/>
      <c r="M219" s="85"/>
      <c r="N219" s="85"/>
      <c r="O219" s="85"/>
      <c r="P219" s="85"/>
      <c r="Q219" s="85"/>
      <c r="R219" s="43"/>
      <c r="S219" s="43"/>
      <c r="T219" s="43"/>
      <c r="U219" s="43"/>
      <c r="V219" s="43"/>
      <c r="W219" s="43"/>
      <c r="X219" s="43"/>
      <c r="Y219" s="43"/>
      <c r="Z219" s="43"/>
    </row>
    <row r="220">
      <c r="A220" s="89"/>
      <c r="B220" s="89"/>
      <c r="C220" s="89"/>
      <c r="D220" s="90"/>
      <c r="E220" s="91"/>
      <c r="F220" s="91"/>
      <c r="G220" s="91"/>
      <c r="H220" s="91"/>
      <c r="I220" s="85"/>
      <c r="J220" s="85"/>
      <c r="K220" s="85"/>
      <c r="L220" s="85"/>
      <c r="M220" s="85"/>
      <c r="N220" s="85"/>
      <c r="O220" s="85"/>
      <c r="P220" s="85"/>
      <c r="Q220" s="85"/>
      <c r="R220" s="43"/>
      <c r="S220" s="43"/>
      <c r="T220" s="43"/>
      <c r="U220" s="43"/>
      <c r="V220" s="43"/>
      <c r="W220" s="43"/>
      <c r="X220" s="43"/>
      <c r="Y220" s="43"/>
      <c r="Z220" s="43"/>
    </row>
    <row r="221">
      <c r="A221" s="89"/>
      <c r="B221" s="89"/>
      <c r="C221" s="89"/>
      <c r="D221" s="90"/>
      <c r="E221" s="91"/>
      <c r="F221" s="91"/>
      <c r="G221" s="91"/>
      <c r="H221" s="91"/>
      <c r="I221" s="85"/>
      <c r="J221" s="85"/>
      <c r="K221" s="85"/>
      <c r="L221" s="85"/>
      <c r="M221" s="85"/>
      <c r="N221" s="85"/>
      <c r="O221" s="85"/>
      <c r="P221" s="85"/>
      <c r="Q221" s="85"/>
      <c r="R221" s="43"/>
      <c r="S221" s="43"/>
      <c r="T221" s="43"/>
      <c r="U221" s="43"/>
      <c r="V221" s="43"/>
      <c r="W221" s="43"/>
      <c r="X221" s="43"/>
      <c r="Y221" s="43"/>
      <c r="Z221" s="43"/>
    </row>
    <row r="222">
      <c r="A222" s="89"/>
      <c r="B222" s="89"/>
      <c r="C222" s="89"/>
      <c r="D222" s="90"/>
      <c r="E222" s="91"/>
      <c r="F222" s="91"/>
      <c r="G222" s="91"/>
      <c r="H222" s="91"/>
      <c r="I222" s="85"/>
      <c r="J222" s="85"/>
      <c r="K222" s="85"/>
      <c r="L222" s="85"/>
      <c r="M222" s="85"/>
      <c r="N222" s="85"/>
      <c r="O222" s="85"/>
      <c r="P222" s="85"/>
      <c r="Q222" s="85"/>
      <c r="R222" s="43"/>
      <c r="S222" s="43"/>
      <c r="T222" s="43"/>
      <c r="U222" s="43"/>
      <c r="V222" s="43"/>
      <c r="W222" s="43"/>
      <c r="X222" s="43"/>
      <c r="Y222" s="43"/>
      <c r="Z222" s="43"/>
    </row>
    <row r="223">
      <c r="A223" s="89"/>
      <c r="B223" s="89"/>
      <c r="C223" s="89"/>
      <c r="D223" s="90"/>
      <c r="E223" s="91"/>
      <c r="F223" s="91"/>
      <c r="G223" s="91"/>
      <c r="H223" s="91"/>
      <c r="I223" s="85"/>
      <c r="J223" s="85"/>
      <c r="K223" s="85"/>
      <c r="L223" s="85"/>
      <c r="M223" s="85"/>
      <c r="N223" s="85"/>
      <c r="O223" s="85"/>
      <c r="P223" s="85"/>
      <c r="Q223" s="85"/>
      <c r="R223" s="43"/>
      <c r="S223" s="43"/>
      <c r="T223" s="43"/>
      <c r="U223" s="43"/>
      <c r="V223" s="43"/>
      <c r="W223" s="43"/>
      <c r="X223" s="43"/>
      <c r="Y223" s="43"/>
      <c r="Z223" s="43"/>
    </row>
    <row r="224">
      <c r="A224" s="89"/>
      <c r="B224" s="89"/>
      <c r="C224" s="89"/>
      <c r="D224" s="90"/>
      <c r="E224" s="91"/>
      <c r="F224" s="91"/>
      <c r="G224" s="91"/>
      <c r="H224" s="91"/>
      <c r="I224" s="85"/>
      <c r="J224" s="85"/>
      <c r="K224" s="85"/>
      <c r="L224" s="85"/>
      <c r="M224" s="85"/>
      <c r="N224" s="85"/>
      <c r="O224" s="85"/>
      <c r="P224" s="85"/>
      <c r="Q224" s="85"/>
      <c r="R224" s="43"/>
      <c r="S224" s="43"/>
      <c r="T224" s="43"/>
      <c r="U224" s="43"/>
      <c r="V224" s="43"/>
      <c r="W224" s="43"/>
      <c r="X224" s="43"/>
      <c r="Y224" s="43"/>
      <c r="Z224" s="43"/>
    </row>
    <row r="225">
      <c r="A225" s="89"/>
      <c r="B225" s="89"/>
      <c r="C225" s="89"/>
      <c r="D225" s="90"/>
      <c r="E225" s="91"/>
      <c r="F225" s="91"/>
      <c r="G225" s="91"/>
      <c r="H225" s="91"/>
      <c r="I225" s="85"/>
      <c r="J225" s="85"/>
      <c r="K225" s="85"/>
      <c r="L225" s="85"/>
      <c r="M225" s="85"/>
      <c r="N225" s="85"/>
      <c r="O225" s="85"/>
      <c r="P225" s="85"/>
      <c r="Q225" s="85"/>
      <c r="R225" s="43"/>
      <c r="S225" s="43"/>
      <c r="T225" s="43"/>
      <c r="U225" s="43"/>
      <c r="V225" s="43"/>
      <c r="W225" s="43"/>
      <c r="X225" s="43"/>
      <c r="Y225" s="43"/>
      <c r="Z225" s="43"/>
    </row>
    <row r="226">
      <c r="A226" s="89"/>
      <c r="B226" s="89"/>
      <c r="C226" s="89"/>
      <c r="D226" s="90"/>
      <c r="E226" s="91"/>
      <c r="F226" s="91"/>
      <c r="G226" s="91"/>
      <c r="H226" s="91"/>
      <c r="I226" s="85"/>
      <c r="J226" s="85"/>
      <c r="K226" s="85"/>
      <c r="L226" s="85"/>
      <c r="M226" s="85"/>
      <c r="N226" s="85"/>
      <c r="O226" s="85"/>
      <c r="P226" s="85"/>
      <c r="Q226" s="85"/>
      <c r="R226" s="43"/>
      <c r="S226" s="43"/>
      <c r="T226" s="43"/>
      <c r="U226" s="43"/>
      <c r="V226" s="43"/>
      <c r="W226" s="43"/>
      <c r="X226" s="43"/>
      <c r="Y226" s="43"/>
      <c r="Z226" s="43"/>
    </row>
    <row r="227">
      <c r="A227" s="89"/>
      <c r="B227" s="89"/>
      <c r="C227" s="89"/>
      <c r="D227" s="90"/>
      <c r="E227" s="91"/>
      <c r="F227" s="91"/>
      <c r="G227" s="91"/>
      <c r="H227" s="91"/>
      <c r="I227" s="85"/>
      <c r="J227" s="85"/>
      <c r="K227" s="85"/>
      <c r="L227" s="85"/>
      <c r="M227" s="85"/>
      <c r="N227" s="85"/>
      <c r="O227" s="85"/>
      <c r="P227" s="85"/>
      <c r="Q227" s="85"/>
      <c r="R227" s="43"/>
      <c r="S227" s="43"/>
      <c r="T227" s="43"/>
      <c r="U227" s="43"/>
      <c r="V227" s="43"/>
      <c r="W227" s="43"/>
      <c r="X227" s="43"/>
      <c r="Y227" s="43"/>
      <c r="Z227" s="43"/>
    </row>
    <row r="228">
      <c r="A228" s="89"/>
      <c r="B228" s="89"/>
      <c r="C228" s="89"/>
      <c r="D228" s="90"/>
      <c r="E228" s="91"/>
      <c r="F228" s="91"/>
      <c r="G228" s="91"/>
      <c r="H228" s="91"/>
      <c r="I228" s="85"/>
      <c r="J228" s="85"/>
      <c r="K228" s="85"/>
      <c r="L228" s="85"/>
      <c r="M228" s="85"/>
      <c r="N228" s="85"/>
      <c r="O228" s="85"/>
      <c r="P228" s="85"/>
      <c r="Q228" s="85"/>
      <c r="R228" s="43"/>
      <c r="S228" s="43"/>
      <c r="T228" s="43"/>
      <c r="U228" s="43"/>
      <c r="V228" s="43"/>
      <c r="W228" s="43"/>
      <c r="X228" s="43"/>
      <c r="Y228" s="43"/>
      <c r="Z228" s="43"/>
    </row>
    <row r="229">
      <c r="A229" s="89"/>
      <c r="B229" s="89"/>
      <c r="C229" s="89"/>
      <c r="D229" s="90"/>
      <c r="E229" s="91"/>
      <c r="F229" s="91"/>
      <c r="G229" s="91"/>
      <c r="H229" s="91"/>
      <c r="I229" s="85"/>
      <c r="J229" s="85"/>
      <c r="K229" s="85"/>
      <c r="L229" s="85"/>
      <c r="M229" s="85"/>
      <c r="N229" s="85"/>
      <c r="O229" s="85"/>
      <c r="P229" s="85"/>
      <c r="Q229" s="85"/>
      <c r="R229" s="43"/>
      <c r="S229" s="43"/>
      <c r="T229" s="43"/>
      <c r="U229" s="43"/>
      <c r="V229" s="43"/>
      <c r="W229" s="43"/>
      <c r="X229" s="43"/>
      <c r="Y229" s="43"/>
      <c r="Z229" s="43"/>
    </row>
    <row r="230">
      <c r="A230" s="89"/>
      <c r="B230" s="89"/>
      <c r="C230" s="89"/>
      <c r="D230" s="90"/>
      <c r="E230" s="91"/>
      <c r="F230" s="91"/>
      <c r="G230" s="91"/>
      <c r="H230" s="91"/>
      <c r="I230" s="85"/>
      <c r="J230" s="85"/>
      <c r="K230" s="85"/>
      <c r="L230" s="85"/>
      <c r="M230" s="85"/>
      <c r="N230" s="85"/>
      <c r="O230" s="85"/>
      <c r="P230" s="85"/>
      <c r="Q230" s="85"/>
      <c r="R230" s="43"/>
      <c r="S230" s="43"/>
      <c r="T230" s="43"/>
      <c r="U230" s="43"/>
      <c r="V230" s="43"/>
      <c r="W230" s="43"/>
      <c r="X230" s="43"/>
      <c r="Y230" s="43"/>
      <c r="Z230" s="43"/>
    </row>
    <row r="231">
      <c r="A231" s="89"/>
      <c r="B231" s="89"/>
      <c r="C231" s="89"/>
      <c r="D231" s="90"/>
      <c r="E231" s="91"/>
      <c r="F231" s="91"/>
      <c r="G231" s="91"/>
      <c r="H231" s="91"/>
      <c r="I231" s="85"/>
      <c r="J231" s="85"/>
      <c r="K231" s="85"/>
      <c r="L231" s="85"/>
      <c r="M231" s="85"/>
      <c r="N231" s="85"/>
      <c r="O231" s="85"/>
      <c r="P231" s="85"/>
      <c r="Q231" s="85"/>
      <c r="R231" s="43"/>
      <c r="S231" s="43"/>
      <c r="T231" s="43"/>
      <c r="U231" s="43"/>
      <c r="V231" s="43"/>
      <c r="W231" s="43"/>
      <c r="X231" s="43"/>
      <c r="Y231" s="43"/>
      <c r="Z231" s="43"/>
    </row>
    <row r="232">
      <c r="A232" s="89"/>
      <c r="B232" s="89"/>
      <c r="C232" s="89"/>
      <c r="D232" s="90"/>
      <c r="E232" s="91"/>
      <c r="F232" s="91"/>
      <c r="G232" s="91"/>
      <c r="H232" s="91"/>
      <c r="I232" s="85"/>
      <c r="J232" s="85"/>
      <c r="K232" s="85"/>
      <c r="L232" s="85"/>
      <c r="M232" s="85"/>
      <c r="N232" s="85"/>
      <c r="O232" s="85"/>
      <c r="P232" s="85"/>
      <c r="Q232" s="85"/>
      <c r="R232" s="43"/>
      <c r="S232" s="43"/>
      <c r="T232" s="43"/>
      <c r="U232" s="43"/>
      <c r="V232" s="43"/>
      <c r="W232" s="43"/>
      <c r="X232" s="43"/>
      <c r="Y232" s="43"/>
      <c r="Z232" s="43"/>
    </row>
    <row r="233">
      <c r="A233" s="89"/>
      <c r="B233" s="89"/>
      <c r="C233" s="89"/>
      <c r="D233" s="90"/>
      <c r="E233" s="91"/>
      <c r="F233" s="91"/>
      <c r="G233" s="91"/>
      <c r="H233" s="91"/>
      <c r="I233" s="85"/>
      <c r="J233" s="85"/>
      <c r="K233" s="85"/>
      <c r="L233" s="85"/>
      <c r="M233" s="85"/>
      <c r="N233" s="85"/>
      <c r="O233" s="85"/>
      <c r="P233" s="85"/>
      <c r="Q233" s="85"/>
      <c r="R233" s="43"/>
      <c r="S233" s="43"/>
      <c r="T233" s="43"/>
      <c r="U233" s="43"/>
      <c r="V233" s="43"/>
      <c r="W233" s="43"/>
      <c r="X233" s="43"/>
      <c r="Y233" s="43"/>
      <c r="Z233" s="43"/>
    </row>
    <row r="234">
      <c r="A234" s="89"/>
      <c r="B234" s="89"/>
      <c r="C234" s="89"/>
      <c r="D234" s="90"/>
      <c r="E234" s="91"/>
      <c r="F234" s="91"/>
      <c r="G234" s="91"/>
      <c r="H234" s="91"/>
      <c r="I234" s="85"/>
      <c r="J234" s="85"/>
      <c r="K234" s="85"/>
      <c r="L234" s="85"/>
      <c r="M234" s="85"/>
      <c r="N234" s="85"/>
      <c r="O234" s="85"/>
      <c r="P234" s="85"/>
      <c r="Q234" s="85"/>
      <c r="R234" s="43"/>
      <c r="S234" s="43"/>
      <c r="T234" s="43"/>
      <c r="U234" s="43"/>
      <c r="V234" s="43"/>
      <c r="W234" s="43"/>
      <c r="X234" s="43"/>
      <c r="Y234" s="43"/>
      <c r="Z234" s="43"/>
    </row>
    <row r="235">
      <c r="A235" s="89"/>
      <c r="B235" s="89"/>
      <c r="C235" s="89"/>
      <c r="D235" s="90"/>
      <c r="E235" s="91"/>
      <c r="F235" s="91"/>
      <c r="G235" s="91"/>
      <c r="H235" s="91"/>
      <c r="I235" s="85"/>
      <c r="J235" s="85"/>
      <c r="K235" s="85"/>
      <c r="L235" s="85"/>
      <c r="M235" s="85"/>
      <c r="N235" s="85"/>
      <c r="O235" s="85"/>
      <c r="P235" s="85"/>
      <c r="Q235" s="85"/>
      <c r="R235" s="43"/>
      <c r="S235" s="43"/>
      <c r="T235" s="43"/>
      <c r="U235" s="43"/>
      <c r="V235" s="43"/>
      <c r="W235" s="43"/>
      <c r="X235" s="43"/>
      <c r="Y235" s="43"/>
      <c r="Z235" s="43"/>
    </row>
    <row r="236">
      <c r="A236" s="89"/>
      <c r="B236" s="89"/>
      <c r="C236" s="89"/>
      <c r="D236" s="90"/>
      <c r="E236" s="91"/>
      <c r="F236" s="91"/>
      <c r="G236" s="91"/>
      <c r="H236" s="91"/>
      <c r="I236" s="85"/>
      <c r="J236" s="85"/>
      <c r="K236" s="85"/>
      <c r="L236" s="85"/>
      <c r="M236" s="85"/>
      <c r="N236" s="85"/>
      <c r="O236" s="85"/>
      <c r="P236" s="85"/>
      <c r="Q236" s="85"/>
      <c r="R236" s="43"/>
      <c r="S236" s="43"/>
      <c r="T236" s="43"/>
      <c r="U236" s="43"/>
      <c r="V236" s="43"/>
      <c r="W236" s="43"/>
      <c r="X236" s="43"/>
      <c r="Y236" s="43"/>
      <c r="Z236" s="43"/>
    </row>
    <row r="237">
      <c r="A237" s="89"/>
      <c r="B237" s="89"/>
      <c r="C237" s="89"/>
      <c r="D237" s="90"/>
      <c r="E237" s="91"/>
      <c r="F237" s="91"/>
      <c r="G237" s="91"/>
      <c r="H237" s="91"/>
      <c r="I237" s="85"/>
      <c r="J237" s="85"/>
      <c r="K237" s="85"/>
      <c r="L237" s="85"/>
      <c r="M237" s="85"/>
      <c r="N237" s="85"/>
      <c r="O237" s="85"/>
      <c r="P237" s="85"/>
      <c r="Q237" s="85"/>
      <c r="R237" s="43"/>
      <c r="S237" s="43"/>
      <c r="T237" s="43"/>
      <c r="U237" s="43"/>
      <c r="V237" s="43"/>
      <c r="W237" s="43"/>
      <c r="X237" s="43"/>
      <c r="Y237" s="43"/>
      <c r="Z237" s="43"/>
    </row>
    <row r="238">
      <c r="A238" s="89"/>
      <c r="B238" s="89"/>
      <c r="C238" s="89"/>
      <c r="D238" s="90"/>
      <c r="E238" s="91"/>
      <c r="F238" s="91"/>
      <c r="G238" s="91"/>
      <c r="H238" s="91"/>
      <c r="I238" s="85"/>
      <c r="J238" s="85"/>
      <c r="K238" s="85"/>
      <c r="L238" s="85"/>
      <c r="M238" s="85"/>
      <c r="N238" s="85"/>
      <c r="O238" s="85"/>
      <c r="P238" s="85"/>
      <c r="Q238" s="85"/>
      <c r="R238" s="43"/>
      <c r="S238" s="43"/>
      <c r="T238" s="43"/>
      <c r="U238" s="43"/>
      <c r="V238" s="43"/>
      <c r="W238" s="43"/>
      <c r="X238" s="43"/>
      <c r="Y238" s="43"/>
      <c r="Z238" s="43"/>
    </row>
    <row r="239">
      <c r="A239" s="89"/>
      <c r="B239" s="89"/>
      <c r="C239" s="89"/>
      <c r="D239" s="90"/>
      <c r="E239" s="91"/>
      <c r="F239" s="91"/>
      <c r="G239" s="91"/>
      <c r="H239" s="91"/>
      <c r="I239" s="85"/>
      <c r="J239" s="85"/>
      <c r="K239" s="85"/>
      <c r="L239" s="85"/>
      <c r="M239" s="85"/>
      <c r="N239" s="85"/>
      <c r="O239" s="85"/>
      <c r="P239" s="85"/>
      <c r="Q239" s="85"/>
      <c r="R239" s="43"/>
      <c r="S239" s="43"/>
      <c r="T239" s="43"/>
      <c r="U239" s="43"/>
      <c r="V239" s="43"/>
      <c r="W239" s="43"/>
      <c r="X239" s="43"/>
      <c r="Y239" s="43"/>
      <c r="Z239" s="43"/>
    </row>
    <row r="240">
      <c r="A240" s="89"/>
      <c r="B240" s="89"/>
      <c r="C240" s="89"/>
      <c r="D240" s="90"/>
      <c r="E240" s="91"/>
      <c r="F240" s="91"/>
      <c r="G240" s="91"/>
      <c r="H240" s="91"/>
      <c r="I240" s="85"/>
      <c r="J240" s="85"/>
      <c r="K240" s="85"/>
      <c r="L240" s="85"/>
      <c r="M240" s="85"/>
      <c r="N240" s="85"/>
      <c r="O240" s="85"/>
      <c r="P240" s="85"/>
      <c r="Q240" s="85"/>
      <c r="R240" s="43"/>
      <c r="S240" s="43"/>
      <c r="T240" s="43"/>
      <c r="U240" s="43"/>
      <c r="V240" s="43"/>
      <c r="W240" s="43"/>
      <c r="X240" s="43"/>
      <c r="Y240" s="43"/>
      <c r="Z240" s="43"/>
    </row>
    <row r="241">
      <c r="A241" s="89"/>
      <c r="B241" s="89"/>
      <c r="C241" s="89"/>
      <c r="D241" s="90"/>
      <c r="E241" s="91"/>
      <c r="F241" s="91"/>
      <c r="G241" s="91"/>
      <c r="H241" s="91"/>
      <c r="I241" s="85"/>
      <c r="J241" s="85"/>
      <c r="K241" s="85"/>
      <c r="L241" s="85"/>
      <c r="M241" s="85"/>
      <c r="N241" s="85"/>
      <c r="O241" s="85"/>
      <c r="P241" s="85"/>
      <c r="Q241" s="85"/>
      <c r="R241" s="43"/>
      <c r="S241" s="43"/>
      <c r="T241" s="43"/>
      <c r="U241" s="43"/>
      <c r="V241" s="43"/>
      <c r="W241" s="43"/>
      <c r="X241" s="43"/>
      <c r="Y241" s="43"/>
      <c r="Z241" s="43"/>
    </row>
    <row r="242">
      <c r="A242" s="89"/>
      <c r="B242" s="89"/>
      <c r="C242" s="89"/>
      <c r="D242" s="90"/>
      <c r="E242" s="91"/>
      <c r="F242" s="91"/>
      <c r="G242" s="91"/>
      <c r="H242" s="91"/>
      <c r="I242" s="85"/>
      <c r="J242" s="85"/>
      <c r="K242" s="85"/>
      <c r="L242" s="85"/>
      <c r="M242" s="85"/>
      <c r="N242" s="85"/>
      <c r="O242" s="85"/>
      <c r="P242" s="85"/>
      <c r="Q242" s="85"/>
      <c r="R242" s="43"/>
      <c r="S242" s="43"/>
      <c r="T242" s="43"/>
      <c r="U242" s="43"/>
      <c r="V242" s="43"/>
      <c r="W242" s="43"/>
      <c r="X242" s="43"/>
      <c r="Y242" s="43"/>
      <c r="Z242" s="43"/>
    </row>
    <row r="243">
      <c r="A243" s="89"/>
      <c r="B243" s="89"/>
      <c r="C243" s="89"/>
      <c r="D243" s="90"/>
      <c r="E243" s="91"/>
      <c r="F243" s="91"/>
      <c r="G243" s="91"/>
      <c r="H243" s="91"/>
      <c r="I243" s="85"/>
      <c r="J243" s="85"/>
      <c r="K243" s="85"/>
      <c r="L243" s="85"/>
      <c r="M243" s="85"/>
      <c r="N243" s="85"/>
      <c r="O243" s="85"/>
      <c r="P243" s="85"/>
      <c r="Q243" s="85"/>
      <c r="R243" s="43"/>
      <c r="S243" s="43"/>
      <c r="T243" s="43"/>
      <c r="U243" s="43"/>
      <c r="V243" s="43"/>
      <c r="W243" s="43"/>
      <c r="X243" s="43"/>
      <c r="Y243" s="43"/>
      <c r="Z243" s="43"/>
    </row>
    <row r="244">
      <c r="A244" s="89"/>
      <c r="B244" s="89"/>
      <c r="C244" s="89"/>
      <c r="D244" s="90"/>
      <c r="E244" s="91"/>
      <c r="F244" s="91"/>
      <c r="G244" s="91"/>
      <c r="H244" s="91"/>
      <c r="I244" s="85"/>
      <c r="J244" s="85"/>
      <c r="K244" s="85"/>
      <c r="L244" s="85"/>
      <c r="M244" s="85"/>
      <c r="N244" s="85"/>
      <c r="O244" s="85"/>
      <c r="P244" s="85"/>
      <c r="Q244" s="85"/>
      <c r="R244" s="43"/>
      <c r="S244" s="43"/>
      <c r="T244" s="43"/>
      <c r="U244" s="43"/>
      <c r="V244" s="43"/>
      <c r="W244" s="43"/>
      <c r="X244" s="43"/>
      <c r="Y244" s="43"/>
      <c r="Z244" s="43"/>
    </row>
    <row r="245">
      <c r="A245" s="89"/>
      <c r="B245" s="89"/>
      <c r="C245" s="89"/>
      <c r="D245" s="90"/>
      <c r="E245" s="91"/>
      <c r="F245" s="91"/>
      <c r="G245" s="91"/>
      <c r="H245" s="91"/>
      <c r="I245" s="85"/>
      <c r="J245" s="85"/>
      <c r="K245" s="85"/>
      <c r="L245" s="85"/>
      <c r="M245" s="85"/>
      <c r="N245" s="85"/>
      <c r="O245" s="85"/>
      <c r="P245" s="85"/>
      <c r="Q245" s="85"/>
      <c r="R245" s="43"/>
      <c r="S245" s="43"/>
      <c r="T245" s="43"/>
      <c r="U245" s="43"/>
      <c r="V245" s="43"/>
      <c r="W245" s="43"/>
      <c r="X245" s="43"/>
      <c r="Y245" s="43"/>
      <c r="Z245" s="43"/>
    </row>
    <row r="246">
      <c r="A246" s="89"/>
      <c r="B246" s="89"/>
      <c r="C246" s="89"/>
      <c r="D246" s="90"/>
      <c r="E246" s="91"/>
      <c r="F246" s="91"/>
      <c r="G246" s="91"/>
      <c r="H246" s="91"/>
      <c r="I246" s="85"/>
      <c r="J246" s="85"/>
      <c r="K246" s="85"/>
      <c r="L246" s="85"/>
      <c r="M246" s="85"/>
      <c r="N246" s="85"/>
      <c r="O246" s="85"/>
      <c r="P246" s="85"/>
      <c r="Q246" s="85"/>
      <c r="R246" s="43"/>
      <c r="S246" s="43"/>
      <c r="T246" s="43"/>
      <c r="U246" s="43"/>
      <c r="V246" s="43"/>
      <c r="W246" s="43"/>
      <c r="X246" s="43"/>
      <c r="Y246" s="43"/>
      <c r="Z246" s="43"/>
    </row>
    <row r="247">
      <c r="A247" s="89"/>
      <c r="B247" s="89"/>
      <c r="C247" s="89"/>
      <c r="D247" s="90"/>
      <c r="E247" s="91"/>
      <c r="F247" s="91"/>
      <c r="G247" s="91"/>
      <c r="H247" s="91"/>
      <c r="I247" s="85"/>
      <c r="J247" s="85"/>
      <c r="K247" s="85"/>
      <c r="L247" s="85"/>
      <c r="M247" s="85"/>
      <c r="N247" s="85"/>
      <c r="O247" s="85"/>
      <c r="P247" s="85"/>
      <c r="Q247" s="85"/>
      <c r="R247" s="43"/>
      <c r="S247" s="43"/>
      <c r="T247" s="43"/>
      <c r="U247" s="43"/>
      <c r="V247" s="43"/>
      <c r="W247" s="43"/>
      <c r="X247" s="43"/>
      <c r="Y247" s="43"/>
      <c r="Z247" s="43"/>
    </row>
    <row r="248">
      <c r="A248" s="89"/>
      <c r="B248" s="89"/>
      <c r="C248" s="89"/>
      <c r="D248" s="90"/>
      <c r="E248" s="91"/>
      <c r="F248" s="91"/>
      <c r="G248" s="91"/>
      <c r="H248" s="91"/>
      <c r="I248" s="85"/>
      <c r="J248" s="85"/>
      <c r="K248" s="85"/>
      <c r="L248" s="85"/>
      <c r="M248" s="85"/>
      <c r="N248" s="85"/>
      <c r="O248" s="85"/>
      <c r="P248" s="85"/>
      <c r="Q248" s="85"/>
      <c r="R248" s="43"/>
      <c r="S248" s="43"/>
      <c r="T248" s="43"/>
      <c r="U248" s="43"/>
      <c r="V248" s="43"/>
      <c r="W248" s="43"/>
      <c r="X248" s="43"/>
      <c r="Y248" s="43"/>
      <c r="Z248" s="43"/>
    </row>
    <row r="249">
      <c r="A249" s="89"/>
      <c r="B249" s="89"/>
      <c r="C249" s="89"/>
      <c r="D249" s="90"/>
      <c r="E249" s="91"/>
      <c r="F249" s="91"/>
      <c r="G249" s="91"/>
      <c r="H249" s="91"/>
      <c r="I249" s="85"/>
      <c r="J249" s="85"/>
      <c r="K249" s="85"/>
      <c r="L249" s="85"/>
      <c r="M249" s="85"/>
      <c r="N249" s="85"/>
      <c r="O249" s="85"/>
      <c r="P249" s="85"/>
      <c r="Q249" s="85"/>
      <c r="R249" s="43"/>
      <c r="S249" s="43"/>
      <c r="T249" s="43"/>
      <c r="U249" s="43"/>
      <c r="V249" s="43"/>
      <c r="W249" s="43"/>
      <c r="X249" s="43"/>
      <c r="Y249" s="43"/>
      <c r="Z249" s="43"/>
    </row>
    <row r="250">
      <c r="A250" s="89"/>
      <c r="B250" s="89"/>
      <c r="C250" s="89"/>
      <c r="D250" s="90"/>
      <c r="E250" s="91"/>
      <c r="F250" s="91"/>
      <c r="G250" s="91"/>
      <c r="H250" s="91"/>
      <c r="I250" s="85"/>
      <c r="J250" s="85"/>
      <c r="K250" s="85"/>
      <c r="L250" s="85"/>
      <c r="M250" s="85"/>
      <c r="N250" s="85"/>
      <c r="O250" s="85"/>
      <c r="P250" s="85"/>
      <c r="Q250" s="85"/>
      <c r="R250" s="43"/>
      <c r="S250" s="43"/>
      <c r="T250" s="43"/>
      <c r="U250" s="43"/>
      <c r="V250" s="43"/>
      <c r="W250" s="43"/>
      <c r="X250" s="43"/>
      <c r="Y250" s="43"/>
      <c r="Z250" s="43"/>
    </row>
    <row r="251">
      <c r="A251" s="89"/>
      <c r="B251" s="89"/>
      <c r="C251" s="89"/>
      <c r="D251" s="90"/>
      <c r="E251" s="91"/>
      <c r="F251" s="91"/>
      <c r="G251" s="91"/>
      <c r="H251" s="91"/>
      <c r="I251" s="85"/>
      <c r="J251" s="85"/>
      <c r="K251" s="85"/>
      <c r="L251" s="85"/>
      <c r="M251" s="85"/>
      <c r="N251" s="85"/>
      <c r="O251" s="85"/>
      <c r="P251" s="85"/>
      <c r="Q251" s="85"/>
      <c r="R251" s="43"/>
      <c r="S251" s="43"/>
      <c r="T251" s="43"/>
      <c r="U251" s="43"/>
      <c r="V251" s="43"/>
      <c r="W251" s="43"/>
      <c r="X251" s="43"/>
      <c r="Y251" s="43"/>
      <c r="Z251" s="43"/>
    </row>
    <row r="252">
      <c r="A252" s="89"/>
      <c r="B252" s="89"/>
      <c r="C252" s="89"/>
      <c r="D252" s="90"/>
      <c r="E252" s="91"/>
      <c r="F252" s="91"/>
      <c r="G252" s="91"/>
      <c r="H252" s="91"/>
      <c r="I252" s="85"/>
      <c r="J252" s="85"/>
      <c r="K252" s="85"/>
      <c r="L252" s="85"/>
      <c r="M252" s="85"/>
      <c r="N252" s="85"/>
      <c r="O252" s="85"/>
      <c r="P252" s="85"/>
      <c r="Q252" s="85"/>
      <c r="R252" s="43"/>
      <c r="S252" s="43"/>
      <c r="T252" s="43"/>
      <c r="U252" s="43"/>
      <c r="V252" s="43"/>
      <c r="W252" s="43"/>
      <c r="X252" s="43"/>
      <c r="Y252" s="43"/>
      <c r="Z252" s="43"/>
    </row>
    <row r="253">
      <c r="A253" s="89"/>
      <c r="B253" s="89"/>
      <c r="C253" s="89"/>
      <c r="D253" s="90"/>
      <c r="E253" s="91"/>
      <c r="F253" s="91"/>
      <c r="G253" s="91"/>
      <c r="H253" s="91"/>
      <c r="I253" s="85"/>
      <c r="J253" s="85"/>
      <c r="K253" s="85"/>
      <c r="L253" s="85"/>
      <c r="M253" s="85"/>
      <c r="N253" s="85"/>
      <c r="O253" s="85"/>
      <c r="P253" s="85"/>
      <c r="Q253" s="85"/>
      <c r="R253" s="43"/>
      <c r="S253" s="43"/>
      <c r="T253" s="43"/>
      <c r="U253" s="43"/>
      <c r="V253" s="43"/>
      <c r="W253" s="43"/>
      <c r="X253" s="43"/>
      <c r="Y253" s="43"/>
      <c r="Z253" s="43"/>
    </row>
    <row r="254">
      <c r="A254" s="89"/>
      <c r="B254" s="89"/>
      <c r="C254" s="89"/>
      <c r="D254" s="90"/>
      <c r="E254" s="91"/>
      <c r="F254" s="91"/>
      <c r="G254" s="91"/>
      <c r="H254" s="91"/>
      <c r="I254" s="85"/>
      <c r="J254" s="85"/>
      <c r="K254" s="85"/>
      <c r="L254" s="85"/>
      <c r="M254" s="85"/>
      <c r="N254" s="85"/>
      <c r="O254" s="85"/>
      <c r="P254" s="85"/>
      <c r="Q254" s="85"/>
      <c r="R254" s="43"/>
      <c r="S254" s="43"/>
      <c r="T254" s="43"/>
      <c r="U254" s="43"/>
      <c r="V254" s="43"/>
      <c r="W254" s="43"/>
      <c r="X254" s="43"/>
      <c r="Y254" s="43"/>
      <c r="Z254" s="43"/>
    </row>
    <row r="255">
      <c r="A255" s="89"/>
      <c r="B255" s="89"/>
      <c r="C255" s="89"/>
      <c r="D255" s="90"/>
      <c r="E255" s="91"/>
      <c r="F255" s="91"/>
      <c r="G255" s="91"/>
      <c r="H255" s="91"/>
      <c r="I255" s="85"/>
      <c r="J255" s="85"/>
      <c r="K255" s="85"/>
      <c r="L255" s="85"/>
      <c r="M255" s="85"/>
      <c r="N255" s="85"/>
      <c r="O255" s="85"/>
      <c r="P255" s="85"/>
      <c r="Q255" s="85"/>
      <c r="R255" s="43"/>
      <c r="S255" s="43"/>
      <c r="T255" s="43"/>
      <c r="U255" s="43"/>
      <c r="V255" s="43"/>
      <c r="W255" s="43"/>
      <c r="X255" s="43"/>
      <c r="Y255" s="43"/>
      <c r="Z255" s="43"/>
    </row>
    <row r="256">
      <c r="A256" s="89"/>
      <c r="B256" s="89"/>
      <c r="C256" s="89"/>
      <c r="D256" s="90"/>
      <c r="E256" s="91"/>
      <c r="F256" s="91"/>
      <c r="G256" s="91"/>
      <c r="H256" s="91"/>
      <c r="I256" s="85"/>
      <c r="J256" s="85"/>
      <c r="K256" s="85"/>
      <c r="L256" s="85"/>
      <c r="M256" s="85"/>
      <c r="N256" s="85"/>
      <c r="O256" s="85"/>
      <c r="P256" s="85"/>
      <c r="Q256" s="85"/>
      <c r="R256" s="43"/>
      <c r="S256" s="43"/>
      <c r="T256" s="43"/>
      <c r="U256" s="43"/>
      <c r="V256" s="43"/>
      <c r="W256" s="43"/>
      <c r="X256" s="43"/>
      <c r="Y256" s="43"/>
      <c r="Z256" s="43"/>
    </row>
    <row r="257">
      <c r="A257" s="89"/>
      <c r="B257" s="89"/>
      <c r="C257" s="89"/>
      <c r="D257" s="90"/>
      <c r="E257" s="91"/>
      <c r="F257" s="91"/>
      <c r="G257" s="91"/>
      <c r="H257" s="91"/>
      <c r="I257" s="85"/>
      <c r="J257" s="85"/>
      <c r="K257" s="85"/>
      <c r="L257" s="85"/>
      <c r="M257" s="85"/>
      <c r="N257" s="85"/>
      <c r="O257" s="85"/>
      <c r="P257" s="85"/>
      <c r="Q257" s="85"/>
      <c r="R257" s="43"/>
      <c r="S257" s="43"/>
      <c r="T257" s="43"/>
      <c r="U257" s="43"/>
      <c r="V257" s="43"/>
      <c r="W257" s="43"/>
      <c r="X257" s="43"/>
      <c r="Y257" s="43"/>
      <c r="Z257" s="43"/>
    </row>
    <row r="258">
      <c r="A258" s="89"/>
      <c r="B258" s="89"/>
      <c r="C258" s="89"/>
      <c r="D258" s="90"/>
      <c r="E258" s="91"/>
      <c r="F258" s="91"/>
      <c r="G258" s="91"/>
      <c r="H258" s="91"/>
      <c r="I258" s="85"/>
      <c r="J258" s="85"/>
      <c r="K258" s="85"/>
      <c r="L258" s="85"/>
      <c r="M258" s="85"/>
      <c r="N258" s="85"/>
      <c r="O258" s="85"/>
      <c r="P258" s="85"/>
      <c r="Q258" s="85"/>
      <c r="R258" s="43"/>
      <c r="S258" s="43"/>
      <c r="T258" s="43"/>
      <c r="U258" s="43"/>
      <c r="V258" s="43"/>
      <c r="W258" s="43"/>
      <c r="X258" s="43"/>
      <c r="Y258" s="43"/>
      <c r="Z258" s="43"/>
    </row>
    <row r="259">
      <c r="A259" s="89"/>
      <c r="B259" s="89"/>
      <c r="C259" s="89"/>
      <c r="D259" s="90"/>
      <c r="E259" s="91"/>
      <c r="F259" s="91"/>
      <c r="G259" s="91"/>
      <c r="H259" s="91"/>
      <c r="I259" s="85"/>
      <c r="J259" s="85"/>
      <c r="K259" s="85"/>
      <c r="L259" s="85"/>
      <c r="M259" s="85"/>
      <c r="N259" s="85"/>
      <c r="O259" s="85"/>
      <c r="P259" s="85"/>
      <c r="Q259" s="85"/>
      <c r="R259" s="43"/>
      <c r="S259" s="43"/>
      <c r="T259" s="43"/>
      <c r="U259" s="43"/>
      <c r="V259" s="43"/>
      <c r="W259" s="43"/>
      <c r="X259" s="43"/>
      <c r="Y259" s="43"/>
      <c r="Z259" s="43"/>
    </row>
    <row r="260">
      <c r="A260" s="89"/>
      <c r="B260" s="89"/>
      <c r="C260" s="89"/>
      <c r="D260" s="90"/>
      <c r="E260" s="91"/>
      <c r="F260" s="91"/>
      <c r="G260" s="91"/>
      <c r="H260" s="91"/>
      <c r="I260" s="85"/>
      <c r="J260" s="85"/>
      <c r="K260" s="85"/>
      <c r="L260" s="85"/>
      <c r="M260" s="85"/>
      <c r="N260" s="85"/>
      <c r="O260" s="85"/>
      <c r="P260" s="85"/>
      <c r="Q260" s="85"/>
      <c r="R260" s="43"/>
      <c r="S260" s="43"/>
      <c r="T260" s="43"/>
      <c r="U260" s="43"/>
      <c r="V260" s="43"/>
      <c r="W260" s="43"/>
      <c r="X260" s="43"/>
      <c r="Y260" s="43"/>
      <c r="Z260" s="43"/>
    </row>
    <row r="261">
      <c r="A261" s="89"/>
      <c r="B261" s="89"/>
      <c r="C261" s="89"/>
      <c r="D261" s="90"/>
      <c r="E261" s="91"/>
      <c r="F261" s="91"/>
      <c r="G261" s="91"/>
      <c r="H261" s="91"/>
      <c r="I261" s="85"/>
      <c r="J261" s="85"/>
      <c r="K261" s="85"/>
      <c r="L261" s="85"/>
      <c r="M261" s="85"/>
      <c r="N261" s="85"/>
      <c r="O261" s="85"/>
      <c r="P261" s="85"/>
      <c r="Q261" s="85"/>
      <c r="R261" s="43"/>
      <c r="S261" s="43"/>
      <c r="T261" s="43"/>
      <c r="U261" s="43"/>
      <c r="V261" s="43"/>
      <c r="W261" s="43"/>
      <c r="X261" s="43"/>
      <c r="Y261" s="43"/>
      <c r="Z261" s="43"/>
    </row>
    <row r="262">
      <c r="A262" s="89"/>
      <c r="B262" s="89"/>
      <c r="C262" s="89"/>
      <c r="D262" s="90"/>
      <c r="E262" s="91"/>
      <c r="F262" s="91"/>
      <c r="G262" s="91"/>
      <c r="H262" s="91"/>
      <c r="I262" s="85"/>
      <c r="J262" s="85"/>
      <c r="K262" s="85"/>
      <c r="L262" s="85"/>
      <c r="M262" s="85"/>
      <c r="N262" s="85"/>
      <c r="O262" s="85"/>
      <c r="P262" s="85"/>
      <c r="Q262" s="85"/>
      <c r="R262" s="43"/>
      <c r="S262" s="43"/>
      <c r="T262" s="43"/>
      <c r="U262" s="43"/>
      <c r="V262" s="43"/>
      <c r="W262" s="43"/>
      <c r="X262" s="43"/>
      <c r="Y262" s="43"/>
      <c r="Z262" s="43"/>
    </row>
    <row r="263">
      <c r="A263" s="89"/>
      <c r="B263" s="89"/>
      <c r="C263" s="89"/>
      <c r="D263" s="90"/>
      <c r="E263" s="91"/>
      <c r="F263" s="91"/>
      <c r="G263" s="91"/>
      <c r="H263" s="91"/>
      <c r="I263" s="85"/>
      <c r="J263" s="85"/>
      <c r="K263" s="85"/>
      <c r="L263" s="85"/>
      <c r="M263" s="85"/>
      <c r="N263" s="85"/>
      <c r="O263" s="85"/>
      <c r="P263" s="85"/>
      <c r="Q263" s="85"/>
      <c r="R263" s="43"/>
      <c r="S263" s="43"/>
      <c r="T263" s="43"/>
      <c r="U263" s="43"/>
      <c r="V263" s="43"/>
      <c r="W263" s="43"/>
      <c r="X263" s="43"/>
      <c r="Y263" s="43"/>
      <c r="Z263" s="43"/>
    </row>
    <row r="264">
      <c r="A264" s="89"/>
      <c r="B264" s="89"/>
      <c r="C264" s="89"/>
      <c r="D264" s="90"/>
      <c r="E264" s="91"/>
      <c r="F264" s="91"/>
      <c r="G264" s="91"/>
      <c r="H264" s="91"/>
      <c r="I264" s="85"/>
      <c r="J264" s="85"/>
      <c r="K264" s="85"/>
      <c r="L264" s="85"/>
      <c r="M264" s="85"/>
      <c r="N264" s="85"/>
      <c r="O264" s="85"/>
      <c r="P264" s="85"/>
      <c r="Q264" s="85"/>
      <c r="R264" s="43"/>
      <c r="S264" s="43"/>
      <c r="T264" s="43"/>
      <c r="U264" s="43"/>
      <c r="V264" s="43"/>
      <c r="W264" s="43"/>
      <c r="X264" s="43"/>
      <c r="Y264" s="43"/>
      <c r="Z264" s="43"/>
    </row>
    <row r="265">
      <c r="A265" s="89"/>
      <c r="B265" s="89"/>
      <c r="C265" s="89"/>
      <c r="D265" s="90"/>
      <c r="E265" s="91"/>
      <c r="F265" s="91"/>
      <c r="G265" s="91"/>
      <c r="H265" s="91"/>
      <c r="I265" s="85"/>
      <c r="J265" s="85"/>
      <c r="K265" s="85"/>
      <c r="L265" s="85"/>
      <c r="M265" s="85"/>
      <c r="N265" s="85"/>
      <c r="O265" s="85"/>
      <c r="P265" s="85"/>
      <c r="Q265" s="85"/>
      <c r="R265" s="43"/>
      <c r="S265" s="43"/>
      <c r="T265" s="43"/>
      <c r="U265" s="43"/>
      <c r="V265" s="43"/>
      <c r="W265" s="43"/>
      <c r="X265" s="43"/>
      <c r="Y265" s="43"/>
      <c r="Z265" s="43"/>
    </row>
    <row r="266">
      <c r="A266" s="89"/>
      <c r="B266" s="89"/>
      <c r="C266" s="89"/>
      <c r="D266" s="90"/>
      <c r="E266" s="91"/>
      <c r="F266" s="91"/>
      <c r="G266" s="91"/>
      <c r="H266" s="91"/>
      <c r="I266" s="85"/>
      <c r="J266" s="85"/>
      <c r="K266" s="85"/>
      <c r="L266" s="85"/>
      <c r="M266" s="85"/>
      <c r="N266" s="85"/>
      <c r="O266" s="85"/>
      <c r="P266" s="85"/>
      <c r="Q266" s="85"/>
      <c r="R266" s="43"/>
      <c r="S266" s="43"/>
      <c r="T266" s="43"/>
      <c r="U266" s="43"/>
      <c r="V266" s="43"/>
      <c r="W266" s="43"/>
      <c r="X266" s="43"/>
      <c r="Y266" s="43"/>
      <c r="Z266" s="43"/>
    </row>
    <row r="267">
      <c r="A267" s="89"/>
      <c r="B267" s="89"/>
      <c r="C267" s="89"/>
      <c r="D267" s="90"/>
      <c r="E267" s="91"/>
      <c r="F267" s="91"/>
      <c r="G267" s="91"/>
      <c r="H267" s="91"/>
      <c r="I267" s="85"/>
      <c r="J267" s="85"/>
      <c r="K267" s="85"/>
      <c r="L267" s="85"/>
      <c r="M267" s="85"/>
      <c r="N267" s="85"/>
      <c r="O267" s="85"/>
      <c r="P267" s="85"/>
      <c r="Q267" s="85"/>
      <c r="R267" s="43"/>
      <c r="S267" s="43"/>
      <c r="T267" s="43"/>
      <c r="U267" s="43"/>
      <c r="V267" s="43"/>
      <c r="W267" s="43"/>
      <c r="X267" s="43"/>
      <c r="Y267" s="43"/>
      <c r="Z267" s="43"/>
    </row>
    <row r="268">
      <c r="A268" s="89"/>
      <c r="B268" s="89"/>
      <c r="C268" s="89"/>
      <c r="D268" s="90"/>
      <c r="E268" s="91"/>
      <c r="F268" s="91"/>
      <c r="G268" s="91"/>
      <c r="H268" s="91"/>
      <c r="I268" s="85"/>
      <c r="J268" s="85"/>
      <c r="K268" s="85"/>
      <c r="L268" s="85"/>
      <c r="M268" s="85"/>
      <c r="N268" s="85"/>
      <c r="O268" s="85"/>
      <c r="P268" s="85"/>
      <c r="Q268" s="85"/>
      <c r="R268" s="43"/>
      <c r="S268" s="43"/>
      <c r="T268" s="43"/>
      <c r="U268" s="43"/>
      <c r="V268" s="43"/>
      <c r="W268" s="43"/>
      <c r="X268" s="43"/>
      <c r="Y268" s="43"/>
      <c r="Z268" s="43"/>
    </row>
    <row r="269">
      <c r="A269" s="89"/>
      <c r="B269" s="89"/>
      <c r="C269" s="89"/>
      <c r="D269" s="90"/>
      <c r="E269" s="91"/>
      <c r="F269" s="91"/>
      <c r="G269" s="91"/>
      <c r="H269" s="91"/>
      <c r="I269" s="85"/>
      <c r="J269" s="85"/>
      <c r="K269" s="85"/>
      <c r="L269" s="85"/>
      <c r="M269" s="85"/>
      <c r="N269" s="85"/>
      <c r="O269" s="85"/>
      <c r="P269" s="85"/>
      <c r="Q269" s="85"/>
      <c r="R269" s="43"/>
      <c r="S269" s="43"/>
      <c r="T269" s="43"/>
      <c r="U269" s="43"/>
      <c r="V269" s="43"/>
      <c r="W269" s="43"/>
      <c r="X269" s="43"/>
      <c r="Y269" s="43"/>
      <c r="Z269" s="43"/>
    </row>
    <row r="270">
      <c r="A270" s="89"/>
      <c r="B270" s="89"/>
      <c r="C270" s="89"/>
      <c r="D270" s="90"/>
      <c r="E270" s="91"/>
      <c r="F270" s="91"/>
      <c r="G270" s="91"/>
      <c r="H270" s="91"/>
      <c r="I270" s="85"/>
      <c r="J270" s="85"/>
      <c r="K270" s="85"/>
      <c r="L270" s="85"/>
      <c r="M270" s="85"/>
      <c r="N270" s="85"/>
      <c r="O270" s="85"/>
      <c r="P270" s="85"/>
      <c r="Q270" s="85"/>
      <c r="R270" s="43"/>
      <c r="S270" s="43"/>
      <c r="T270" s="43"/>
      <c r="U270" s="43"/>
      <c r="V270" s="43"/>
      <c r="W270" s="43"/>
      <c r="X270" s="43"/>
      <c r="Y270" s="43"/>
      <c r="Z270" s="43"/>
    </row>
    <row r="271">
      <c r="A271" s="89"/>
      <c r="B271" s="89"/>
      <c r="C271" s="89"/>
      <c r="D271" s="90"/>
      <c r="E271" s="91"/>
      <c r="F271" s="91"/>
      <c r="G271" s="91"/>
      <c r="H271" s="91"/>
      <c r="I271" s="85"/>
      <c r="J271" s="85"/>
      <c r="K271" s="85"/>
      <c r="L271" s="85"/>
      <c r="M271" s="85"/>
      <c r="N271" s="85"/>
      <c r="O271" s="85"/>
      <c r="P271" s="85"/>
      <c r="Q271" s="85"/>
      <c r="R271" s="43"/>
      <c r="S271" s="43"/>
      <c r="T271" s="43"/>
      <c r="U271" s="43"/>
      <c r="V271" s="43"/>
      <c r="W271" s="43"/>
      <c r="X271" s="43"/>
      <c r="Y271" s="43"/>
      <c r="Z271" s="43"/>
    </row>
    <row r="272">
      <c r="A272" s="89"/>
      <c r="B272" s="89"/>
      <c r="C272" s="89"/>
      <c r="D272" s="90"/>
      <c r="E272" s="91"/>
      <c r="F272" s="91"/>
      <c r="G272" s="91"/>
      <c r="H272" s="91"/>
      <c r="I272" s="85"/>
      <c r="J272" s="85"/>
      <c r="K272" s="85"/>
      <c r="L272" s="85"/>
      <c r="M272" s="85"/>
      <c r="N272" s="85"/>
      <c r="O272" s="85"/>
      <c r="P272" s="85"/>
      <c r="Q272" s="85"/>
      <c r="R272" s="43"/>
      <c r="S272" s="43"/>
      <c r="T272" s="43"/>
      <c r="U272" s="43"/>
      <c r="V272" s="43"/>
      <c r="W272" s="43"/>
      <c r="X272" s="43"/>
      <c r="Y272" s="43"/>
      <c r="Z272" s="43"/>
    </row>
    <row r="273">
      <c r="A273" s="89"/>
      <c r="B273" s="89"/>
      <c r="C273" s="89"/>
      <c r="D273" s="90"/>
      <c r="E273" s="91"/>
      <c r="F273" s="91"/>
      <c r="G273" s="91"/>
      <c r="H273" s="91"/>
      <c r="I273" s="85"/>
      <c r="J273" s="85"/>
      <c r="K273" s="85"/>
      <c r="L273" s="85"/>
      <c r="M273" s="85"/>
      <c r="N273" s="85"/>
      <c r="O273" s="85"/>
      <c r="P273" s="85"/>
      <c r="Q273" s="85"/>
      <c r="R273" s="43"/>
      <c r="S273" s="43"/>
      <c r="T273" s="43"/>
      <c r="U273" s="43"/>
      <c r="V273" s="43"/>
      <c r="W273" s="43"/>
      <c r="X273" s="43"/>
      <c r="Y273" s="43"/>
      <c r="Z273" s="43"/>
    </row>
    <row r="274">
      <c r="A274" s="89"/>
      <c r="B274" s="89"/>
      <c r="C274" s="89"/>
      <c r="D274" s="90"/>
      <c r="E274" s="91"/>
      <c r="F274" s="91"/>
      <c r="G274" s="91"/>
      <c r="H274" s="91"/>
      <c r="I274" s="85"/>
      <c r="J274" s="85"/>
      <c r="K274" s="85"/>
      <c r="L274" s="85"/>
      <c r="M274" s="85"/>
      <c r="N274" s="85"/>
      <c r="O274" s="85"/>
      <c r="P274" s="85"/>
      <c r="Q274" s="85"/>
      <c r="R274" s="43"/>
      <c r="S274" s="43"/>
      <c r="T274" s="43"/>
      <c r="U274" s="43"/>
      <c r="V274" s="43"/>
      <c r="W274" s="43"/>
      <c r="X274" s="43"/>
      <c r="Y274" s="43"/>
      <c r="Z274" s="43"/>
    </row>
    <row r="275">
      <c r="A275" s="89"/>
      <c r="B275" s="89"/>
      <c r="C275" s="89"/>
      <c r="D275" s="90"/>
      <c r="E275" s="91"/>
      <c r="F275" s="91"/>
      <c r="G275" s="91"/>
      <c r="H275" s="91"/>
      <c r="I275" s="85"/>
      <c r="J275" s="85"/>
      <c r="K275" s="85"/>
      <c r="L275" s="85"/>
      <c r="M275" s="85"/>
      <c r="N275" s="85"/>
      <c r="O275" s="85"/>
      <c r="P275" s="85"/>
      <c r="Q275" s="85"/>
      <c r="R275" s="43"/>
      <c r="S275" s="43"/>
      <c r="T275" s="43"/>
      <c r="U275" s="43"/>
      <c r="V275" s="43"/>
      <c r="W275" s="43"/>
      <c r="X275" s="43"/>
      <c r="Y275" s="43"/>
      <c r="Z275" s="43"/>
    </row>
    <row r="276">
      <c r="A276" s="89"/>
      <c r="B276" s="89"/>
      <c r="C276" s="89"/>
      <c r="D276" s="90"/>
      <c r="E276" s="91"/>
      <c r="F276" s="91"/>
      <c r="G276" s="91"/>
      <c r="H276" s="91"/>
      <c r="I276" s="85"/>
      <c r="J276" s="85"/>
      <c r="K276" s="85"/>
      <c r="L276" s="85"/>
      <c r="M276" s="85"/>
      <c r="N276" s="85"/>
      <c r="O276" s="85"/>
      <c r="P276" s="85"/>
      <c r="Q276" s="85"/>
      <c r="R276" s="43"/>
      <c r="S276" s="43"/>
      <c r="T276" s="43"/>
      <c r="U276" s="43"/>
      <c r="V276" s="43"/>
      <c r="W276" s="43"/>
      <c r="X276" s="43"/>
      <c r="Y276" s="43"/>
      <c r="Z276" s="43"/>
    </row>
    <row r="277">
      <c r="A277" s="89"/>
      <c r="B277" s="89"/>
      <c r="C277" s="89"/>
      <c r="D277" s="90"/>
      <c r="E277" s="91"/>
      <c r="F277" s="91"/>
      <c r="G277" s="91"/>
      <c r="H277" s="91"/>
      <c r="I277" s="85"/>
      <c r="J277" s="85"/>
      <c r="K277" s="85"/>
      <c r="L277" s="85"/>
      <c r="M277" s="85"/>
      <c r="N277" s="85"/>
      <c r="O277" s="85"/>
      <c r="P277" s="85"/>
      <c r="Q277" s="85"/>
      <c r="R277" s="43"/>
      <c r="S277" s="43"/>
      <c r="T277" s="43"/>
      <c r="U277" s="43"/>
      <c r="V277" s="43"/>
      <c r="W277" s="43"/>
      <c r="X277" s="43"/>
      <c r="Y277" s="43"/>
      <c r="Z277" s="43"/>
    </row>
    <row r="278">
      <c r="A278" s="89"/>
      <c r="B278" s="89"/>
      <c r="C278" s="89"/>
      <c r="D278" s="90"/>
      <c r="E278" s="91"/>
      <c r="F278" s="91"/>
      <c r="G278" s="91"/>
      <c r="H278" s="91"/>
      <c r="I278" s="85"/>
      <c r="J278" s="85"/>
      <c r="K278" s="85"/>
      <c r="L278" s="85"/>
      <c r="M278" s="85"/>
      <c r="N278" s="85"/>
      <c r="O278" s="85"/>
      <c r="P278" s="85"/>
      <c r="Q278" s="85"/>
      <c r="R278" s="43"/>
      <c r="S278" s="43"/>
      <c r="T278" s="43"/>
      <c r="U278" s="43"/>
      <c r="V278" s="43"/>
      <c r="W278" s="43"/>
      <c r="X278" s="43"/>
      <c r="Y278" s="43"/>
      <c r="Z278" s="43"/>
    </row>
    <row r="279">
      <c r="A279" s="89"/>
      <c r="B279" s="89"/>
      <c r="C279" s="89"/>
      <c r="D279" s="90"/>
      <c r="E279" s="91"/>
      <c r="F279" s="91"/>
      <c r="G279" s="91"/>
      <c r="H279" s="91"/>
      <c r="I279" s="85"/>
      <c r="J279" s="85"/>
      <c r="K279" s="85"/>
      <c r="L279" s="85"/>
      <c r="M279" s="85"/>
      <c r="N279" s="85"/>
      <c r="O279" s="85"/>
      <c r="P279" s="85"/>
      <c r="Q279" s="85"/>
      <c r="R279" s="43"/>
      <c r="S279" s="43"/>
      <c r="T279" s="43"/>
      <c r="U279" s="43"/>
      <c r="V279" s="43"/>
      <c r="W279" s="43"/>
      <c r="X279" s="43"/>
      <c r="Y279" s="43"/>
      <c r="Z279" s="43"/>
    </row>
    <row r="280">
      <c r="A280" s="89"/>
      <c r="B280" s="89"/>
      <c r="C280" s="89"/>
      <c r="D280" s="90"/>
      <c r="E280" s="91"/>
      <c r="F280" s="91"/>
      <c r="G280" s="91"/>
      <c r="H280" s="91"/>
      <c r="I280" s="85"/>
      <c r="J280" s="85"/>
      <c r="K280" s="85"/>
      <c r="L280" s="85"/>
      <c r="M280" s="85"/>
      <c r="N280" s="85"/>
      <c r="O280" s="85"/>
      <c r="P280" s="85"/>
      <c r="Q280" s="85"/>
      <c r="R280" s="43"/>
      <c r="S280" s="43"/>
      <c r="T280" s="43"/>
      <c r="U280" s="43"/>
      <c r="V280" s="43"/>
      <c r="W280" s="43"/>
      <c r="X280" s="43"/>
      <c r="Y280" s="43"/>
      <c r="Z280" s="43"/>
    </row>
    <row r="281">
      <c r="A281" s="89"/>
      <c r="B281" s="89"/>
      <c r="C281" s="89"/>
      <c r="D281" s="90"/>
      <c r="E281" s="91"/>
      <c r="F281" s="91"/>
      <c r="G281" s="91"/>
      <c r="H281" s="91"/>
      <c r="I281" s="85"/>
      <c r="J281" s="85"/>
      <c r="K281" s="85"/>
      <c r="L281" s="85"/>
      <c r="M281" s="85"/>
      <c r="N281" s="85"/>
      <c r="O281" s="85"/>
      <c r="P281" s="85"/>
      <c r="Q281" s="85"/>
      <c r="R281" s="43"/>
      <c r="S281" s="43"/>
      <c r="T281" s="43"/>
      <c r="U281" s="43"/>
      <c r="V281" s="43"/>
      <c r="W281" s="43"/>
      <c r="X281" s="43"/>
      <c r="Y281" s="43"/>
      <c r="Z281" s="43"/>
    </row>
    <row r="282">
      <c r="A282" s="89"/>
      <c r="B282" s="89"/>
      <c r="C282" s="89"/>
      <c r="D282" s="90"/>
      <c r="E282" s="91"/>
      <c r="F282" s="91"/>
      <c r="G282" s="91"/>
      <c r="H282" s="91"/>
      <c r="I282" s="85"/>
      <c r="J282" s="85"/>
      <c r="K282" s="85"/>
      <c r="L282" s="85"/>
      <c r="M282" s="85"/>
      <c r="N282" s="85"/>
      <c r="O282" s="85"/>
      <c r="P282" s="85"/>
      <c r="Q282" s="85"/>
      <c r="R282" s="43"/>
      <c r="S282" s="43"/>
      <c r="T282" s="43"/>
      <c r="U282" s="43"/>
      <c r="V282" s="43"/>
      <c r="W282" s="43"/>
      <c r="X282" s="43"/>
      <c r="Y282" s="43"/>
      <c r="Z282" s="43"/>
    </row>
    <row r="283">
      <c r="A283" s="89"/>
      <c r="B283" s="89"/>
      <c r="C283" s="89"/>
      <c r="D283" s="90"/>
      <c r="E283" s="91"/>
      <c r="F283" s="91"/>
      <c r="G283" s="91"/>
      <c r="H283" s="91"/>
      <c r="I283" s="85"/>
      <c r="J283" s="85"/>
      <c r="K283" s="85"/>
      <c r="L283" s="85"/>
      <c r="M283" s="85"/>
      <c r="N283" s="85"/>
      <c r="O283" s="85"/>
      <c r="P283" s="85"/>
      <c r="Q283" s="85"/>
      <c r="R283" s="43"/>
      <c r="S283" s="43"/>
      <c r="T283" s="43"/>
      <c r="U283" s="43"/>
      <c r="V283" s="43"/>
      <c r="W283" s="43"/>
      <c r="X283" s="43"/>
      <c r="Y283" s="43"/>
      <c r="Z283" s="43"/>
    </row>
    <row r="284">
      <c r="A284" s="89"/>
      <c r="B284" s="89"/>
      <c r="C284" s="89"/>
      <c r="D284" s="90"/>
      <c r="E284" s="91"/>
      <c r="F284" s="91"/>
      <c r="G284" s="91"/>
      <c r="H284" s="91"/>
      <c r="I284" s="85"/>
      <c r="J284" s="85"/>
      <c r="K284" s="85"/>
      <c r="L284" s="85"/>
      <c r="M284" s="85"/>
      <c r="N284" s="85"/>
      <c r="O284" s="85"/>
      <c r="P284" s="85"/>
      <c r="Q284" s="85"/>
      <c r="R284" s="43"/>
      <c r="S284" s="43"/>
      <c r="T284" s="43"/>
      <c r="U284" s="43"/>
      <c r="V284" s="43"/>
      <c r="W284" s="43"/>
      <c r="X284" s="43"/>
      <c r="Y284" s="43"/>
      <c r="Z284" s="43"/>
    </row>
    <row r="285">
      <c r="A285" s="89"/>
      <c r="B285" s="89"/>
      <c r="C285" s="89"/>
      <c r="D285" s="90"/>
      <c r="E285" s="91"/>
      <c r="F285" s="91"/>
      <c r="G285" s="91"/>
      <c r="H285" s="91"/>
      <c r="I285" s="85"/>
      <c r="J285" s="85"/>
      <c r="K285" s="85"/>
      <c r="L285" s="85"/>
      <c r="M285" s="85"/>
      <c r="N285" s="85"/>
      <c r="O285" s="85"/>
      <c r="P285" s="85"/>
      <c r="Q285" s="85"/>
      <c r="R285" s="43"/>
      <c r="S285" s="43"/>
      <c r="T285" s="43"/>
      <c r="U285" s="43"/>
      <c r="V285" s="43"/>
      <c r="W285" s="43"/>
      <c r="X285" s="43"/>
      <c r="Y285" s="43"/>
      <c r="Z285" s="43"/>
    </row>
    <row r="286">
      <c r="A286" s="89"/>
      <c r="B286" s="89"/>
      <c r="C286" s="89"/>
      <c r="D286" s="90"/>
      <c r="E286" s="91"/>
      <c r="F286" s="91"/>
      <c r="G286" s="91"/>
      <c r="H286" s="91"/>
      <c r="I286" s="85"/>
      <c r="J286" s="85"/>
      <c r="K286" s="85"/>
      <c r="L286" s="85"/>
      <c r="M286" s="85"/>
      <c r="N286" s="85"/>
      <c r="O286" s="85"/>
      <c r="P286" s="85"/>
      <c r="Q286" s="85"/>
      <c r="R286" s="43"/>
      <c r="S286" s="43"/>
      <c r="T286" s="43"/>
      <c r="U286" s="43"/>
      <c r="V286" s="43"/>
      <c r="W286" s="43"/>
      <c r="X286" s="43"/>
      <c r="Y286" s="43"/>
      <c r="Z286" s="43"/>
    </row>
    <row r="287">
      <c r="A287" s="89"/>
      <c r="B287" s="89"/>
      <c r="C287" s="89"/>
      <c r="D287" s="90"/>
      <c r="E287" s="91"/>
      <c r="F287" s="91"/>
      <c r="G287" s="91"/>
      <c r="H287" s="91"/>
      <c r="I287" s="85"/>
      <c r="J287" s="85"/>
      <c r="K287" s="85"/>
      <c r="L287" s="85"/>
      <c r="M287" s="85"/>
      <c r="N287" s="85"/>
      <c r="O287" s="85"/>
      <c r="P287" s="85"/>
      <c r="Q287" s="85"/>
      <c r="R287" s="43"/>
      <c r="S287" s="43"/>
      <c r="T287" s="43"/>
      <c r="U287" s="43"/>
      <c r="V287" s="43"/>
      <c r="W287" s="43"/>
      <c r="X287" s="43"/>
      <c r="Y287" s="43"/>
      <c r="Z287" s="43"/>
    </row>
    <row r="288">
      <c r="A288" s="89"/>
      <c r="B288" s="89"/>
      <c r="C288" s="89"/>
      <c r="D288" s="90"/>
      <c r="E288" s="91"/>
      <c r="F288" s="91"/>
      <c r="G288" s="91"/>
      <c r="H288" s="91"/>
      <c r="I288" s="85"/>
      <c r="J288" s="85"/>
      <c r="K288" s="85"/>
      <c r="L288" s="85"/>
      <c r="M288" s="85"/>
      <c r="N288" s="85"/>
      <c r="O288" s="85"/>
      <c r="P288" s="85"/>
      <c r="Q288" s="85"/>
      <c r="R288" s="43"/>
      <c r="S288" s="43"/>
      <c r="T288" s="43"/>
      <c r="U288" s="43"/>
      <c r="V288" s="43"/>
      <c r="W288" s="43"/>
      <c r="X288" s="43"/>
      <c r="Y288" s="43"/>
      <c r="Z288" s="43"/>
    </row>
    <row r="289">
      <c r="A289" s="89"/>
      <c r="B289" s="89"/>
      <c r="C289" s="89"/>
      <c r="D289" s="90"/>
      <c r="E289" s="91"/>
      <c r="F289" s="91"/>
      <c r="G289" s="91"/>
      <c r="H289" s="91"/>
      <c r="I289" s="85"/>
      <c r="J289" s="85"/>
      <c r="K289" s="85"/>
      <c r="L289" s="85"/>
      <c r="M289" s="85"/>
      <c r="N289" s="85"/>
      <c r="O289" s="85"/>
      <c r="P289" s="85"/>
      <c r="Q289" s="85"/>
      <c r="R289" s="43"/>
      <c r="S289" s="43"/>
      <c r="T289" s="43"/>
      <c r="U289" s="43"/>
      <c r="V289" s="43"/>
      <c r="W289" s="43"/>
      <c r="X289" s="43"/>
      <c r="Y289" s="43"/>
      <c r="Z289" s="43"/>
    </row>
    <row r="290">
      <c r="A290" s="89"/>
      <c r="B290" s="89"/>
      <c r="C290" s="89"/>
      <c r="D290" s="90"/>
      <c r="E290" s="91"/>
      <c r="F290" s="91"/>
      <c r="G290" s="91"/>
      <c r="H290" s="91"/>
      <c r="I290" s="85"/>
      <c r="J290" s="85"/>
      <c r="K290" s="85"/>
      <c r="L290" s="85"/>
      <c r="M290" s="85"/>
      <c r="N290" s="85"/>
      <c r="O290" s="85"/>
      <c r="P290" s="85"/>
      <c r="Q290" s="85"/>
      <c r="R290" s="43"/>
      <c r="S290" s="43"/>
      <c r="T290" s="43"/>
      <c r="U290" s="43"/>
      <c r="V290" s="43"/>
      <c r="W290" s="43"/>
      <c r="X290" s="43"/>
      <c r="Y290" s="43"/>
      <c r="Z290" s="43"/>
    </row>
    <row r="291">
      <c r="A291" s="89"/>
      <c r="B291" s="89"/>
      <c r="C291" s="89"/>
      <c r="D291" s="90"/>
      <c r="E291" s="91"/>
      <c r="F291" s="91"/>
      <c r="G291" s="91"/>
      <c r="H291" s="91"/>
      <c r="I291" s="85"/>
      <c r="J291" s="85"/>
      <c r="K291" s="85"/>
      <c r="L291" s="85"/>
      <c r="M291" s="85"/>
      <c r="N291" s="85"/>
      <c r="O291" s="85"/>
      <c r="P291" s="85"/>
      <c r="Q291" s="85"/>
      <c r="R291" s="43"/>
      <c r="S291" s="43"/>
      <c r="T291" s="43"/>
      <c r="U291" s="43"/>
      <c r="V291" s="43"/>
      <c r="W291" s="43"/>
      <c r="X291" s="43"/>
      <c r="Y291" s="43"/>
      <c r="Z291" s="43"/>
    </row>
    <row r="292">
      <c r="A292" s="89"/>
      <c r="B292" s="89"/>
      <c r="C292" s="89"/>
      <c r="D292" s="90"/>
      <c r="E292" s="91"/>
      <c r="F292" s="91"/>
      <c r="G292" s="91"/>
      <c r="H292" s="91"/>
      <c r="I292" s="85"/>
      <c r="J292" s="85"/>
      <c r="K292" s="85"/>
      <c r="L292" s="85"/>
      <c r="M292" s="85"/>
      <c r="N292" s="85"/>
      <c r="O292" s="85"/>
      <c r="P292" s="85"/>
      <c r="Q292" s="85"/>
      <c r="R292" s="43"/>
      <c r="S292" s="43"/>
      <c r="T292" s="43"/>
      <c r="U292" s="43"/>
      <c r="V292" s="43"/>
      <c r="W292" s="43"/>
      <c r="X292" s="43"/>
      <c r="Y292" s="43"/>
      <c r="Z292" s="43"/>
    </row>
    <row r="293">
      <c r="A293" s="89"/>
      <c r="B293" s="89"/>
      <c r="C293" s="89"/>
      <c r="D293" s="90"/>
      <c r="E293" s="91"/>
      <c r="F293" s="91"/>
      <c r="G293" s="91"/>
      <c r="H293" s="91"/>
      <c r="I293" s="85"/>
      <c r="J293" s="85"/>
      <c r="K293" s="85"/>
      <c r="L293" s="85"/>
      <c r="M293" s="85"/>
      <c r="N293" s="85"/>
      <c r="O293" s="85"/>
      <c r="P293" s="85"/>
      <c r="Q293" s="85"/>
      <c r="R293" s="43"/>
      <c r="S293" s="43"/>
      <c r="T293" s="43"/>
      <c r="U293" s="43"/>
      <c r="V293" s="43"/>
      <c r="W293" s="43"/>
      <c r="X293" s="43"/>
      <c r="Y293" s="43"/>
      <c r="Z293" s="43"/>
    </row>
    <row r="294">
      <c r="A294" s="89"/>
      <c r="B294" s="89"/>
      <c r="C294" s="89"/>
      <c r="D294" s="90"/>
      <c r="E294" s="91"/>
      <c r="F294" s="91"/>
      <c r="G294" s="91"/>
      <c r="H294" s="91"/>
      <c r="I294" s="85"/>
      <c r="J294" s="85"/>
      <c r="K294" s="85"/>
      <c r="L294" s="85"/>
      <c r="M294" s="85"/>
      <c r="N294" s="85"/>
      <c r="O294" s="85"/>
      <c r="P294" s="85"/>
      <c r="Q294" s="85"/>
      <c r="R294" s="43"/>
      <c r="S294" s="43"/>
      <c r="T294" s="43"/>
      <c r="U294" s="43"/>
      <c r="V294" s="43"/>
      <c r="W294" s="43"/>
      <c r="X294" s="43"/>
      <c r="Y294" s="43"/>
      <c r="Z294" s="43"/>
    </row>
    <row r="295">
      <c r="A295" s="89"/>
      <c r="B295" s="89"/>
      <c r="C295" s="89"/>
      <c r="D295" s="90"/>
      <c r="E295" s="91"/>
      <c r="F295" s="91"/>
      <c r="G295" s="91"/>
      <c r="H295" s="91"/>
      <c r="I295" s="85"/>
      <c r="J295" s="85"/>
      <c r="K295" s="85"/>
      <c r="L295" s="85"/>
      <c r="M295" s="85"/>
      <c r="N295" s="85"/>
      <c r="O295" s="85"/>
      <c r="P295" s="85"/>
      <c r="Q295" s="85"/>
      <c r="R295" s="43"/>
      <c r="S295" s="43"/>
      <c r="T295" s="43"/>
      <c r="U295" s="43"/>
      <c r="V295" s="43"/>
      <c r="W295" s="43"/>
      <c r="X295" s="43"/>
      <c r="Y295" s="43"/>
      <c r="Z295" s="43"/>
    </row>
    <row r="296">
      <c r="A296" s="89"/>
      <c r="B296" s="89"/>
      <c r="C296" s="89"/>
      <c r="D296" s="90"/>
      <c r="E296" s="91"/>
      <c r="F296" s="91"/>
      <c r="G296" s="91"/>
      <c r="H296" s="91"/>
      <c r="I296" s="85"/>
      <c r="J296" s="85"/>
      <c r="K296" s="85"/>
      <c r="L296" s="85"/>
      <c r="M296" s="85"/>
      <c r="N296" s="85"/>
      <c r="O296" s="85"/>
      <c r="P296" s="85"/>
      <c r="Q296" s="85"/>
      <c r="R296" s="43"/>
      <c r="S296" s="43"/>
      <c r="T296" s="43"/>
      <c r="U296" s="43"/>
      <c r="V296" s="43"/>
      <c r="W296" s="43"/>
      <c r="X296" s="43"/>
      <c r="Y296" s="43"/>
      <c r="Z296" s="43"/>
    </row>
    <row r="297">
      <c r="A297" s="89"/>
      <c r="B297" s="89"/>
      <c r="C297" s="89"/>
      <c r="D297" s="90"/>
      <c r="E297" s="91"/>
      <c r="F297" s="91"/>
      <c r="G297" s="91"/>
      <c r="H297" s="91"/>
      <c r="I297" s="85"/>
      <c r="J297" s="85"/>
      <c r="K297" s="85"/>
      <c r="L297" s="85"/>
      <c r="M297" s="85"/>
      <c r="N297" s="85"/>
      <c r="O297" s="85"/>
      <c r="P297" s="85"/>
      <c r="Q297" s="85"/>
      <c r="R297" s="43"/>
      <c r="S297" s="43"/>
      <c r="T297" s="43"/>
      <c r="U297" s="43"/>
      <c r="V297" s="43"/>
      <c r="W297" s="43"/>
      <c r="X297" s="43"/>
      <c r="Y297" s="43"/>
      <c r="Z297" s="43"/>
    </row>
    <row r="298">
      <c r="A298" s="89"/>
      <c r="B298" s="89"/>
      <c r="C298" s="89"/>
      <c r="D298" s="90"/>
      <c r="E298" s="91"/>
      <c r="F298" s="91"/>
      <c r="G298" s="91"/>
      <c r="H298" s="91"/>
      <c r="I298" s="85"/>
      <c r="J298" s="85"/>
      <c r="K298" s="85"/>
      <c r="L298" s="85"/>
      <c r="M298" s="85"/>
      <c r="N298" s="85"/>
      <c r="O298" s="85"/>
      <c r="P298" s="85"/>
      <c r="Q298" s="85"/>
      <c r="R298" s="43"/>
      <c r="S298" s="43"/>
      <c r="T298" s="43"/>
      <c r="U298" s="43"/>
      <c r="V298" s="43"/>
      <c r="W298" s="43"/>
      <c r="X298" s="43"/>
      <c r="Y298" s="43"/>
      <c r="Z298" s="43"/>
    </row>
    <row r="299">
      <c r="A299" s="89"/>
      <c r="B299" s="89"/>
      <c r="C299" s="89"/>
      <c r="D299" s="90"/>
      <c r="E299" s="91"/>
      <c r="F299" s="91"/>
      <c r="G299" s="91"/>
      <c r="H299" s="91"/>
      <c r="I299" s="85"/>
      <c r="J299" s="85"/>
      <c r="K299" s="85"/>
      <c r="L299" s="85"/>
      <c r="M299" s="85"/>
      <c r="N299" s="85"/>
      <c r="O299" s="85"/>
      <c r="P299" s="85"/>
      <c r="Q299" s="85"/>
      <c r="R299" s="43"/>
      <c r="S299" s="43"/>
      <c r="T299" s="43"/>
      <c r="U299" s="43"/>
      <c r="V299" s="43"/>
      <c r="W299" s="43"/>
      <c r="X299" s="43"/>
      <c r="Y299" s="43"/>
      <c r="Z299" s="43"/>
    </row>
    <row r="300">
      <c r="A300" s="89"/>
      <c r="B300" s="89"/>
      <c r="C300" s="89"/>
      <c r="D300" s="90"/>
      <c r="E300" s="91"/>
      <c r="F300" s="91"/>
      <c r="G300" s="91"/>
      <c r="H300" s="91"/>
      <c r="I300" s="85"/>
      <c r="J300" s="85"/>
      <c r="K300" s="85"/>
      <c r="L300" s="85"/>
      <c r="M300" s="85"/>
      <c r="N300" s="85"/>
      <c r="O300" s="85"/>
      <c r="P300" s="85"/>
      <c r="Q300" s="85"/>
      <c r="R300" s="43"/>
      <c r="S300" s="43"/>
      <c r="T300" s="43"/>
      <c r="U300" s="43"/>
      <c r="V300" s="43"/>
      <c r="W300" s="43"/>
      <c r="X300" s="43"/>
      <c r="Y300" s="43"/>
      <c r="Z300" s="43"/>
    </row>
    <row r="301">
      <c r="A301" s="89"/>
      <c r="B301" s="89"/>
      <c r="C301" s="89"/>
      <c r="D301" s="90"/>
      <c r="E301" s="91"/>
      <c r="F301" s="91"/>
      <c r="G301" s="91"/>
      <c r="H301" s="91"/>
      <c r="I301" s="85"/>
      <c r="J301" s="85"/>
      <c r="K301" s="85"/>
      <c r="L301" s="85"/>
      <c r="M301" s="85"/>
      <c r="N301" s="85"/>
      <c r="O301" s="85"/>
      <c r="P301" s="85"/>
      <c r="Q301" s="85"/>
      <c r="R301" s="43"/>
      <c r="S301" s="43"/>
      <c r="T301" s="43"/>
      <c r="U301" s="43"/>
      <c r="V301" s="43"/>
      <c r="W301" s="43"/>
      <c r="X301" s="43"/>
      <c r="Y301" s="43"/>
      <c r="Z301" s="43"/>
    </row>
    <row r="302">
      <c r="A302" s="89"/>
      <c r="B302" s="89"/>
      <c r="C302" s="89"/>
      <c r="D302" s="90"/>
      <c r="E302" s="91"/>
      <c r="F302" s="91"/>
      <c r="G302" s="91"/>
      <c r="H302" s="91"/>
      <c r="I302" s="85"/>
      <c r="J302" s="85"/>
      <c r="K302" s="85"/>
      <c r="L302" s="85"/>
      <c r="M302" s="85"/>
      <c r="N302" s="85"/>
      <c r="O302" s="85"/>
      <c r="P302" s="85"/>
      <c r="Q302" s="85"/>
      <c r="R302" s="43"/>
      <c r="S302" s="43"/>
      <c r="T302" s="43"/>
      <c r="U302" s="43"/>
      <c r="V302" s="43"/>
      <c r="W302" s="43"/>
      <c r="X302" s="43"/>
      <c r="Y302" s="43"/>
      <c r="Z302" s="43"/>
    </row>
    <row r="303">
      <c r="A303" s="89"/>
      <c r="B303" s="89"/>
      <c r="C303" s="89"/>
      <c r="D303" s="90"/>
      <c r="E303" s="91"/>
      <c r="F303" s="91"/>
      <c r="G303" s="91"/>
      <c r="H303" s="91"/>
      <c r="I303" s="85"/>
      <c r="J303" s="85"/>
      <c r="K303" s="85"/>
      <c r="L303" s="85"/>
      <c r="M303" s="85"/>
      <c r="N303" s="85"/>
      <c r="O303" s="85"/>
      <c r="P303" s="85"/>
      <c r="Q303" s="85"/>
      <c r="R303" s="43"/>
      <c r="S303" s="43"/>
      <c r="T303" s="43"/>
      <c r="U303" s="43"/>
      <c r="V303" s="43"/>
      <c r="W303" s="43"/>
      <c r="X303" s="43"/>
      <c r="Y303" s="43"/>
      <c r="Z303" s="43"/>
    </row>
    <row r="304">
      <c r="A304" s="89"/>
      <c r="B304" s="89"/>
      <c r="C304" s="89"/>
      <c r="D304" s="90"/>
      <c r="E304" s="91"/>
      <c r="F304" s="91"/>
      <c r="G304" s="91"/>
      <c r="H304" s="91"/>
      <c r="I304" s="85"/>
      <c r="J304" s="85"/>
      <c r="K304" s="85"/>
      <c r="L304" s="85"/>
      <c r="M304" s="85"/>
      <c r="N304" s="85"/>
      <c r="O304" s="85"/>
      <c r="P304" s="85"/>
      <c r="Q304" s="85"/>
      <c r="R304" s="43"/>
      <c r="S304" s="43"/>
      <c r="T304" s="43"/>
      <c r="U304" s="43"/>
      <c r="V304" s="43"/>
      <c r="W304" s="43"/>
      <c r="X304" s="43"/>
      <c r="Y304" s="43"/>
      <c r="Z304" s="43"/>
    </row>
    <row r="305">
      <c r="A305" s="89"/>
      <c r="B305" s="89"/>
      <c r="C305" s="89"/>
      <c r="D305" s="90"/>
      <c r="E305" s="91"/>
      <c r="F305" s="91"/>
      <c r="G305" s="91"/>
      <c r="H305" s="91"/>
      <c r="I305" s="85"/>
      <c r="J305" s="85"/>
      <c r="K305" s="85"/>
      <c r="L305" s="85"/>
      <c r="M305" s="85"/>
      <c r="N305" s="85"/>
      <c r="O305" s="85"/>
      <c r="P305" s="85"/>
      <c r="Q305" s="85"/>
      <c r="R305" s="43"/>
      <c r="S305" s="43"/>
      <c r="T305" s="43"/>
      <c r="U305" s="43"/>
      <c r="V305" s="43"/>
      <c r="W305" s="43"/>
      <c r="X305" s="43"/>
      <c r="Y305" s="43"/>
      <c r="Z305" s="43"/>
    </row>
    <row r="306">
      <c r="A306" s="89"/>
      <c r="B306" s="89"/>
      <c r="C306" s="89"/>
      <c r="D306" s="90"/>
      <c r="E306" s="91"/>
      <c r="F306" s="91"/>
      <c r="G306" s="91"/>
      <c r="H306" s="91"/>
      <c r="I306" s="85"/>
      <c r="J306" s="85"/>
      <c r="K306" s="85"/>
      <c r="L306" s="85"/>
      <c r="M306" s="85"/>
      <c r="N306" s="85"/>
      <c r="O306" s="85"/>
      <c r="P306" s="85"/>
      <c r="Q306" s="85"/>
      <c r="R306" s="43"/>
      <c r="S306" s="43"/>
      <c r="T306" s="43"/>
      <c r="U306" s="43"/>
      <c r="V306" s="43"/>
      <c r="W306" s="43"/>
      <c r="X306" s="43"/>
      <c r="Y306" s="43"/>
      <c r="Z306" s="43"/>
    </row>
    <row r="307">
      <c r="A307" s="89"/>
      <c r="B307" s="89"/>
      <c r="C307" s="89"/>
      <c r="D307" s="90"/>
      <c r="E307" s="91"/>
      <c r="F307" s="91"/>
      <c r="G307" s="91"/>
      <c r="H307" s="91"/>
      <c r="I307" s="85"/>
      <c r="J307" s="85"/>
      <c r="K307" s="85"/>
      <c r="L307" s="85"/>
      <c r="M307" s="85"/>
      <c r="N307" s="85"/>
      <c r="O307" s="85"/>
      <c r="P307" s="85"/>
      <c r="Q307" s="85"/>
      <c r="R307" s="43"/>
      <c r="S307" s="43"/>
      <c r="T307" s="43"/>
      <c r="U307" s="43"/>
      <c r="V307" s="43"/>
      <c r="W307" s="43"/>
      <c r="X307" s="43"/>
      <c r="Y307" s="43"/>
      <c r="Z307" s="43"/>
    </row>
    <row r="308">
      <c r="A308" s="89"/>
      <c r="B308" s="89"/>
      <c r="C308" s="89"/>
      <c r="D308" s="90"/>
      <c r="E308" s="91"/>
      <c r="F308" s="91"/>
      <c r="G308" s="91"/>
      <c r="H308" s="91"/>
      <c r="I308" s="85"/>
      <c r="J308" s="85"/>
      <c r="K308" s="85"/>
      <c r="L308" s="85"/>
      <c r="M308" s="85"/>
      <c r="N308" s="85"/>
      <c r="O308" s="85"/>
      <c r="P308" s="85"/>
      <c r="Q308" s="85"/>
      <c r="R308" s="43"/>
      <c r="S308" s="43"/>
      <c r="T308" s="43"/>
      <c r="U308" s="43"/>
      <c r="V308" s="43"/>
      <c r="W308" s="43"/>
      <c r="X308" s="43"/>
      <c r="Y308" s="43"/>
      <c r="Z308" s="43"/>
    </row>
    <row r="309">
      <c r="A309" s="89"/>
      <c r="B309" s="89"/>
      <c r="C309" s="89"/>
      <c r="D309" s="90"/>
      <c r="E309" s="91"/>
      <c r="F309" s="91"/>
      <c r="G309" s="91"/>
      <c r="H309" s="91"/>
      <c r="I309" s="85"/>
      <c r="J309" s="85"/>
      <c r="K309" s="85"/>
      <c r="L309" s="85"/>
      <c r="M309" s="85"/>
      <c r="N309" s="85"/>
      <c r="O309" s="85"/>
      <c r="P309" s="85"/>
      <c r="Q309" s="85"/>
      <c r="R309" s="43"/>
      <c r="S309" s="43"/>
      <c r="T309" s="43"/>
      <c r="U309" s="43"/>
      <c r="V309" s="43"/>
      <c r="W309" s="43"/>
      <c r="X309" s="43"/>
      <c r="Y309" s="43"/>
      <c r="Z309" s="43"/>
    </row>
    <row r="310">
      <c r="A310" s="89"/>
      <c r="B310" s="89"/>
      <c r="C310" s="89"/>
      <c r="D310" s="90"/>
      <c r="E310" s="91"/>
      <c r="F310" s="91"/>
      <c r="G310" s="91"/>
      <c r="H310" s="91"/>
      <c r="I310" s="85"/>
      <c r="J310" s="85"/>
      <c r="K310" s="85"/>
      <c r="L310" s="85"/>
      <c r="M310" s="85"/>
      <c r="N310" s="85"/>
      <c r="O310" s="85"/>
      <c r="P310" s="85"/>
      <c r="Q310" s="85"/>
      <c r="R310" s="43"/>
      <c r="S310" s="43"/>
      <c r="T310" s="43"/>
      <c r="U310" s="43"/>
      <c r="V310" s="43"/>
      <c r="W310" s="43"/>
      <c r="X310" s="43"/>
      <c r="Y310" s="43"/>
      <c r="Z310" s="43"/>
    </row>
    <row r="311">
      <c r="A311" s="89"/>
      <c r="B311" s="89"/>
      <c r="C311" s="89"/>
      <c r="D311" s="90"/>
      <c r="E311" s="91"/>
      <c r="F311" s="91"/>
      <c r="G311" s="91"/>
      <c r="H311" s="91"/>
      <c r="I311" s="85"/>
      <c r="J311" s="85"/>
      <c r="K311" s="85"/>
      <c r="L311" s="85"/>
      <c r="M311" s="85"/>
      <c r="N311" s="85"/>
      <c r="O311" s="85"/>
      <c r="P311" s="85"/>
      <c r="Q311" s="85"/>
      <c r="R311" s="43"/>
      <c r="S311" s="43"/>
      <c r="T311" s="43"/>
      <c r="U311" s="43"/>
      <c r="V311" s="43"/>
      <c r="W311" s="43"/>
      <c r="X311" s="43"/>
      <c r="Y311" s="43"/>
      <c r="Z311" s="43"/>
    </row>
    <row r="312">
      <c r="A312" s="89"/>
      <c r="B312" s="89"/>
      <c r="C312" s="89"/>
      <c r="D312" s="90"/>
      <c r="E312" s="91"/>
      <c r="F312" s="91"/>
      <c r="G312" s="91"/>
      <c r="H312" s="91"/>
      <c r="I312" s="85"/>
      <c r="J312" s="85"/>
      <c r="K312" s="85"/>
      <c r="L312" s="85"/>
      <c r="M312" s="85"/>
      <c r="N312" s="85"/>
      <c r="O312" s="85"/>
      <c r="P312" s="85"/>
      <c r="Q312" s="85"/>
      <c r="R312" s="43"/>
      <c r="S312" s="43"/>
      <c r="T312" s="43"/>
      <c r="U312" s="43"/>
      <c r="V312" s="43"/>
      <c r="W312" s="43"/>
      <c r="X312" s="43"/>
      <c r="Y312" s="43"/>
      <c r="Z312" s="43"/>
    </row>
    <row r="313">
      <c r="A313" s="89"/>
      <c r="B313" s="89"/>
      <c r="C313" s="89"/>
      <c r="D313" s="90"/>
      <c r="E313" s="91"/>
      <c r="F313" s="91"/>
      <c r="G313" s="91"/>
      <c r="H313" s="91"/>
      <c r="I313" s="85"/>
      <c r="J313" s="85"/>
      <c r="K313" s="85"/>
      <c r="L313" s="85"/>
      <c r="M313" s="85"/>
      <c r="N313" s="85"/>
      <c r="O313" s="85"/>
      <c r="P313" s="85"/>
      <c r="Q313" s="85"/>
      <c r="R313" s="43"/>
      <c r="S313" s="43"/>
      <c r="T313" s="43"/>
      <c r="U313" s="43"/>
      <c r="V313" s="43"/>
      <c r="W313" s="43"/>
      <c r="X313" s="43"/>
      <c r="Y313" s="43"/>
      <c r="Z313" s="43"/>
    </row>
    <row r="314">
      <c r="A314" s="89"/>
      <c r="B314" s="89"/>
      <c r="C314" s="89"/>
      <c r="D314" s="90"/>
      <c r="E314" s="91"/>
      <c r="F314" s="91"/>
      <c r="G314" s="91"/>
      <c r="H314" s="91"/>
      <c r="I314" s="85"/>
      <c r="J314" s="85"/>
      <c r="K314" s="85"/>
      <c r="L314" s="85"/>
      <c r="M314" s="85"/>
      <c r="N314" s="85"/>
      <c r="O314" s="85"/>
      <c r="P314" s="85"/>
      <c r="Q314" s="85"/>
      <c r="R314" s="43"/>
      <c r="S314" s="43"/>
      <c r="T314" s="43"/>
      <c r="U314" s="43"/>
      <c r="V314" s="43"/>
      <c r="W314" s="43"/>
      <c r="X314" s="43"/>
      <c r="Y314" s="43"/>
      <c r="Z314" s="43"/>
    </row>
    <row r="315">
      <c r="A315" s="89"/>
      <c r="B315" s="89"/>
      <c r="C315" s="89"/>
      <c r="D315" s="90"/>
      <c r="E315" s="91"/>
      <c r="F315" s="91"/>
      <c r="G315" s="91"/>
      <c r="H315" s="91"/>
      <c r="I315" s="85"/>
      <c r="J315" s="85"/>
      <c r="K315" s="85"/>
      <c r="L315" s="85"/>
      <c r="M315" s="85"/>
      <c r="N315" s="85"/>
      <c r="O315" s="85"/>
      <c r="P315" s="85"/>
      <c r="Q315" s="85"/>
      <c r="R315" s="43"/>
      <c r="S315" s="43"/>
      <c r="T315" s="43"/>
      <c r="U315" s="43"/>
      <c r="V315" s="43"/>
      <c r="W315" s="43"/>
      <c r="X315" s="43"/>
      <c r="Y315" s="43"/>
      <c r="Z315" s="43"/>
    </row>
    <row r="316">
      <c r="A316" s="89"/>
      <c r="B316" s="89"/>
      <c r="C316" s="89"/>
      <c r="D316" s="90"/>
      <c r="E316" s="91"/>
      <c r="F316" s="91"/>
      <c r="G316" s="91"/>
      <c r="H316" s="91"/>
      <c r="I316" s="85"/>
      <c r="J316" s="85"/>
      <c r="K316" s="85"/>
      <c r="L316" s="85"/>
      <c r="M316" s="85"/>
      <c r="N316" s="85"/>
      <c r="O316" s="85"/>
      <c r="P316" s="85"/>
      <c r="Q316" s="85"/>
      <c r="R316" s="43"/>
      <c r="S316" s="43"/>
      <c r="T316" s="43"/>
      <c r="U316" s="43"/>
      <c r="V316" s="43"/>
      <c r="W316" s="43"/>
      <c r="X316" s="43"/>
      <c r="Y316" s="43"/>
      <c r="Z316" s="43"/>
    </row>
    <row r="317">
      <c r="A317" s="89"/>
      <c r="B317" s="89"/>
      <c r="C317" s="89"/>
      <c r="D317" s="90"/>
      <c r="E317" s="91"/>
      <c r="F317" s="91"/>
      <c r="G317" s="91"/>
      <c r="H317" s="91"/>
      <c r="I317" s="85"/>
      <c r="J317" s="85"/>
      <c r="K317" s="85"/>
      <c r="L317" s="85"/>
      <c r="M317" s="85"/>
      <c r="N317" s="85"/>
      <c r="O317" s="85"/>
      <c r="P317" s="85"/>
      <c r="Q317" s="85"/>
      <c r="R317" s="43"/>
      <c r="S317" s="43"/>
      <c r="T317" s="43"/>
      <c r="U317" s="43"/>
      <c r="V317" s="43"/>
      <c r="W317" s="43"/>
      <c r="X317" s="43"/>
      <c r="Y317" s="43"/>
      <c r="Z317" s="43"/>
    </row>
    <row r="318">
      <c r="A318" s="89"/>
      <c r="B318" s="89"/>
      <c r="C318" s="89"/>
      <c r="D318" s="90"/>
      <c r="E318" s="91"/>
      <c r="F318" s="91"/>
      <c r="G318" s="91"/>
      <c r="H318" s="91"/>
      <c r="I318" s="85"/>
      <c r="J318" s="85"/>
      <c r="K318" s="85"/>
      <c r="L318" s="85"/>
      <c r="M318" s="85"/>
      <c r="N318" s="85"/>
      <c r="O318" s="85"/>
      <c r="P318" s="85"/>
      <c r="Q318" s="85"/>
      <c r="R318" s="43"/>
      <c r="S318" s="43"/>
      <c r="T318" s="43"/>
      <c r="U318" s="43"/>
      <c r="V318" s="43"/>
      <c r="W318" s="43"/>
      <c r="X318" s="43"/>
      <c r="Y318" s="43"/>
      <c r="Z318" s="43"/>
    </row>
    <row r="319">
      <c r="A319" s="89"/>
      <c r="B319" s="89"/>
      <c r="C319" s="89"/>
      <c r="D319" s="90"/>
      <c r="E319" s="91"/>
      <c r="F319" s="91"/>
      <c r="G319" s="91"/>
      <c r="H319" s="91"/>
      <c r="I319" s="85"/>
      <c r="J319" s="85"/>
      <c r="K319" s="85"/>
      <c r="L319" s="85"/>
      <c r="M319" s="85"/>
      <c r="N319" s="85"/>
      <c r="O319" s="85"/>
      <c r="P319" s="85"/>
      <c r="Q319" s="85"/>
      <c r="R319" s="43"/>
      <c r="S319" s="43"/>
      <c r="T319" s="43"/>
      <c r="U319" s="43"/>
      <c r="V319" s="43"/>
      <c r="W319" s="43"/>
      <c r="X319" s="43"/>
      <c r="Y319" s="43"/>
      <c r="Z319" s="43"/>
    </row>
    <row r="320">
      <c r="A320" s="89"/>
      <c r="B320" s="89"/>
      <c r="C320" s="89"/>
      <c r="D320" s="90"/>
      <c r="E320" s="91"/>
      <c r="F320" s="91"/>
      <c r="G320" s="91"/>
      <c r="H320" s="91"/>
      <c r="I320" s="85"/>
      <c r="J320" s="85"/>
      <c r="K320" s="85"/>
      <c r="L320" s="85"/>
      <c r="M320" s="85"/>
      <c r="N320" s="85"/>
      <c r="O320" s="85"/>
      <c r="P320" s="85"/>
      <c r="Q320" s="85"/>
      <c r="R320" s="43"/>
      <c r="S320" s="43"/>
      <c r="T320" s="43"/>
      <c r="U320" s="43"/>
      <c r="V320" s="43"/>
      <c r="W320" s="43"/>
      <c r="X320" s="43"/>
      <c r="Y320" s="43"/>
      <c r="Z320" s="43"/>
    </row>
    <row r="321">
      <c r="A321" s="89"/>
      <c r="B321" s="89"/>
      <c r="C321" s="89"/>
      <c r="D321" s="90"/>
      <c r="E321" s="91"/>
      <c r="F321" s="91"/>
      <c r="G321" s="91"/>
      <c r="H321" s="91"/>
      <c r="I321" s="85"/>
      <c r="J321" s="85"/>
      <c r="K321" s="85"/>
      <c r="L321" s="85"/>
      <c r="M321" s="85"/>
      <c r="N321" s="85"/>
      <c r="O321" s="85"/>
      <c r="P321" s="85"/>
      <c r="Q321" s="85"/>
      <c r="R321" s="43"/>
      <c r="S321" s="43"/>
      <c r="T321" s="43"/>
      <c r="U321" s="43"/>
      <c r="V321" s="43"/>
      <c r="W321" s="43"/>
      <c r="X321" s="43"/>
      <c r="Y321" s="43"/>
      <c r="Z321" s="43"/>
    </row>
    <row r="322">
      <c r="A322" s="89"/>
      <c r="B322" s="89"/>
      <c r="C322" s="89"/>
      <c r="D322" s="90"/>
      <c r="E322" s="91"/>
      <c r="F322" s="91"/>
      <c r="G322" s="91"/>
      <c r="H322" s="91"/>
      <c r="I322" s="85"/>
      <c r="J322" s="85"/>
      <c r="K322" s="85"/>
      <c r="L322" s="85"/>
      <c r="M322" s="85"/>
      <c r="N322" s="85"/>
      <c r="O322" s="85"/>
      <c r="P322" s="85"/>
      <c r="Q322" s="85"/>
      <c r="R322" s="43"/>
      <c r="S322" s="43"/>
      <c r="T322" s="43"/>
      <c r="U322" s="43"/>
      <c r="V322" s="43"/>
      <c r="W322" s="43"/>
      <c r="X322" s="43"/>
      <c r="Y322" s="43"/>
      <c r="Z322" s="43"/>
    </row>
    <row r="323">
      <c r="A323" s="89"/>
      <c r="B323" s="89"/>
      <c r="C323" s="89"/>
      <c r="D323" s="90"/>
      <c r="E323" s="91"/>
      <c r="F323" s="91"/>
      <c r="G323" s="91"/>
      <c r="H323" s="91"/>
      <c r="I323" s="85"/>
      <c r="J323" s="85"/>
      <c r="K323" s="85"/>
      <c r="L323" s="85"/>
      <c r="M323" s="85"/>
      <c r="N323" s="85"/>
      <c r="O323" s="85"/>
      <c r="P323" s="85"/>
      <c r="Q323" s="85"/>
      <c r="R323" s="43"/>
      <c r="S323" s="43"/>
      <c r="T323" s="43"/>
      <c r="U323" s="43"/>
      <c r="V323" s="43"/>
      <c r="W323" s="43"/>
      <c r="X323" s="43"/>
      <c r="Y323" s="43"/>
      <c r="Z323" s="43"/>
    </row>
    <row r="324">
      <c r="A324" s="89"/>
      <c r="B324" s="89"/>
      <c r="C324" s="89"/>
      <c r="D324" s="90"/>
      <c r="E324" s="91"/>
      <c r="F324" s="91"/>
      <c r="G324" s="91"/>
      <c r="H324" s="91"/>
      <c r="I324" s="85"/>
      <c r="J324" s="85"/>
      <c r="K324" s="85"/>
      <c r="L324" s="85"/>
      <c r="M324" s="85"/>
      <c r="N324" s="85"/>
      <c r="O324" s="85"/>
      <c r="P324" s="85"/>
      <c r="Q324" s="85"/>
      <c r="R324" s="43"/>
      <c r="S324" s="43"/>
      <c r="T324" s="43"/>
      <c r="U324" s="43"/>
      <c r="V324" s="43"/>
      <c r="W324" s="43"/>
      <c r="X324" s="43"/>
      <c r="Y324" s="43"/>
      <c r="Z324" s="43"/>
    </row>
    <row r="325">
      <c r="A325" s="89"/>
      <c r="B325" s="89"/>
      <c r="C325" s="89"/>
      <c r="D325" s="90"/>
      <c r="E325" s="91"/>
      <c r="F325" s="91"/>
      <c r="G325" s="91"/>
      <c r="H325" s="91"/>
      <c r="I325" s="85"/>
      <c r="J325" s="85"/>
      <c r="K325" s="85"/>
      <c r="L325" s="85"/>
      <c r="M325" s="85"/>
      <c r="N325" s="85"/>
      <c r="O325" s="85"/>
      <c r="P325" s="85"/>
      <c r="Q325" s="85"/>
      <c r="R325" s="43"/>
      <c r="S325" s="43"/>
      <c r="T325" s="43"/>
      <c r="U325" s="43"/>
      <c r="V325" s="43"/>
      <c r="W325" s="43"/>
      <c r="X325" s="43"/>
      <c r="Y325" s="43"/>
      <c r="Z325" s="43"/>
    </row>
    <row r="326">
      <c r="A326" s="89"/>
      <c r="B326" s="89"/>
      <c r="C326" s="89"/>
      <c r="D326" s="90"/>
      <c r="E326" s="91"/>
      <c r="F326" s="91"/>
      <c r="G326" s="91"/>
      <c r="H326" s="91"/>
      <c r="I326" s="85"/>
      <c r="J326" s="85"/>
      <c r="K326" s="85"/>
      <c r="L326" s="85"/>
      <c r="M326" s="85"/>
      <c r="N326" s="85"/>
      <c r="O326" s="85"/>
      <c r="P326" s="85"/>
      <c r="Q326" s="85"/>
      <c r="R326" s="43"/>
      <c r="S326" s="43"/>
      <c r="T326" s="43"/>
      <c r="U326" s="43"/>
      <c r="V326" s="43"/>
      <c r="W326" s="43"/>
      <c r="X326" s="43"/>
      <c r="Y326" s="43"/>
      <c r="Z326" s="43"/>
    </row>
    <row r="327">
      <c r="A327" s="89"/>
      <c r="B327" s="89"/>
      <c r="C327" s="89"/>
      <c r="D327" s="90"/>
      <c r="E327" s="91"/>
      <c r="F327" s="91"/>
      <c r="G327" s="91"/>
      <c r="H327" s="91"/>
      <c r="I327" s="85"/>
      <c r="J327" s="85"/>
      <c r="K327" s="85"/>
      <c r="L327" s="85"/>
      <c r="M327" s="85"/>
      <c r="N327" s="85"/>
      <c r="O327" s="85"/>
      <c r="P327" s="85"/>
      <c r="Q327" s="85"/>
      <c r="R327" s="43"/>
      <c r="S327" s="43"/>
      <c r="T327" s="43"/>
      <c r="U327" s="43"/>
      <c r="V327" s="43"/>
      <c r="W327" s="43"/>
      <c r="X327" s="43"/>
      <c r="Y327" s="43"/>
      <c r="Z327" s="43"/>
    </row>
    <row r="328">
      <c r="A328" s="89"/>
      <c r="B328" s="89"/>
      <c r="C328" s="89"/>
      <c r="D328" s="90"/>
      <c r="E328" s="91"/>
      <c r="F328" s="91"/>
      <c r="G328" s="91"/>
      <c r="H328" s="91"/>
      <c r="I328" s="85"/>
      <c r="J328" s="85"/>
      <c r="K328" s="85"/>
      <c r="L328" s="85"/>
      <c r="M328" s="85"/>
      <c r="N328" s="85"/>
      <c r="O328" s="85"/>
      <c r="P328" s="85"/>
      <c r="Q328" s="85"/>
      <c r="R328" s="43"/>
      <c r="S328" s="43"/>
      <c r="T328" s="43"/>
      <c r="U328" s="43"/>
      <c r="V328" s="43"/>
      <c r="W328" s="43"/>
      <c r="X328" s="43"/>
      <c r="Y328" s="43"/>
      <c r="Z328" s="43"/>
    </row>
    <row r="329">
      <c r="A329" s="89"/>
      <c r="B329" s="89"/>
      <c r="C329" s="89"/>
      <c r="D329" s="90"/>
      <c r="E329" s="91"/>
      <c r="F329" s="91"/>
      <c r="G329" s="91"/>
      <c r="H329" s="91"/>
      <c r="I329" s="85"/>
      <c r="J329" s="85"/>
      <c r="K329" s="85"/>
      <c r="L329" s="85"/>
      <c r="M329" s="85"/>
      <c r="N329" s="85"/>
      <c r="O329" s="85"/>
      <c r="P329" s="85"/>
      <c r="Q329" s="85"/>
      <c r="R329" s="43"/>
      <c r="S329" s="43"/>
      <c r="T329" s="43"/>
      <c r="U329" s="43"/>
      <c r="V329" s="43"/>
      <c r="W329" s="43"/>
      <c r="X329" s="43"/>
      <c r="Y329" s="43"/>
      <c r="Z329" s="43"/>
    </row>
    <row r="330">
      <c r="A330" s="89"/>
      <c r="B330" s="89"/>
      <c r="C330" s="89"/>
      <c r="D330" s="90"/>
      <c r="E330" s="91"/>
      <c r="F330" s="91"/>
      <c r="G330" s="91"/>
      <c r="H330" s="91"/>
      <c r="I330" s="85"/>
      <c r="J330" s="85"/>
      <c r="K330" s="85"/>
      <c r="L330" s="85"/>
      <c r="M330" s="85"/>
      <c r="N330" s="85"/>
      <c r="O330" s="85"/>
      <c r="P330" s="85"/>
      <c r="Q330" s="85"/>
      <c r="R330" s="43"/>
      <c r="S330" s="43"/>
      <c r="T330" s="43"/>
      <c r="U330" s="43"/>
      <c r="V330" s="43"/>
      <c r="W330" s="43"/>
      <c r="X330" s="43"/>
      <c r="Y330" s="43"/>
      <c r="Z330" s="43"/>
    </row>
    <row r="331">
      <c r="A331" s="89"/>
      <c r="B331" s="89"/>
      <c r="C331" s="89"/>
      <c r="D331" s="90"/>
      <c r="E331" s="91"/>
      <c r="F331" s="91"/>
      <c r="G331" s="91"/>
      <c r="H331" s="91"/>
      <c r="I331" s="85"/>
      <c r="J331" s="85"/>
      <c r="K331" s="85"/>
      <c r="L331" s="85"/>
      <c r="M331" s="85"/>
      <c r="N331" s="85"/>
      <c r="O331" s="85"/>
      <c r="P331" s="85"/>
      <c r="Q331" s="85"/>
      <c r="R331" s="43"/>
      <c r="S331" s="43"/>
      <c r="T331" s="43"/>
      <c r="U331" s="43"/>
      <c r="V331" s="43"/>
      <c r="W331" s="43"/>
      <c r="X331" s="43"/>
      <c r="Y331" s="43"/>
      <c r="Z331" s="43"/>
    </row>
    <row r="332">
      <c r="A332" s="89"/>
      <c r="B332" s="89"/>
      <c r="C332" s="89"/>
      <c r="D332" s="90"/>
      <c r="E332" s="91"/>
      <c r="F332" s="91"/>
      <c r="G332" s="91"/>
      <c r="H332" s="91"/>
      <c r="I332" s="85"/>
      <c r="J332" s="85"/>
      <c r="K332" s="85"/>
      <c r="L332" s="85"/>
      <c r="M332" s="85"/>
      <c r="N332" s="85"/>
      <c r="O332" s="85"/>
      <c r="P332" s="85"/>
      <c r="Q332" s="85"/>
      <c r="R332" s="43"/>
      <c r="S332" s="43"/>
      <c r="T332" s="43"/>
      <c r="U332" s="43"/>
      <c r="V332" s="43"/>
      <c r="W332" s="43"/>
      <c r="X332" s="43"/>
      <c r="Y332" s="43"/>
      <c r="Z332" s="43"/>
    </row>
    <row r="333">
      <c r="A333" s="89"/>
      <c r="B333" s="89"/>
      <c r="C333" s="89"/>
      <c r="D333" s="90"/>
      <c r="E333" s="91"/>
      <c r="F333" s="91"/>
      <c r="G333" s="91"/>
      <c r="H333" s="91"/>
      <c r="I333" s="85"/>
      <c r="J333" s="85"/>
      <c r="K333" s="85"/>
      <c r="L333" s="85"/>
      <c r="M333" s="85"/>
      <c r="N333" s="85"/>
      <c r="O333" s="85"/>
      <c r="P333" s="85"/>
      <c r="Q333" s="85"/>
      <c r="R333" s="43"/>
      <c r="S333" s="43"/>
      <c r="T333" s="43"/>
      <c r="U333" s="43"/>
      <c r="V333" s="43"/>
      <c r="W333" s="43"/>
      <c r="X333" s="43"/>
      <c r="Y333" s="43"/>
      <c r="Z333" s="43"/>
    </row>
    <row r="334">
      <c r="A334" s="89"/>
      <c r="B334" s="89"/>
      <c r="C334" s="89"/>
      <c r="D334" s="90"/>
      <c r="E334" s="91"/>
      <c r="F334" s="91"/>
      <c r="G334" s="91"/>
      <c r="H334" s="91"/>
      <c r="I334" s="85"/>
      <c r="J334" s="85"/>
      <c r="K334" s="85"/>
      <c r="L334" s="85"/>
      <c r="M334" s="85"/>
      <c r="N334" s="85"/>
      <c r="O334" s="85"/>
      <c r="P334" s="85"/>
      <c r="Q334" s="85"/>
      <c r="R334" s="43"/>
      <c r="S334" s="43"/>
      <c r="T334" s="43"/>
      <c r="U334" s="43"/>
      <c r="V334" s="43"/>
      <c r="W334" s="43"/>
      <c r="X334" s="43"/>
      <c r="Y334" s="43"/>
      <c r="Z334" s="43"/>
    </row>
    <row r="335">
      <c r="A335" s="89"/>
      <c r="B335" s="89"/>
      <c r="C335" s="89"/>
      <c r="D335" s="90"/>
      <c r="E335" s="91"/>
      <c r="F335" s="91"/>
      <c r="G335" s="91"/>
      <c r="H335" s="91"/>
      <c r="I335" s="85"/>
      <c r="J335" s="85"/>
      <c r="K335" s="85"/>
      <c r="L335" s="85"/>
      <c r="M335" s="85"/>
      <c r="N335" s="85"/>
      <c r="O335" s="85"/>
      <c r="P335" s="85"/>
      <c r="Q335" s="85"/>
      <c r="R335" s="43"/>
      <c r="S335" s="43"/>
      <c r="T335" s="43"/>
      <c r="U335" s="43"/>
      <c r="V335" s="43"/>
      <c r="W335" s="43"/>
      <c r="X335" s="43"/>
      <c r="Y335" s="43"/>
      <c r="Z335" s="43"/>
    </row>
    <row r="336">
      <c r="A336" s="89"/>
      <c r="B336" s="89"/>
      <c r="C336" s="89"/>
      <c r="D336" s="90"/>
      <c r="E336" s="91"/>
      <c r="F336" s="91"/>
      <c r="G336" s="91"/>
      <c r="H336" s="91"/>
      <c r="I336" s="85"/>
      <c r="J336" s="85"/>
      <c r="K336" s="85"/>
      <c r="L336" s="85"/>
      <c r="M336" s="85"/>
      <c r="N336" s="85"/>
      <c r="O336" s="85"/>
      <c r="P336" s="85"/>
      <c r="Q336" s="85"/>
      <c r="R336" s="43"/>
      <c r="S336" s="43"/>
      <c r="T336" s="43"/>
      <c r="U336" s="43"/>
      <c r="V336" s="43"/>
      <c r="W336" s="43"/>
      <c r="X336" s="43"/>
      <c r="Y336" s="43"/>
      <c r="Z336" s="43"/>
    </row>
    <row r="337">
      <c r="A337" s="89"/>
      <c r="B337" s="89"/>
      <c r="C337" s="89"/>
      <c r="D337" s="90"/>
      <c r="E337" s="91"/>
      <c r="F337" s="91"/>
      <c r="G337" s="91"/>
      <c r="H337" s="91"/>
      <c r="I337" s="85"/>
      <c r="J337" s="85"/>
      <c r="K337" s="85"/>
      <c r="L337" s="85"/>
      <c r="M337" s="85"/>
      <c r="N337" s="85"/>
      <c r="O337" s="85"/>
      <c r="P337" s="85"/>
      <c r="Q337" s="85"/>
      <c r="R337" s="43"/>
      <c r="S337" s="43"/>
      <c r="T337" s="43"/>
      <c r="U337" s="43"/>
      <c r="V337" s="43"/>
      <c r="W337" s="43"/>
      <c r="X337" s="43"/>
      <c r="Y337" s="43"/>
      <c r="Z337" s="43"/>
    </row>
    <row r="338">
      <c r="A338" s="89"/>
      <c r="B338" s="89"/>
      <c r="C338" s="89"/>
      <c r="D338" s="90"/>
      <c r="E338" s="91"/>
      <c r="F338" s="91"/>
      <c r="G338" s="91"/>
      <c r="H338" s="91"/>
      <c r="I338" s="85"/>
      <c r="J338" s="85"/>
      <c r="K338" s="85"/>
      <c r="L338" s="85"/>
      <c r="M338" s="85"/>
      <c r="N338" s="85"/>
      <c r="O338" s="85"/>
      <c r="P338" s="85"/>
      <c r="Q338" s="85"/>
      <c r="R338" s="43"/>
      <c r="S338" s="43"/>
      <c r="T338" s="43"/>
      <c r="U338" s="43"/>
      <c r="V338" s="43"/>
      <c r="W338" s="43"/>
      <c r="X338" s="43"/>
      <c r="Y338" s="43"/>
      <c r="Z338" s="43"/>
    </row>
    <row r="339">
      <c r="A339" s="89"/>
      <c r="B339" s="89"/>
      <c r="C339" s="89"/>
      <c r="D339" s="90"/>
      <c r="E339" s="91"/>
      <c r="F339" s="91"/>
      <c r="G339" s="91"/>
      <c r="H339" s="91"/>
      <c r="I339" s="85"/>
      <c r="J339" s="85"/>
      <c r="K339" s="85"/>
      <c r="L339" s="85"/>
      <c r="M339" s="85"/>
      <c r="N339" s="85"/>
      <c r="O339" s="85"/>
      <c r="P339" s="85"/>
      <c r="Q339" s="85"/>
      <c r="R339" s="43"/>
      <c r="S339" s="43"/>
      <c r="T339" s="43"/>
      <c r="U339" s="43"/>
      <c r="V339" s="43"/>
      <c r="W339" s="43"/>
      <c r="X339" s="43"/>
      <c r="Y339" s="43"/>
      <c r="Z339" s="43"/>
    </row>
    <row r="340">
      <c r="A340" s="89"/>
      <c r="B340" s="89"/>
      <c r="C340" s="89"/>
      <c r="D340" s="90"/>
      <c r="E340" s="91"/>
      <c r="F340" s="91"/>
      <c r="G340" s="91"/>
      <c r="H340" s="91"/>
      <c r="I340" s="85"/>
      <c r="J340" s="85"/>
      <c r="K340" s="85"/>
      <c r="L340" s="85"/>
      <c r="M340" s="85"/>
      <c r="N340" s="85"/>
      <c r="O340" s="85"/>
      <c r="P340" s="85"/>
      <c r="Q340" s="85"/>
      <c r="R340" s="43"/>
      <c r="S340" s="43"/>
      <c r="T340" s="43"/>
      <c r="U340" s="43"/>
      <c r="V340" s="43"/>
      <c r="W340" s="43"/>
      <c r="X340" s="43"/>
      <c r="Y340" s="43"/>
      <c r="Z340" s="43"/>
    </row>
    <row r="341">
      <c r="A341" s="89"/>
      <c r="B341" s="89"/>
      <c r="C341" s="89"/>
      <c r="D341" s="90"/>
      <c r="E341" s="91"/>
      <c r="F341" s="91"/>
      <c r="G341" s="91"/>
      <c r="H341" s="91"/>
      <c r="I341" s="85"/>
      <c r="J341" s="85"/>
      <c r="K341" s="85"/>
      <c r="L341" s="85"/>
      <c r="M341" s="85"/>
      <c r="N341" s="85"/>
      <c r="O341" s="85"/>
      <c r="P341" s="85"/>
      <c r="Q341" s="85"/>
      <c r="R341" s="43"/>
      <c r="S341" s="43"/>
      <c r="T341" s="43"/>
      <c r="U341" s="43"/>
      <c r="V341" s="43"/>
      <c r="W341" s="43"/>
      <c r="X341" s="43"/>
      <c r="Y341" s="43"/>
      <c r="Z341" s="43"/>
    </row>
    <row r="342">
      <c r="A342" s="89"/>
      <c r="B342" s="89"/>
      <c r="C342" s="89"/>
      <c r="D342" s="90"/>
      <c r="E342" s="91"/>
      <c r="F342" s="91"/>
      <c r="G342" s="91"/>
      <c r="H342" s="91"/>
      <c r="I342" s="85"/>
      <c r="J342" s="85"/>
      <c r="K342" s="85"/>
      <c r="L342" s="85"/>
      <c r="M342" s="85"/>
      <c r="N342" s="85"/>
      <c r="O342" s="85"/>
      <c r="P342" s="85"/>
      <c r="Q342" s="85"/>
      <c r="R342" s="43"/>
      <c r="S342" s="43"/>
      <c r="T342" s="43"/>
      <c r="U342" s="43"/>
      <c r="V342" s="43"/>
      <c r="W342" s="43"/>
      <c r="X342" s="43"/>
      <c r="Y342" s="43"/>
      <c r="Z342" s="43"/>
    </row>
    <row r="343">
      <c r="A343" s="89"/>
      <c r="B343" s="89"/>
      <c r="C343" s="89"/>
      <c r="D343" s="90"/>
      <c r="E343" s="91"/>
      <c r="F343" s="91"/>
      <c r="G343" s="91"/>
      <c r="H343" s="91"/>
      <c r="I343" s="85"/>
      <c r="J343" s="85"/>
      <c r="K343" s="85"/>
      <c r="L343" s="85"/>
      <c r="M343" s="85"/>
      <c r="N343" s="85"/>
      <c r="O343" s="85"/>
      <c r="P343" s="85"/>
      <c r="Q343" s="85"/>
      <c r="R343" s="43"/>
      <c r="S343" s="43"/>
      <c r="T343" s="43"/>
      <c r="U343" s="43"/>
      <c r="V343" s="43"/>
      <c r="W343" s="43"/>
      <c r="X343" s="43"/>
      <c r="Y343" s="43"/>
      <c r="Z343" s="43"/>
    </row>
    <row r="344">
      <c r="A344" s="89"/>
      <c r="B344" s="89"/>
      <c r="C344" s="89"/>
      <c r="D344" s="90"/>
      <c r="E344" s="91"/>
      <c r="F344" s="91"/>
      <c r="G344" s="91"/>
      <c r="H344" s="91"/>
      <c r="I344" s="85"/>
      <c r="J344" s="85"/>
      <c r="K344" s="85"/>
      <c r="L344" s="85"/>
      <c r="M344" s="85"/>
      <c r="N344" s="85"/>
      <c r="O344" s="85"/>
      <c r="P344" s="85"/>
      <c r="Q344" s="85"/>
      <c r="R344" s="43"/>
      <c r="S344" s="43"/>
      <c r="T344" s="43"/>
      <c r="U344" s="43"/>
      <c r="V344" s="43"/>
      <c r="W344" s="43"/>
      <c r="X344" s="43"/>
      <c r="Y344" s="43"/>
      <c r="Z344" s="43"/>
    </row>
    <row r="345">
      <c r="A345" s="89"/>
      <c r="B345" s="89"/>
      <c r="C345" s="89"/>
      <c r="D345" s="90"/>
      <c r="E345" s="91"/>
      <c r="F345" s="91"/>
      <c r="G345" s="91"/>
      <c r="H345" s="91"/>
      <c r="I345" s="85"/>
      <c r="J345" s="85"/>
      <c r="K345" s="85"/>
      <c r="L345" s="85"/>
      <c r="M345" s="85"/>
      <c r="N345" s="85"/>
      <c r="O345" s="85"/>
      <c r="P345" s="85"/>
      <c r="Q345" s="85"/>
      <c r="R345" s="43"/>
      <c r="S345" s="43"/>
      <c r="T345" s="43"/>
      <c r="U345" s="43"/>
      <c r="V345" s="43"/>
      <c r="W345" s="43"/>
      <c r="X345" s="43"/>
      <c r="Y345" s="43"/>
      <c r="Z345" s="43"/>
    </row>
    <row r="346">
      <c r="A346" s="89"/>
      <c r="B346" s="89"/>
      <c r="C346" s="89"/>
      <c r="D346" s="90"/>
      <c r="E346" s="91"/>
      <c r="F346" s="91"/>
      <c r="G346" s="91"/>
      <c r="H346" s="91"/>
      <c r="I346" s="85"/>
      <c r="J346" s="85"/>
      <c r="K346" s="85"/>
      <c r="L346" s="85"/>
      <c r="M346" s="85"/>
      <c r="N346" s="85"/>
      <c r="O346" s="85"/>
      <c r="P346" s="85"/>
      <c r="Q346" s="85"/>
      <c r="R346" s="43"/>
      <c r="S346" s="43"/>
      <c r="T346" s="43"/>
      <c r="U346" s="43"/>
      <c r="V346" s="43"/>
      <c r="W346" s="43"/>
      <c r="X346" s="43"/>
      <c r="Y346" s="43"/>
      <c r="Z346" s="43"/>
    </row>
    <row r="347">
      <c r="A347" s="89"/>
      <c r="B347" s="89"/>
      <c r="C347" s="89"/>
      <c r="D347" s="90"/>
      <c r="E347" s="91"/>
      <c r="F347" s="91"/>
      <c r="G347" s="91"/>
      <c r="H347" s="91"/>
      <c r="I347" s="85"/>
      <c r="J347" s="85"/>
      <c r="K347" s="85"/>
      <c r="L347" s="85"/>
      <c r="M347" s="85"/>
      <c r="N347" s="85"/>
      <c r="O347" s="85"/>
      <c r="P347" s="85"/>
      <c r="Q347" s="85"/>
      <c r="R347" s="43"/>
      <c r="S347" s="43"/>
      <c r="T347" s="43"/>
      <c r="U347" s="43"/>
      <c r="V347" s="43"/>
      <c r="W347" s="43"/>
      <c r="X347" s="43"/>
      <c r="Y347" s="43"/>
      <c r="Z347" s="43"/>
    </row>
    <row r="348">
      <c r="A348" s="89"/>
      <c r="B348" s="89"/>
      <c r="C348" s="89"/>
      <c r="D348" s="90"/>
      <c r="E348" s="91"/>
      <c r="F348" s="91"/>
      <c r="G348" s="91"/>
      <c r="H348" s="91"/>
      <c r="I348" s="85"/>
      <c r="J348" s="85"/>
      <c r="K348" s="85"/>
      <c r="L348" s="85"/>
      <c r="M348" s="85"/>
      <c r="N348" s="85"/>
      <c r="O348" s="85"/>
      <c r="P348" s="85"/>
      <c r="Q348" s="85"/>
      <c r="R348" s="43"/>
      <c r="S348" s="43"/>
      <c r="T348" s="43"/>
      <c r="U348" s="43"/>
      <c r="V348" s="43"/>
      <c r="W348" s="43"/>
      <c r="X348" s="43"/>
      <c r="Y348" s="43"/>
      <c r="Z348" s="43"/>
    </row>
    <row r="349">
      <c r="A349" s="89"/>
      <c r="B349" s="89"/>
      <c r="C349" s="89"/>
      <c r="D349" s="90"/>
      <c r="E349" s="91"/>
      <c r="F349" s="91"/>
      <c r="G349" s="91"/>
      <c r="H349" s="91"/>
      <c r="I349" s="85"/>
      <c r="J349" s="85"/>
      <c r="K349" s="85"/>
      <c r="L349" s="85"/>
      <c r="M349" s="85"/>
      <c r="N349" s="85"/>
      <c r="O349" s="85"/>
      <c r="P349" s="85"/>
      <c r="Q349" s="85"/>
      <c r="R349" s="43"/>
      <c r="S349" s="43"/>
      <c r="T349" s="43"/>
      <c r="U349" s="43"/>
      <c r="V349" s="43"/>
      <c r="W349" s="43"/>
      <c r="X349" s="43"/>
      <c r="Y349" s="43"/>
      <c r="Z349" s="43"/>
    </row>
    <row r="350">
      <c r="A350" s="89"/>
      <c r="B350" s="89"/>
      <c r="C350" s="89"/>
      <c r="D350" s="90"/>
      <c r="E350" s="91"/>
      <c r="F350" s="91"/>
      <c r="G350" s="91"/>
      <c r="H350" s="91"/>
      <c r="I350" s="85"/>
      <c r="J350" s="85"/>
      <c r="K350" s="85"/>
      <c r="L350" s="85"/>
      <c r="M350" s="85"/>
      <c r="N350" s="85"/>
      <c r="O350" s="85"/>
      <c r="P350" s="85"/>
      <c r="Q350" s="85"/>
      <c r="R350" s="43"/>
      <c r="S350" s="43"/>
      <c r="T350" s="43"/>
      <c r="U350" s="43"/>
      <c r="V350" s="43"/>
      <c r="W350" s="43"/>
      <c r="X350" s="43"/>
      <c r="Y350" s="43"/>
      <c r="Z350" s="43"/>
    </row>
    <row r="351">
      <c r="A351" s="89"/>
      <c r="B351" s="89"/>
      <c r="C351" s="89"/>
      <c r="D351" s="90"/>
      <c r="E351" s="91"/>
      <c r="F351" s="91"/>
      <c r="G351" s="91"/>
      <c r="H351" s="91"/>
      <c r="I351" s="85"/>
      <c r="J351" s="85"/>
      <c r="K351" s="85"/>
      <c r="L351" s="85"/>
      <c r="M351" s="85"/>
      <c r="N351" s="85"/>
      <c r="O351" s="85"/>
      <c r="P351" s="85"/>
      <c r="Q351" s="85"/>
      <c r="R351" s="43"/>
      <c r="S351" s="43"/>
      <c r="T351" s="43"/>
      <c r="U351" s="43"/>
      <c r="V351" s="43"/>
      <c r="W351" s="43"/>
      <c r="X351" s="43"/>
      <c r="Y351" s="43"/>
      <c r="Z351" s="43"/>
    </row>
    <row r="352">
      <c r="A352" s="89"/>
      <c r="B352" s="89"/>
      <c r="C352" s="89"/>
      <c r="D352" s="90"/>
      <c r="E352" s="91"/>
      <c r="F352" s="91"/>
      <c r="G352" s="91"/>
      <c r="H352" s="91"/>
      <c r="I352" s="85"/>
      <c r="J352" s="85"/>
      <c r="K352" s="85"/>
      <c r="L352" s="85"/>
      <c r="M352" s="85"/>
      <c r="N352" s="85"/>
      <c r="O352" s="85"/>
      <c r="P352" s="85"/>
      <c r="Q352" s="85"/>
      <c r="R352" s="43"/>
      <c r="S352" s="43"/>
      <c r="T352" s="43"/>
      <c r="U352" s="43"/>
      <c r="V352" s="43"/>
      <c r="W352" s="43"/>
      <c r="X352" s="43"/>
      <c r="Y352" s="43"/>
      <c r="Z352" s="43"/>
    </row>
    <row r="353">
      <c r="A353" s="89"/>
      <c r="B353" s="89"/>
      <c r="C353" s="89"/>
      <c r="D353" s="90"/>
      <c r="E353" s="91"/>
      <c r="F353" s="91"/>
      <c r="G353" s="91"/>
      <c r="H353" s="91"/>
      <c r="I353" s="85"/>
      <c r="J353" s="85"/>
      <c r="K353" s="85"/>
      <c r="L353" s="85"/>
      <c r="M353" s="85"/>
      <c r="N353" s="85"/>
      <c r="O353" s="85"/>
      <c r="P353" s="85"/>
      <c r="Q353" s="85"/>
      <c r="R353" s="43"/>
      <c r="S353" s="43"/>
      <c r="T353" s="43"/>
      <c r="U353" s="43"/>
      <c r="V353" s="43"/>
      <c r="W353" s="43"/>
      <c r="X353" s="43"/>
      <c r="Y353" s="43"/>
      <c r="Z353" s="43"/>
    </row>
    <row r="354">
      <c r="A354" s="89"/>
      <c r="B354" s="89"/>
      <c r="C354" s="89"/>
      <c r="D354" s="90"/>
      <c r="E354" s="91"/>
      <c r="F354" s="91"/>
      <c r="G354" s="91"/>
      <c r="H354" s="91"/>
      <c r="I354" s="85"/>
      <c r="J354" s="85"/>
      <c r="K354" s="85"/>
      <c r="L354" s="85"/>
      <c r="M354" s="85"/>
      <c r="N354" s="85"/>
      <c r="O354" s="85"/>
      <c r="P354" s="85"/>
      <c r="Q354" s="85"/>
      <c r="R354" s="43"/>
      <c r="S354" s="43"/>
      <c r="T354" s="43"/>
      <c r="U354" s="43"/>
      <c r="V354" s="43"/>
      <c r="W354" s="43"/>
      <c r="X354" s="43"/>
      <c r="Y354" s="43"/>
      <c r="Z354" s="43"/>
    </row>
    <row r="355">
      <c r="A355" s="89"/>
      <c r="B355" s="89"/>
      <c r="C355" s="89"/>
      <c r="D355" s="90"/>
      <c r="E355" s="91"/>
      <c r="F355" s="91"/>
      <c r="G355" s="91"/>
      <c r="H355" s="91"/>
      <c r="I355" s="85"/>
      <c r="J355" s="85"/>
      <c r="K355" s="85"/>
      <c r="L355" s="85"/>
      <c r="M355" s="85"/>
      <c r="N355" s="85"/>
      <c r="O355" s="85"/>
      <c r="P355" s="85"/>
      <c r="Q355" s="85"/>
      <c r="R355" s="43"/>
      <c r="S355" s="43"/>
      <c r="T355" s="43"/>
      <c r="U355" s="43"/>
      <c r="V355" s="43"/>
      <c r="W355" s="43"/>
      <c r="X355" s="43"/>
      <c r="Y355" s="43"/>
      <c r="Z355" s="43"/>
    </row>
    <row r="356">
      <c r="A356" s="89"/>
      <c r="B356" s="89"/>
      <c r="C356" s="89"/>
      <c r="D356" s="90"/>
      <c r="E356" s="91"/>
      <c r="F356" s="91"/>
      <c r="G356" s="91"/>
      <c r="H356" s="91"/>
      <c r="I356" s="85"/>
      <c r="J356" s="85"/>
      <c r="K356" s="85"/>
      <c r="L356" s="85"/>
      <c r="M356" s="85"/>
      <c r="N356" s="85"/>
      <c r="O356" s="85"/>
      <c r="P356" s="85"/>
      <c r="Q356" s="85"/>
      <c r="R356" s="43"/>
      <c r="S356" s="43"/>
      <c r="T356" s="43"/>
      <c r="U356" s="43"/>
      <c r="V356" s="43"/>
      <c r="W356" s="43"/>
      <c r="X356" s="43"/>
      <c r="Y356" s="43"/>
      <c r="Z356" s="43"/>
    </row>
    <row r="357">
      <c r="A357" s="89"/>
      <c r="B357" s="89"/>
      <c r="C357" s="89"/>
      <c r="D357" s="90"/>
      <c r="E357" s="91"/>
      <c r="F357" s="91"/>
      <c r="G357" s="91"/>
      <c r="H357" s="91"/>
      <c r="I357" s="85"/>
      <c r="J357" s="85"/>
      <c r="K357" s="85"/>
      <c r="L357" s="85"/>
      <c r="M357" s="85"/>
      <c r="N357" s="85"/>
      <c r="O357" s="85"/>
      <c r="P357" s="85"/>
      <c r="Q357" s="85"/>
      <c r="R357" s="43"/>
      <c r="S357" s="43"/>
      <c r="T357" s="43"/>
      <c r="U357" s="43"/>
      <c r="V357" s="43"/>
      <c r="W357" s="43"/>
      <c r="X357" s="43"/>
      <c r="Y357" s="43"/>
      <c r="Z357" s="43"/>
    </row>
    <row r="358">
      <c r="A358" s="89"/>
      <c r="B358" s="89"/>
      <c r="C358" s="89"/>
      <c r="D358" s="90"/>
      <c r="E358" s="91"/>
      <c r="F358" s="91"/>
      <c r="G358" s="91"/>
      <c r="H358" s="91"/>
      <c r="I358" s="85"/>
      <c r="J358" s="85"/>
      <c r="K358" s="85"/>
      <c r="L358" s="85"/>
      <c r="M358" s="85"/>
      <c r="N358" s="85"/>
      <c r="O358" s="85"/>
      <c r="P358" s="85"/>
      <c r="Q358" s="85"/>
      <c r="R358" s="43"/>
      <c r="S358" s="43"/>
      <c r="T358" s="43"/>
      <c r="U358" s="43"/>
      <c r="V358" s="43"/>
      <c r="W358" s="43"/>
      <c r="X358" s="43"/>
      <c r="Y358" s="43"/>
      <c r="Z358" s="43"/>
    </row>
    <row r="359">
      <c r="A359" s="89"/>
      <c r="B359" s="89"/>
      <c r="C359" s="89"/>
      <c r="D359" s="90"/>
      <c r="E359" s="91"/>
      <c r="F359" s="91"/>
      <c r="G359" s="91"/>
      <c r="H359" s="91"/>
      <c r="I359" s="85"/>
      <c r="J359" s="85"/>
      <c r="K359" s="85"/>
      <c r="L359" s="85"/>
      <c r="M359" s="85"/>
      <c r="N359" s="85"/>
      <c r="O359" s="85"/>
      <c r="P359" s="85"/>
      <c r="Q359" s="85"/>
      <c r="R359" s="43"/>
      <c r="S359" s="43"/>
      <c r="T359" s="43"/>
      <c r="U359" s="43"/>
      <c r="V359" s="43"/>
      <c r="W359" s="43"/>
      <c r="X359" s="43"/>
      <c r="Y359" s="43"/>
      <c r="Z359" s="43"/>
    </row>
    <row r="360">
      <c r="A360" s="89"/>
      <c r="B360" s="89"/>
      <c r="C360" s="89"/>
      <c r="D360" s="90"/>
      <c r="E360" s="91"/>
      <c r="F360" s="91"/>
      <c r="G360" s="91"/>
      <c r="H360" s="91"/>
      <c r="I360" s="85"/>
      <c r="J360" s="85"/>
      <c r="K360" s="85"/>
      <c r="L360" s="85"/>
      <c r="M360" s="85"/>
      <c r="N360" s="85"/>
      <c r="O360" s="85"/>
      <c r="P360" s="85"/>
      <c r="Q360" s="85"/>
      <c r="R360" s="43"/>
      <c r="S360" s="43"/>
      <c r="T360" s="43"/>
      <c r="U360" s="43"/>
      <c r="V360" s="43"/>
      <c r="W360" s="43"/>
      <c r="X360" s="43"/>
      <c r="Y360" s="43"/>
      <c r="Z360" s="43"/>
    </row>
    <row r="361">
      <c r="A361" s="89"/>
      <c r="B361" s="89"/>
      <c r="C361" s="89"/>
      <c r="D361" s="90"/>
      <c r="E361" s="91"/>
      <c r="F361" s="91"/>
      <c r="G361" s="91"/>
      <c r="H361" s="91"/>
      <c r="I361" s="85"/>
      <c r="J361" s="85"/>
      <c r="K361" s="85"/>
      <c r="L361" s="85"/>
      <c r="M361" s="85"/>
      <c r="N361" s="85"/>
      <c r="O361" s="85"/>
      <c r="P361" s="85"/>
      <c r="Q361" s="85"/>
      <c r="R361" s="43"/>
      <c r="S361" s="43"/>
      <c r="T361" s="43"/>
      <c r="U361" s="43"/>
      <c r="V361" s="43"/>
      <c r="W361" s="43"/>
      <c r="X361" s="43"/>
      <c r="Y361" s="43"/>
      <c r="Z361" s="43"/>
    </row>
    <row r="362">
      <c r="A362" s="89"/>
      <c r="B362" s="89"/>
      <c r="C362" s="89"/>
      <c r="D362" s="90"/>
      <c r="E362" s="91"/>
      <c r="F362" s="91"/>
      <c r="G362" s="91"/>
      <c r="H362" s="91"/>
      <c r="I362" s="85"/>
      <c r="J362" s="85"/>
      <c r="K362" s="85"/>
      <c r="L362" s="85"/>
      <c r="M362" s="85"/>
      <c r="N362" s="85"/>
      <c r="O362" s="85"/>
      <c r="P362" s="85"/>
      <c r="Q362" s="85"/>
      <c r="R362" s="43"/>
      <c r="S362" s="43"/>
      <c r="T362" s="43"/>
      <c r="U362" s="43"/>
      <c r="V362" s="43"/>
      <c r="W362" s="43"/>
      <c r="X362" s="43"/>
      <c r="Y362" s="43"/>
      <c r="Z362" s="43"/>
    </row>
    <row r="363">
      <c r="A363" s="89"/>
      <c r="B363" s="89"/>
      <c r="C363" s="89"/>
      <c r="D363" s="90"/>
      <c r="E363" s="91"/>
      <c r="F363" s="91"/>
      <c r="G363" s="91"/>
      <c r="H363" s="91"/>
      <c r="I363" s="85"/>
      <c r="J363" s="85"/>
      <c r="K363" s="85"/>
      <c r="L363" s="85"/>
      <c r="M363" s="85"/>
      <c r="N363" s="85"/>
      <c r="O363" s="85"/>
      <c r="P363" s="85"/>
      <c r="Q363" s="85"/>
      <c r="R363" s="43"/>
      <c r="S363" s="43"/>
      <c r="T363" s="43"/>
      <c r="U363" s="43"/>
      <c r="V363" s="43"/>
      <c r="W363" s="43"/>
      <c r="X363" s="43"/>
      <c r="Y363" s="43"/>
      <c r="Z363" s="43"/>
    </row>
    <row r="364">
      <c r="A364" s="89"/>
      <c r="B364" s="89"/>
      <c r="C364" s="89"/>
      <c r="D364" s="90"/>
      <c r="E364" s="91"/>
      <c r="F364" s="91"/>
      <c r="G364" s="91"/>
      <c r="H364" s="91"/>
      <c r="I364" s="85"/>
      <c r="J364" s="85"/>
      <c r="K364" s="85"/>
      <c r="L364" s="85"/>
      <c r="M364" s="85"/>
      <c r="N364" s="85"/>
      <c r="O364" s="85"/>
      <c r="P364" s="85"/>
      <c r="Q364" s="85"/>
      <c r="R364" s="43"/>
      <c r="S364" s="43"/>
      <c r="T364" s="43"/>
      <c r="U364" s="43"/>
      <c r="V364" s="43"/>
      <c r="W364" s="43"/>
      <c r="X364" s="43"/>
      <c r="Y364" s="43"/>
      <c r="Z364" s="43"/>
    </row>
    <row r="365">
      <c r="A365" s="89"/>
      <c r="B365" s="89"/>
      <c r="C365" s="89"/>
      <c r="D365" s="90"/>
      <c r="E365" s="91"/>
      <c r="F365" s="91"/>
      <c r="G365" s="91"/>
      <c r="H365" s="91"/>
      <c r="I365" s="85"/>
      <c r="J365" s="85"/>
      <c r="K365" s="85"/>
      <c r="L365" s="85"/>
      <c r="M365" s="85"/>
      <c r="N365" s="85"/>
      <c r="O365" s="85"/>
      <c r="P365" s="85"/>
      <c r="Q365" s="85"/>
      <c r="R365" s="43"/>
      <c r="S365" s="43"/>
      <c r="T365" s="43"/>
      <c r="U365" s="43"/>
      <c r="V365" s="43"/>
      <c r="W365" s="43"/>
      <c r="X365" s="43"/>
      <c r="Y365" s="43"/>
      <c r="Z365" s="43"/>
    </row>
    <row r="366">
      <c r="A366" s="89"/>
      <c r="B366" s="89"/>
      <c r="C366" s="89"/>
      <c r="D366" s="90"/>
      <c r="E366" s="91"/>
      <c r="F366" s="91"/>
      <c r="G366" s="91"/>
      <c r="H366" s="91"/>
      <c r="I366" s="85"/>
      <c r="J366" s="85"/>
      <c r="K366" s="85"/>
      <c r="L366" s="85"/>
      <c r="M366" s="85"/>
      <c r="N366" s="85"/>
      <c r="O366" s="85"/>
      <c r="P366" s="85"/>
      <c r="Q366" s="85"/>
      <c r="R366" s="43"/>
      <c r="S366" s="43"/>
      <c r="T366" s="43"/>
      <c r="U366" s="43"/>
      <c r="V366" s="43"/>
      <c r="W366" s="43"/>
      <c r="X366" s="43"/>
      <c r="Y366" s="43"/>
      <c r="Z366" s="43"/>
    </row>
    <row r="367">
      <c r="A367" s="89"/>
      <c r="B367" s="89"/>
      <c r="C367" s="89"/>
      <c r="D367" s="90"/>
      <c r="E367" s="91"/>
      <c r="F367" s="91"/>
      <c r="G367" s="91"/>
      <c r="H367" s="91"/>
      <c r="I367" s="85"/>
      <c r="J367" s="85"/>
      <c r="K367" s="85"/>
      <c r="L367" s="85"/>
      <c r="M367" s="85"/>
      <c r="N367" s="85"/>
      <c r="O367" s="85"/>
      <c r="P367" s="85"/>
      <c r="Q367" s="85"/>
      <c r="R367" s="43"/>
      <c r="S367" s="43"/>
      <c r="T367" s="43"/>
      <c r="U367" s="43"/>
      <c r="V367" s="43"/>
      <c r="W367" s="43"/>
      <c r="X367" s="43"/>
      <c r="Y367" s="43"/>
      <c r="Z367" s="43"/>
    </row>
    <row r="368">
      <c r="A368" s="89"/>
      <c r="B368" s="89"/>
      <c r="C368" s="89"/>
      <c r="D368" s="90"/>
      <c r="E368" s="91"/>
      <c r="F368" s="91"/>
      <c r="G368" s="91"/>
      <c r="H368" s="91"/>
      <c r="I368" s="85"/>
      <c r="J368" s="85"/>
      <c r="K368" s="85"/>
      <c r="L368" s="85"/>
      <c r="M368" s="85"/>
      <c r="N368" s="85"/>
      <c r="O368" s="85"/>
      <c r="P368" s="85"/>
      <c r="Q368" s="85"/>
      <c r="R368" s="43"/>
      <c r="S368" s="43"/>
      <c r="T368" s="43"/>
      <c r="U368" s="43"/>
      <c r="V368" s="43"/>
      <c r="W368" s="43"/>
      <c r="X368" s="43"/>
      <c r="Y368" s="43"/>
      <c r="Z368" s="43"/>
    </row>
    <row r="369">
      <c r="A369" s="89"/>
      <c r="B369" s="89"/>
      <c r="C369" s="89"/>
      <c r="D369" s="90"/>
      <c r="E369" s="91"/>
      <c r="F369" s="91"/>
      <c r="G369" s="91"/>
      <c r="H369" s="91"/>
      <c r="I369" s="85"/>
      <c r="J369" s="85"/>
      <c r="K369" s="85"/>
      <c r="L369" s="85"/>
      <c r="M369" s="85"/>
      <c r="N369" s="85"/>
      <c r="O369" s="85"/>
      <c r="P369" s="85"/>
      <c r="Q369" s="85"/>
      <c r="R369" s="43"/>
      <c r="S369" s="43"/>
      <c r="T369" s="43"/>
      <c r="U369" s="43"/>
      <c r="V369" s="43"/>
      <c r="W369" s="43"/>
      <c r="X369" s="43"/>
      <c r="Y369" s="43"/>
      <c r="Z369" s="43"/>
    </row>
    <row r="370">
      <c r="A370" s="89"/>
      <c r="B370" s="89"/>
      <c r="C370" s="89"/>
      <c r="D370" s="90"/>
      <c r="E370" s="91"/>
      <c r="F370" s="91"/>
      <c r="G370" s="91"/>
      <c r="H370" s="91"/>
      <c r="I370" s="85"/>
      <c r="J370" s="85"/>
      <c r="K370" s="85"/>
      <c r="L370" s="85"/>
      <c r="M370" s="85"/>
      <c r="N370" s="85"/>
      <c r="O370" s="85"/>
      <c r="P370" s="85"/>
      <c r="Q370" s="85"/>
      <c r="R370" s="43"/>
      <c r="S370" s="43"/>
      <c r="T370" s="43"/>
      <c r="U370" s="43"/>
      <c r="V370" s="43"/>
      <c r="W370" s="43"/>
      <c r="X370" s="43"/>
      <c r="Y370" s="43"/>
      <c r="Z370" s="43"/>
    </row>
    <row r="371">
      <c r="A371" s="89"/>
      <c r="B371" s="89"/>
      <c r="C371" s="89"/>
      <c r="D371" s="90"/>
      <c r="E371" s="91"/>
      <c r="F371" s="91"/>
      <c r="G371" s="91"/>
      <c r="H371" s="91"/>
      <c r="I371" s="85"/>
      <c r="J371" s="85"/>
      <c r="K371" s="85"/>
      <c r="L371" s="85"/>
      <c r="M371" s="85"/>
      <c r="N371" s="85"/>
      <c r="O371" s="85"/>
      <c r="P371" s="85"/>
      <c r="Q371" s="85"/>
      <c r="R371" s="43"/>
      <c r="S371" s="43"/>
      <c r="T371" s="43"/>
      <c r="U371" s="43"/>
      <c r="V371" s="43"/>
      <c r="W371" s="43"/>
      <c r="X371" s="43"/>
      <c r="Y371" s="43"/>
      <c r="Z371" s="43"/>
    </row>
    <row r="372">
      <c r="A372" s="89"/>
      <c r="B372" s="89"/>
      <c r="C372" s="89"/>
      <c r="D372" s="90"/>
      <c r="E372" s="91"/>
      <c r="F372" s="91"/>
      <c r="G372" s="91"/>
      <c r="H372" s="91"/>
      <c r="I372" s="85"/>
      <c r="J372" s="85"/>
      <c r="K372" s="85"/>
      <c r="L372" s="85"/>
      <c r="M372" s="85"/>
      <c r="N372" s="85"/>
      <c r="O372" s="85"/>
      <c r="P372" s="85"/>
      <c r="Q372" s="85"/>
      <c r="R372" s="43"/>
      <c r="S372" s="43"/>
      <c r="T372" s="43"/>
      <c r="U372" s="43"/>
      <c r="V372" s="43"/>
      <c r="W372" s="43"/>
      <c r="X372" s="43"/>
      <c r="Y372" s="43"/>
      <c r="Z372" s="43"/>
    </row>
    <row r="373">
      <c r="A373" s="89"/>
      <c r="B373" s="89"/>
      <c r="C373" s="89"/>
      <c r="D373" s="90"/>
      <c r="E373" s="91"/>
      <c r="F373" s="91"/>
      <c r="G373" s="91"/>
      <c r="H373" s="91"/>
      <c r="I373" s="85"/>
      <c r="J373" s="85"/>
      <c r="K373" s="85"/>
      <c r="L373" s="85"/>
      <c r="M373" s="85"/>
      <c r="N373" s="85"/>
      <c r="O373" s="85"/>
      <c r="P373" s="85"/>
      <c r="Q373" s="85"/>
      <c r="R373" s="43"/>
      <c r="S373" s="43"/>
      <c r="T373" s="43"/>
      <c r="U373" s="43"/>
      <c r="V373" s="43"/>
      <c r="W373" s="43"/>
      <c r="X373" s="43"/>
      <c r="Y373" s="43"/>
      <c r="Z373" s="43"/>
    </row>
    <row r="374">
      <c r="A374" s="89"/>
      <c r="B374" s="89"/>
      <c r="C374" s="89"/>
      <c r="D374" s="90"/>
      <c r="E374" s="91"/>
      <c r="F374" s="91"/>
      <c r="G374" s="91"/>
      <c r="H374" s="91"/>
      <c r="I374" s="85"/>
      <c r="J374" s="85"/>
      <c r="K374" s="85"/>
      <c r="L374" s="85"/>
      <c r="M374" s="85"/>
      <c r="N374" s="85"/>
      <c r="O374" s="85"/>
      <c r="P374" s="85"/>
      <c r="Q374" s="85"/>
      <c r="R374" s="43"/>
      <c r="S374" s="43"/>
      <c r="T374" s="43"/>
      <c r="U374" s="43"/>
      <c r="V374" s="43"/>
      <c r="W374" s="43"/>
      <c r="X374" s="43"/>
      <c r="Y374" s="43"/>
      <c r="Z374" s="43"/>
    </row>
    <row r="375">
      <c r="A375" s="89"/>
      <c r="B375" s="89"/>
      <c r="C375" s="89"/>
      <c r="D375" s="90"/>
      <c r="E375" s="91"/>
      <c r="F375" s="91"/>
      <c r="G375" s="91"/>
      <c r="H375" s="91"/>
      <c r="I375" s="85"/>
      <c r="J375" s="85"/>
      <c r="K375" s="85"/>
      <c r="L375" s="85"/>
      <c r="M375" s="85"/>
      <c r="N375" s="85"/>
      <c r="O375" s="85"/>
      <c r="P375" s="85"/>
      <c r="Q375" s="85"/>
      <c r="R375" s="43"/>
      <c r="S375" s="43"/>
      <c r="T375" s="43"/>
      <c r="U375" s="43"/>
      <c r="V375" s="43"/>
      <c r="W375" s="43"/>
      <c r="X375" s="43"/>
      <c r="Y375" s="43"/>
      <c r="Z375" s="43"/>
    </row>
    <row r="376">
      <c r="A376" s="89"/>
      <c r="B376" s="89"/>
      <c r="C376" s="89"/>
      <c r="D376" s="90"/>
      <c r="E376" s="91"/>
      <c r="F376" s="91"/>
      <c r="G376" s="91"/>
      <c r="H376" s="91"/>
      <c r="I376" s="85"/>
      <c r="J376" s="85"/>
      <c r="K376" s="85"/>
      <c r="L376" s="85"/>
      <c r="M376" s="85"/>
      <c r="N376" s="85"/>
      <c r="O376" s="85"/>
      <c r="P376" s="85"/>
      <c r="Q376" s="85"/>
      <c r="R376" s="43"/>
      <c r="S376" s="43"/>
      <c r="T376" s="43"/>
      <c r="U376" s="43"/>
      <c r="V376" s="43"/>
      <c r="W376" s="43"/>
      <c r="X376" s="43"/>
      <c r="Y376" s="43"/>
      <c r="Z376" s="43"/>
    </row>
    <row r="377">
      <c r="A377" s="89"/>
      <c r="B377" s="89"/>
      <c r="C377" s="89"/>
      <c r="D377" s="90"/>
      <c r="E377" s="91"/>
      <c r="F377" s="91"/>
      <c r="G377" s="91"/>
      <c r="H377" s="91"/>
      <c r="I377" s="85"/>
      <c r="J377" s="85"/>
      <c r="K377" s="85"/>
      <c r="L377" s="85"/>
      <c r="M377" s="85"/>
      <c r="N377" s="85"/>
      <c r="O377" s="85"/>
      <c r="P377" s="85"/>
      <c r="Q377" s="85"/>
      <c r="R377" s="43"/>
      <c r="S377" s="43"/>
      <c r="T377" s="43"/>
      <c r="U377" s="43"/>
      <c r="V377" s="43"/>
      <c r="W377" s="43"/>
      <c r="X377" s="43"/>
      <c r="Y377" s="43"/>
      <c r="Z377" s="43"/>
    </row>
    <row r="378">
      <c r="A378" s="89"/>
      <c r="B378" s="89"/>
      <c r="C378" s="89"/>
      <c r="D378" s="90"/>
      <c r="E378" s="91"/>
      <c r="F378" s="91"/>
      <c r="G378" s="91"/>
      <c r="H378" s="91"/>
      <c r="I378" s="85"/>
      <c r="J378" s="85"/>
      <c r="K378" s="85"/>
      <c r="L378" s="85"/>
      <c r="M378" s="85"/>
      <c r="N378" s="85"/>
      <c r="O378" s="85"/>
      <c r="P378" s="85"/>
      <c r="Q378" s="85"/>
      <c r="R378" s="43"/>
      <c r="S378" s="43"/>
      <c r="T378" s="43"/>
      <c r="U378" s="43"/>
      <c r="V378" s="43"/>
      <c r="W378" s="43"/>
      <c r="X378" s="43"/>
      <c r="Y378" s="43"/>
      <c r="Z378" s="43"/>
    </row>
    <row r="379">
      <c r="A379" s="89"/>
      <c r="B379" s="89"/>
      <c r="C379" s="89"/>
      <c r="D379" s="90"/>
      <c r="E379" s="91"/>
      <c r="F379" s="91"/>
      <c r="G379" s="91"/>
      <c r="H379" s="91"/>
      <c r="I379" s="85"/>
      <c r="J379" s="85"/>
      <c r="K379" s="85"/>
      <c r="L379" s="85"/>
      <c r="M379" s="85"/>
      <c r="N379" s="85"/>
      <c r="O379" s="85"/>
      <c r="P379" s="85"/>
      <c r="Q379" s="85"/>
      <c r="R379" s="43"/>
      <c r="S379" s="43"/>
      <c r="T379" s="43"/>
      <c r="U379" s="43"/>
      <c r="V379" s="43"/>
      <c r="W379" s="43"/>
      <c r="X379" s="43"/>
      <c r="Y379" s="43"/>
      <c r="Z379" s="43"/>
    </row>
    <row r="380">
      <c r="A380" s="89"/>
      <c r="B380" s="89"/>
      <c r="C380" s="89"/>
      <c r="D380" s="90"/>
      <c r="E380" s="91"/>
      <c r="F380" s="91"/>
      <c r="G380" s="91"/>
      <c r="H380" s="91"/>
      <c r="I380" s="85"/>
      <c r="J380" s="85"/>
      <c r="K380" s="85"/>
      <c r="L380" s="85"/>
      <c r="M380" s="85"/>
      <c r="N380" s="85"/>
      <c r="O380" s="85"/>
      <c r="P380" s="85"/>
      <c r="Q380" s="85"/>
      <c r="R380" s="43"/>
      <c r="S380" s="43"/>
      <c r="T380" s="43"/>
      <c r="U380" s="43"/>
      <c r="V380" s="43"/>
      <c r="W380" s="43"/>
      <c r="X380" s="43"/>
      <c r="Y380" s="43"/>
      <c r="Z380" s="43"/>
    </row>
    <row r="381">
      <c r="A381" s="89"/>
      <c r="B381" s="89"/>
      <c r="C381" s="89"/>
      <c r="D381" s="90"/>
      <c r="E381" s="91"/>
      <c r="F381" s="91"/>
      <c r="G381" s="91"/>
      <c r="H381" s="91"/>
      <c r="I381" s="85"/>
      <c r="J381" s="85"/>
      <c r="K381" s="85"/>
      <c r="L381" s="85"/>
      <c r="M381" s="85"/>
      <c r="N381" s="85"/>
      <c r="O381" s="85"/>
      <c r="P381" s="85"/>
      <c r="Q381" s="85"/>
      <c r="R381" s="43"/>
      <c r="S381" s="43"/>
      <c r="T381" s="43"/>
      <c r="U381" s="43"/>
      <c r="V381" s="43"/>
      <c r="W381" s="43"/>
      <c r="X381" s="43"/>
      <c r="Y381" s="43"/>
      <c r="Z381" s="43"/>
    </row>
    <row r="382">
      <c r="A382" s="89"/>
      <c r="B382" s="89"/>
      <c r="C382" s="89"/>
      <c r="D382" s="90"/>
      <c r="E382" s="91"/>
      <c r="F382" s="91"/>
      <c r="G382" s="91"/>
      <c r="H382" s="91"/>
      <c r="I382" s="85"/>
      <c r="J382" s="85"/>
      <c r="K382" s="85"/>
      <c r="L382" s="85"/>
      <c r="M382" s="85"/>
      <c r="N382" s="85"/>
      <c r="O382" s="85"/>
      <c r="P382" s="85"/>
      <c r="Q382" s="85"/>
      <c r="R382" s="43"/>
      <c r="S382" s="43"/>
      <c r="T382" s="43"/>
      <c r="U382" s="43"/>
      <c r="V382" s="43"/>
      <c r="W382" s="43"/>
      <c r="X382" s="43"/>
      <c r="Y382" s="43"/>
      <c r="Z382" s="43"/>
    </row>
    <row r="383">
      <c r="A383" s="89"/>
      <c r="B383" s="89"/>
      <c r="C383" s="89"/>
      <c r="D383" s="90"/>
      <c r="E383" s="91"/>
      <c r="F383" s="91"/>
      <c r="G383" s="91"/>
      <c r="H383" s="91"/>
      <c r="I383" s="85"/>
      <c r="J383" s="85"/>
      <c r="K383" s="85"/>
      <c r="L383" s="85"/>
      <c r="M383" s="85"/>
      <c r="N383" s="85"/>
      <c r="O383" s="85"/>
      <c r="P383" s="85"/>
      <c r="Q383" s="85"/>
      <c r="R383" s="43"/>
      <c r="S383" s="43"/>
      <c r="T383" s="43"/>
      <c r="U383" s="43"/>
      <c r="V383" s="43"/>
      <c r="W383" s="43"/>
      <c r="X383" s="43"/>
      <c r="Y383" s="43"/>
      <c r="Z383" s="43"/>
    </row>
    <row r="384">
      <c r="A384" s="89"/>
      <c r="B384" s="89"/>
      <c r="C384" s="89"/>
      <c r="D384" s="90"/>
      <c r="E384" s="91"/>
      <c r="F384" s="91"/>
      <c r="G384" s="91"/>
      <c r="H384" s="91"/>
      <c r="I384" s="85"/>
      <c r="J384" s="85"/>
      <c r="K384" s="85"/>
      <c r="L384" s="85"/>
      <c r="M384" s="85"/>
      <c r="N384" s="85"/>
      <c r="O384" s="85"/>
      <c r="P384" s="85"/>
      <c r="Q384" s="85"/>
      <c r="R384" s="43"/>
      <c r="S384" s="43"/>
      <c r="T384" s="43"/>
      <c r="U384" s="43"/>
      <c r="V384" s="43"/>
      <c r="W384" s="43"/>
      <c r="X384" s="43"/>
      <c r="Y384" s="43"/>
      <c r="Z384" s="43"/>
    </row>
    <row r="385">
      <c r="A385" s="89"/>
      <c r="B385" s="89"/>
      <c r="C385" s="89"/>
      <c r="D385" s="90"/>
      <c r="E385" s="91"/>
      <c r="F385" s="91"/>
      <c r="G385" s="91"/>
      <c r="H385" s="91"/>
      <c r="I385" s="85"/>
      <c r="J385" s="85"/>
      <c r="K385" s="85"/>
      <c r="L385" s="85"/>
      <c r="M385" s="85"/>
      <c r="N385" s="85"/>
      <c r="O385" s="85"/>
      <c r="P385" s="85"/>
      <c r="Q385" s="85"/>
      <c r="R385" s="43"/>
      <c r="S385" s="43"/>
      <c r="T385" s="43"/>
      <c r="U385" s="43"/>
      <c r="V385" s="43"/>
      <c r="W385" s="43"/>
      <c r="X385" s="43"/>
      <c r="Y385" s="43"/>
      <c r="Z385" s="43"/>
    </row>
    <row r="386">
      <c r="A386" s="89"/>
      <c r="B386" s="89"/>
      <c r="C386" s="89"/>
      <c r="D386" s="90"/>
      <c r="E386" s="91"/>
      <c r="F386" s="91"/>
      <c r="G386" s="91"/>
      <c r="H386" s="91"/>
      <c r="I386" s="85"/>
      <c r="J386" s="85"/>
      <c r="K386" s="85"/>
      <c r="L386" s="85"/>
      <c r="M386" s="85"/>
      <c r="N386" s="85"/>
      <c r="O386" s="85"/>
      <c r="P386" s="85"/>
      <c r="Q386" s="85"/>
      <c r="R386" s="43"/>
      <c r="S386" s="43"/>
      <c r="T386" s="43"/>
      <c r="U386" s="43"/>
      <c r="V386" s="43"/>
      <c r="W386" s="43"/>
      <c r="X386" s="43"/>
      <c r="Y386" s="43"/>
      <c r="Z386" s="43"/>
    </row>
    <row r="387">
      <c r="A387" s="89"/>
      <c r="B387" s="89"/>
      <c r="C387" s="89"/>
      <c r="D387" s="90"/>
      <c r="E387" s="91"/>
      <c r="F387" s="91"/>
      <c r="G387" s="91"/>
      <c r="H387" s="91"/>
      <c r="I387" s="85"/>
      <c r="J387" s="85"/>
      <c r="K387" s="85"/>
      <c r="L387" s="85"/>
      <c r="M387" s="85"/>
      <c r="N387" s="85"/>
      <c r="O387" s="85"/>
      <c r="P387" s="85"/>
      <c r="Q387" s="85"/>
      <c r="R387" s="43"/>
      <c r="S387" s="43"/>
      <c r="T387" s="43"/>
      <c r="U387" s="43"/>
      <c r="V387" s="43"/>
      <c r="W387" s="43"/>
      <c r="X387" s="43"/>
      <c r="Y387" s="43"/>
      <c r="Z387" s="43"/>
    </row>
    <row r="388">
      <c r="A388" s="89"/>
      <c r="B388" s="89"/>
      <c r="C388" s="89"/>
      <c r="D388" s="90"/>
      <c r="E388" s="91"/>
      <c r="F388" s="91"/>
      <c r="G388" s="91"/>
      <c r="H388" s="91"/>
      <c r="I388" s="85"/>
      <c r="J388" s="85"/>
      <c r="K388" s="85"/>
      <c r="L388" s="85"/>
      <c r="M388" s="85"/>
      <c r="N388" s="85"/>
      <c r="O388" s="85"/>
      <c r="P388" s="85"/>
      <c r="Q388" s="85"/>
      <c r="R388" s="43"/>
      <c r="S388" s="43"/>
      <c r="T388" s="43"/>
      <c r="U388" s="43"/>
      <c r="V388" s="43"/>
      <c r="W388" s="43"/>
      <c r="X388" s="43"/>
      <c r="Y388" s="43"/>
      <c r="Z388" s="43"/>
    </row>
    <row r="389">
      <c r="A389" s="89"/>
      <c r="B389" s="89"/>
      <c r="C389" s="89"/>
      <c r="D389" s="90"/>
      <c r="E389" s="91"/>
      <c r="F389" s="91"/>
      <c r="G389" s="91"/>
      <c r="H389" s="91"/>
      <c r="I389" s="85"/>
      <c r="J389" s="85"/>
      <c r="K389" s="85"/>
      <c r="L389" s="85"/>
      <c r="M389" s="85"/>
      <c r="N389" s="85"/>
      <c r="O389" s="85"/>
      <c r="P389" s="85"/>
      <c r="Q389" s="85"/>
      <c r="R389" s="43"/>
      <c r="S389" s="43"/>
      <c r="T389" s="43"/>
      <c r="U389" s="43"/>
      <c r="V389" s="43"/>
      <c r="W389" s="43"/>
      <c r="X389" s="43"/>
      <c r="Y389" s="43"/>
      <c r="Z389" s="43"/>
    </row>
    <row r="390">
      <c r="A390" s="89"/>
      <c r="B390" s="89"/>
      <c r="C390" s="89"/>
      <c r="D390" s="90"/>
      <c r="E390" s="91"/>
      <c r="F390" s="91"/>
      <c r="G390" s="91"/>
      <c r="H390" s="91"/>
      <c r="I390" s="85"/>
      <c r="J390" s="85"/>
      <c r="K390" s="85"/>
      <c r="L390" s="85"/>
      <c r="M390" s="85"/>
      <c r="N390" s="85"/>
      <c r="O390" s="85"/>
      <c r="P390" s="85"/>
      <c r="Q390" s="85"/>
      <c r="R390" s="43"/>
      <c r="S390" s="43"/>
      <c r="T390" s="43"/>
      <c r="U390" s="43"/>
      <c r="V390" s="43"/>
      <c r="W390" s="43"/>
      <c r="X390" s="43"/>
      <c r="Y390" s="43"/>
      <c r="Z390" s="43"/>
    </row>
    <row r="391">
      <c r="A391" s="89"/>
      <c r="B391" s="89"/>
      <c r="C391" s="89"/>
      <c r="D391" s="90"/>
      <c r="E391" s="91"/>
      <c r="F391" s="91"/>
      <c r="G391" s="91"/>
      <c r="H391" s="91"/>
      <c r="I391" s="85"/>
      <c r="J391" s="85"/>
      <c r="K391" s="85"/>
      <c r="L391" s="85"/>
      <c r="M391" s="85"/>
      <c r="N391" s="85"/>
      <c r="O391" s="85"/>
      <c r="P391" s="85"/>
      <c r="Q391" s="85"/>
      <c r="R391" s="43"/>
      <c r="S391" s="43"/>
      <c r="T391" s="43"/>
      <c r="U391" s="43"/>
      <c r="V391" s="43"/>
      <c r="W391" s="43"/>
      <c r="X391" s="43"/>
      <c r="Y391" s="43"/>
      <c r="Z391" s="43"/>
    </row>
    <row r="392">
      <c r="A392" s="89"/>
      <c r="B392" s="89"/>
      <c r="C392" s="89"/>
      <c r="D392" s="90"/>
      <c r="E392" s="91"/>
      <c r="F392" s="91"/>
      <c r="G392" s="91"/>
      <c r="H392" s="91"/>
      <c r="I392" s="85"/>
      <c r="J392" s="85"/>
      <c r="K392" s="85"/>
      <c r="L392" s="85"/>
      <c r="M392" s="85"/>
      <c r="N392" s="85"/>
      <c r="O392" s="85"/>
      <c r="P392" s="85"/>
      <c r="Q392" s="85"/>
      <c r="R392" s="43"/>
      <c r="S392" s="43"/>
      <c r="T392" s="43"/>
      <c r="U392" s="43"/>
      <c r="V392" s="43"/>
      <c r="W392" s="43"/>
      <c r="X392" s="43"/>
      <c r="Y392" s="43"/>
      <c r="Z392" s="43"/>
    </row>
    <row r="393">
      <c r="A393" s="89"/>
      <c r="B393" s="89"/>
      <c r="C393" s="89"/>
      <c r="D393" s="90"/>
      <c r="E393" s="91"/>
      <c r="F393" s="91"/>
      <c r="G393" s="91"/>
      <c r="H393" s="91"/>
      <c r="I393" s="85"/>
      <c r="J393" s="85"/>
      <c r="K393" s="85"/>
      <c r="L393" s="85"/>
      <c r="M393" s="85"/>
      <c r="N393" s="85"/>
      <c r="O393" s="85"/>
      <c r="P393" s="85"/>
      <c r="Q393" s="85"/>
      <c r="R393" s="43"/>
      <c r="S393" s="43"/>
      <c r="T393" s="43"/>
      <c r="U393" s="43"/>
      <c r="V393" s="43"/>
      <c r="W393" s="43"/>
      <c r="X393" s="43"/>
      <c r="Y393" s="43"/>
      <c r="Z393" s="43"/>
    </row>
    <row r="394">
      <c r="A394" s="89"/>
      <c r="B394" s="89"/>
      <c r="C394" s="89"/>
      <c r="D394" s="90"/>
      <c r="E394" s="91"/>
      <c r="F394" s="91"/>
      <c r="G394" s="91"/>
      <c r="H394" s="91"/>
      <c r="I394" s="85"/>
      <c r="J394" s="85"/>
      <c r="K394" s="85"/>
      <c r="L394" s="85"/>
      <c r="M394" s="85"/>
      <c r="N394" s="85"/>
      <c r="O394" s="85"/>
      <c r="P394" s="85"/>
      <c r="Q394" s="85"/>
      <c r="R394" s="43"/>
      <c r="S394" s="43"/>
      <c r="T394" s="43"/>
      <c r="U394" s="43"/>
      <c r="V394" s="43"/>
      <c r="W394" s="43"/>
      <c r="X394" s="43"/>
      <c r="Y394" s="43"/>
      <c r="Z394" s="43"/>
    </row>
    <row r="395">
      <c r="A395" s="89"/>
      <c r="B395" s="89"/>
      <c r="C395" s="89"/>
      <c r="D395" s="90"/>
      <c r="E395" s="91"/>
      <c r="F395" s="91"/>
      <c r="G395" s="91"/>
      <c r="H395" s="91"/>
      <c r="I395" s="85"/>
      <c r="J395" s="85"/>
      <c r="K395" s="85"/>
      <c r="L395" s="85"/>
      <c r="M395" s="85"/>
      <c r="N395" s="85"/>
      <c r="O395" s="85"/>
      <c r="P395" s="85"/>
      <c r="Q395" s="85"/>
      <c r="R395" s="43"/>
      <c r="S395" s="43"/>
      <c r="T395" s="43"/>
      <c r="U395" s="43"/>
      <c r="V395" s="43"/>
      <c r="W395" s="43"/>
      <c r="X395" s="43"/>
      <c r="Y395" s="43"/>
      <c r="Z395" s="43"/>
    </row>
    <row r="396">
      <c r="A396" s="89"/>
      <c r="B396" s="89"/>
      <c r="C396" s="89"/>
      <c r="D396" s="90"/>
      <c r="E396" s="91"/>
      <c r="F396" s="91"/>
      <c r="G396" s="91"/>
      <c r="H396" s="91"/>
      <c r="I396" s="85"/>
      <c r="J396" s="85"/>
      <c r="K396" s="85"/>
      <c r="L396" s="85"/>
      <c r="M396" s="85"/>
      <c r="N396" s="85"/>
      <c r="O396" s="85"/>
      <c r="P396" s="85"/>
      <c r="Q396" s="85"/>
      <c r="R396" s="43"/>
      <c r="S396" s="43"/>
      <c r="T396" s="43"/>
      <c r="U396" s="43"/>
      <c r="V396" s="43"/>
      <c r="W396" s="43"/>
      <c r="X396" s="43"/>
      <c r="Y396" s="43"/>
      <c r="Z396" s="43"/>
    </row>
    <row r="397">
      <c r="A397" s="89"/>
      <c r="B397" s="89"/>
      <c r="C397" s="89"/>
      <c r="D397" s="90"/>
      <c r="E397" s="91"/>
      <c r="F397" s="91"/>
      <c r="G397" s="91"/>
      <c r="H397" s="91"/>
      <c r="I397" s="85"/>
      <c r="J397" s="85"/>
      <c r="K397" s="85"/>
      <c r="L397" s="85"/>
      <c r="M397" s="85"/>
      <c r="N397" s="85"/>
      <c r="O397" s="85"/>
      <c r="P397" s="85"/>
      <c r="Q397" s="85"/>
      <c r="R397" s="43"/>
      <c r="S397" s="43"/>
      <c r="T397" s="43"/>
      <c r="U397" s="43"/>
      <c r="V397" s="43"/>
      <c r="W397" s="43"/>
      <c r="X397" s="43"/>
      <c r="Y397" s="43"/>
      <c r="Z397" s="43"/>
    </row>
    <row r="398">
      <c r="A398" s="89"/>
      <c r="B398" s="89"/>
      <c r="C398" s="89"/>
      <c r="D398" s="90"/>
      <c r="E398" s="91"/>
      <c r="F398" s="91"/>
      <c r="G398" s="91"/>
      <c r="H398" s="91"/>
      <c r="I398" s="85"/>
      <c r="J398" s="85"/>
      <c r="K398" s="85"/>
      <c r="L398" s="85"/>
      <c r="M398" s="85"/>
      <c r="N398" s="85"/>
      <c r="O398" s="85"/>
      <c r="P398" s="85"/>
      <c r="Q398" s="85"/>
      <c r="R398" s="43"/>
      <c r="S398" s="43"/>
      <c r="T398" s="43"/>
      <c r="U398" s="43"/>
      <c r="V398" s="43"/>
      <c r="W398" s="43"/>
      <c r="X398" s="43"/>
      <c r="Y398" s="43"/>
      <c r="Z398" s="43"/>
    </row>
    <row r="399">
      <c r="A399" s="89"/>
      <c r="B399" s="89"/>
      <c r="C399" s="89"/>
      <c r="D399" s="90"/>
      <c r="E399" s="91"/>
      <c r="F399" s="91"/>
      <c r="G399" s="91"/>
      <c r="H399" s="91"/>
      <c r="I399" s="85"/>
      <c r="J399" s="85"/>
      <c r="K399" s="85"/>
      <c r="L399" s="85"/>
      <c r="M399" s="85"/>
      <c r="N399" s="85"/>
      <c r="O399" s="85"/>
      <c r="P399" s="85"/>
      <c r="Q399" s="85"/>
      <c r="R399" s="43"/>
      <c r="S399" s="43"/>
      <c r="T399" s="43"/>
      <c r="U399" s="43"/>
      <c r="V399" s="43"/>
      <c r="W399" s="43"/>
      <c r="X399" s="43"/>
      <c r="Y399" s="43"/>
      <c r="Z399" s="43"/>
    </row>
    <row r="400">
      <c r="A400" s="89"/>
      <c r="B400" s="89"/>
      <c r="C400" s="89"/>
      <c r="D400" s="90"/>
      <c r="E400" s="91"/>
      <c r="F400" s="91"/>
      <c r="G400" s="91"/>
      <c r="H400" s="91"/>
      <c r="I400" s="85"/>
      <c r="J400" s="85"/>
      <c r="K400" s="85"/>
      <c r="L400" s="85"/>
      <c r="M400" s="85"/>
      <c r="N400" s="85"/>
      <c r="O400" s="85"/>
      <c r="P400" s="85"/>
      <c r="Q400" s="85"/>
      <c r="R400" s="43"/>
      <c r="S400" s="43"/>
      <c r="T400" s="43"/>
      <c r="U400" s="43"/>
      <c r="V400" s="43"/>
      <c r="W400" s="43"/>
      <c r="X400" s="43"/>
      <c r="Y400" s="43"/>
      <c r="Z400" s="43"/>
    </row>
    <row r="401">
      <c r="A401" s="89"/>
      <c r="B401" s="89"/>
      <c r="C401" s="89"/>
      <c r="D401" s="90"/>
      <c r="E401" s="91"/>
      <c r="F401" s="91"/>
      <c r="G401" s="91"/>
      <c r="H401" s="91"/>
      <c r="I401" s="85"/>
      <c r="J401" s="85"/>
      <c r="K401" s="85"/>
      <c r="L401" s="85"/>
      <c r="M401" s="85"/>
      <c r="N401" s="85"/>
      <c r="O401" s="85"/>
      <c r="P401" s="85"/>
      <c r="Q401" s="85"/>
      <c r="R401" s="43"/>
      <c r="S401" s="43"/>
      <c r="T401" s="43"/>
      <c r="U401" s="43"/>
      <c r="V401" s="43"/>
      <c r="W401" s="43"/>
      <c r="X401" s="43"/>
      <c r="Y401" s="43"/>
      <c r="Z401" s="43"/>
    </row>
    <row r="402">
      <c r="A402" s="89"/>
      <c r="B402" s="89"/>
      <c r="C402" s="89"/>
      <c r="D402" s="90"/>
      <c r="E402" s="91"/>
      <c r="F402" s="91"/>
      <c r="G402" s="91"/>
      <c r="H402" s="91"/>
      <c r="I402" s="85"/>
      <c r="J402" s="85"/>
      <c r="K402" s="85"/>
      <c r="L402" s="85"/>
      <c r="M402" s="85"/>
      <c r="N402" s="85"/>
      <c r="O402" s="85"/>
      <c r="P402" s="85"/>
      <c r="Q402" s="85"/>
      <c r="R402" s="43"/>
      <c r="S402" s="43"/>
      <c r="T402" s="43"/>
      <c r="U402" s="43"/>
      <c r="V402" s="43"/>
      <c r="W402" s="43"/>
      <c r="X402" s="43"/>
      <c r="Y402" s="43"/>
      <c r="Z402" s="43"/>
    </row>
    <row r="403">
      <c r="A403" s="89"/>
      <c r="B403" s="89"/>
      <c r="C403" s="89"/>
      <c r="D403" s="90"/>
      <c r="E403" s="91"/>
      <c r="F403" s="91"/>
      <c r="G403" s="91"/>
      <c r="H403" s="91"/>
      <c r="I403" s="85"/>
      <c r="J403" s="85"/>
      <c r="K403" s="85"/>
      <c r="L403" s="85"/>
      <c r="M403" s="85"/>
      <c r="N403" s="85"/>
      <c r="O403" s="85"/>
      <c r="P403" s="85"/>
      <c r="Q403" s="85"/>
      <c r="R403" s="43"/>
      <c r="S403" s="43"/>
      <c r="T403" s="43"/>
      <c r="U403" s="43"/>
      <c r="V403" s="43"/>
      <c r="W403" s="43"/>
      <c r="X403" s="43"/>
      <c r="Y403" s="43"/>
      <c r="Z403" s="43"/>
    </row>
    <row r="404">
      <c r="A404" s="89"/>
      <c r="B404" s="89"/>
      <c r="C404" s="89"/>
      <c r="D404" s="90"/>
      <c r="E404" s="91"/>
      <c r="F404" s="91"/>
      <c r="G404" s="91"/>
      <c r="H404" s="91"/>
      <c r="I404" s="85"/>
      <c r="J404" s="85"/>
      <c r="K404" s="85"/>
      <c r="L404" s="85"/>
      <c r="M404" s="85"/>
      <c r="N404" s="85"/>
      <c r="O404" s="85"/>
      <c r="P404" s="85"/>
      <c r="Q404" s="85"/>
      <c r="R404" s="43"/>
      <c r="S404" s="43"/>
      <c r="T404" s="43"/>
      <c r="U404" s="43"/>
      <c r="V404" s="43"/>
      <c r="W404" s="43"/>
      <c r="X404" s="43"/>
      <c r="Y404" s="43"/>
      <c r="Z404" s="43"/>
    </row>
    <row r="405">
      <c r="A405" s="89"/>
      <c r="B405" s="89"/>
      <c r="C405" s="89"/>
      <c r="D405" s="90"/>
      <c r="E405" s="91"/>
      <c r="F405" s="91"/>
      <c r="G405" s="91"/>
      <c r="H405" s="91"/>
      <c r="I405" s="85"/>
      <c r="J405" s="85"/>
      <c r="K405" s="85"/>
      <c r="L405" s="85"/>
      <c r="M405" s="85"/>
      <c r="N405" s="85"/>
      <c r="O405" s="85"/>
      <c r="P405" s="85"/>
      <c r="Q405" s="85"/>
      <c r="R405" s="43"/>
      <c r="S405" s="43"/>
      <c r="T405" s="43"/>
      <c r="U405" s="43"/>
      <c r="V405" s="43"/>
      <c r="W405" s="43"/>
      <c r="X405" s="43"/>
      <c r="Y405" s="43"/>
      <c r="Z405" s="43"/>
    </row>
    <row r="406">
      <c r="A406" s="89"/>
      <c r="B406" s="89"/>
      <c r="C406" s="89"/>
      <c r="D406" s="90"/>
      <c r="E406" s="91"/>
      <c r="F406" s="91"/>
      <c r="G406" s="91"/>
      <c r="H406" s="91"/>
      <c r="I406" s="85"/>
      <c r="J406" s="85"/>
      <c r="K406" s="85"/>
      <c r="L406" s="85"/>
      <c r="M406" s="85"/>
      <c r="N406" s="85"/>
      <c r="O406" s="85"/>
      <c r="P406" s="85"/>
      <c r="Q406" s="85"/>
      <c r="R406" s="43"/>
      <c r="S406" s="43"/>
      <c r="T406" s="43"/>
      <c r="U406" s="43"/>
      <c r="V406" s="43"/>
      <c r="W406" s="43"/>
      <c r="X406" s="43"/>
      <c r="Y406" s="43"/>
      <c r="Z406" s="43"/>
    </row>
    <row r="407">
      <c r="A407" s="89"/>
      <c r="B407" s="89"/>
      <c r="C407" s="89"/>
      <c r="D407" s="90"/>
      <c r="E407" s="91"/>
      <c r="F407" s="91"/>
      <c r="G407" s="91"/>
      <c r="H407" s="91"/>
      <c r="I407" s="85"/>
      <c r="J407" s="85"/>
      <c r="K407" s="85"/>
      <c r="L407" s="85"/>
      <c r="M407" s="85"/>
      <c r="N407" s="85"/>
      <c r="O407" s="85"/>
      <c r="P407" s="85"/>
      <c r="Q407" s="85"/>
      <c r="R407" s="43"/>
      <c r="S407" s="43"/>
      <c r="T407" s="43"/>
      <c r="U407" s="43"/>
      <c r="V407" s="43"/>
      <c r="W407" s="43"/>
      <c r="X407" s="43"/>
      <c r="Y407" s="43"/>
      <c r="Z407" s="43"/>
    </row>
    <row r="408">
      <c r="A408" s="89"/>
      <c r="B408" s="89"/>
      <c r="C408" s="89"/>
      <c r="D408" s="90"/>
      <c r="E408" s="91"/>
      <c r="F408" s="91"/>
      <c r="G408" s="91"/>
      <c r="H408" s="91"/>
      <c r="I408" s="85"/>
      <c r="J408" s="85"/>
      <c r="K408" s="85"/>
      <c r="L408" s="85"/>
      <c r="M408" s="85"/>
      <c r="N408" s="85"/>
      <c r="O408" s="85"/>
      <c r="P408" s="85"/>
      <c r="Q408" s="85"/>
      <c r="R408" s="43"/>
      <c r="S408" s="43"/>
      <c r="T408" s="43"/>
      <c r="U408" s="43"/>
      <c r="V408" s="43"/>
      <c r="W408" s="43"/>
      <c r="X408" s="43"/>
      <c r="Y408" s="43"/>
      <c r="Z408" s="43"/>
    </row>
    <row r="409">
      <c r="A409" s="89"/>
      <c r="B409" s="89"/>
      <c r="C409" s="89"/>
      <c r="D409" s="90"/>
      <c r="E409" s="91"/>
      <c r="F409" s="91"/>
      <c r="G409" s="91"/>
      <c r="H409" s="91"/>
      <c r="I409" s="85"/>
      <c r="J409" s="85"/>
      <c r="K409" s="85"/>
      <c r="L409" s="85"/>
      <c r="M409" s="85"/>
      <c r="N409" s="85"/>
      <c r="O409" s="85"/>
      <c r="P409" s="85"/>
      <c r="Q409" s="85"/>
      <c r="R409" s="43"/>
      <c r="S409" s="43"/>
      <c r="T409" s="43"/>
      <c r="U409" s="43"/>
      <c r="V409" s="43"/>
      <c r="W409" s="43"/>
      <c r="X409" s="43"/>
      <c r="Y409" s="43"/>
      <c r="Z409" s="43"/>
    </row>
    <row r="410">
      <c r="A410" s="89"/>
      <c r="B410" s="89"/>
      <c r="C410" s="89"/>
      <c r="D410" s="90"/>
      <c r="E410" s="91"/>
      <c r="F410" s="91"/>
      <c r="G410" s="91"/>
      <c r="H410" s="91"/>
      <c r="I410" s="85"/>
      <c r="J410" s="85"/>
      <c r="K410" s="85"/>
      <c r="L410" s="85"/>
      <c r="M410" s="85"/>
      <c r="N410" s="85"/>
      <c r="O410" s="85"/>
      <c r="P410" s="85"/>
      <c r="Q410" s="85"/>
      <c r="R410" s="43"/>
      <c r="S410" s="43"/>
      <c r="T410" s="43"/>
      <c r="U410" s="43"/>
      <c r="V410" s="43"/>
      <c r="W410" s="43"/>
      <c r="X410" s="43"/>
      <c r="Y410" s="43"/>
      <c r="Z410" s="43"/>
    </row>
    <row r="411">
      <c r="A411" s="89"/>
      <c r="B411" s="89"/>
      <c r="C411" s="89"/>
      <c r="D411" s="90"/>
      <c r="E411" s="91"/>
      <c r="F411" s="91"/>
      <c r="G411" s="91"/>
      <c r="H411" s="91"/>
      <c r="I411" s="85"/>
      <c r="J411" s="85"/>
      <c r="K411" s="85"/>
      <c r="L411" s="85"/>
      <c r="M411" s="85"/>
      <c r="N411" s="85"/>
      <c r="O411" s="85"/>
      <c r="P411" s="85"/>
      <c r="Q411" s="85"/>
      <c r="R411" s="43"/>
      <c r="S411" s="43"/>
      <c r="T411" s="43"/>
      <c r="U411" s="43"/>
      <c r="V411" s="43"/>
      <c r="W411" s="43"/>
      <c r="X411" s="43"/>
      <c r="Y411" s="43"/>
      <c r="Z411" s="43"/>
    </row>
    <row r="412">
      <c r="A412" s="89"/>
      <c r="B412" s="89"/>
      <c r="C412" s="89"/>
      <c r="D412" s="90"/>
      <c r="E412" s="91"/>
      <c r="F412" s="91"/>
      <c r="G412" s="91"/>
      <c r="H412" s="91"/>
      <c r="I412" s="85"/>
      <c r="J412" s="85"/>
      <c r="K412" s="85"/>
      <c r="L412" s="85"/>
      <c r="M412" s="85"/>
      <c r="N412" s="85"/>
      <c r="O412" s="85"/>
      <c r="P412" s="85"/>
      <c r="Q412" s="85"/>
      <c r="R412" s="43"/>
      <c r="S412" s="43"/>
      <c r="T412" s="43"/>
      <c r="U412" s="43"/>
      <c r="V412" s="43"/>
      <c r="W412" s="43"/>
      <c r="X412" s="43"/>
      <c r="Y412" s="43"/>
      <c r="Z412" s="43"/>
    </row>
    <row r="413">
      <c r="A413" s="89"/>
      <c r="B413" s="89"/>
      <c r="C413" s="89"/>
      <c r="D413" s="90"/>
      <c r="E413" s="91"/>
      <c r="F413" s="91"/>
      <c r="G413" s="91"/>
      <c r="H413" s="91"/>
      <c r="I413" s="85"/>
      <c r="J413" s="85"/>
      <c r="K413" s="85"/>
      <c r="L413" s="85"/>
      <c r="M413" s="85"/>
      <c r="N413" s="85"/>
      <c r="O413" s="85"/>
      <c r="P413" s="85"/>
      <c r="Q413" s="85"/>
      <c r="R413" s="43"/>
      <c r="S413" s="43"/>
      <c r="T413" s="43"/>
      <c r="U413" s="43"/>
      <c r="V413" s="43"/>
      <c r="W413" s="43"/>
      <c r="X413" s="43"/>
      <c r="Y413" s="43"/>
      <c r="Z413" s="43"/>
    </row>
    <row r="414">
      <c r="A414" s="89"/>
      <c r="B414" s="89"/>
      <c r="C414" s="89"/>
      <c r="D414" s="90"/>
      <c r="E414" s="91"/>
      <c r="F414" s="91"/>
      <c r="G414" s="91"/>
      <c r="H414" s="91"/>
      <c r="I414" s="85"/>
      <c r="J414" s="85"/>
      <c r="K414" s="85"/>
      <c r="L414" s="85"/>
      <c r="M414" s="85"/>
      <c r="N414" s="85"/>
      <c r="O414" s="85"/>
      <c r="P414" s="85"/>
      <c r="Q414" s="85"/>
      <c r="R414" s="43"/>
      <c r="S414" s="43"/>
      <c r="T414" s="43"/>
      <c r="U414" s="43"/>
      <c r="V414" s="43"/>
      <c r="W414" s="43"/>
      <c r="X414" s="43"/>
      <c r="Y414" s="43"/>
      <c r="Z414" s="43"/>
    </row>
    <row r="415">
      <c r="A415" s="89"/>
      <c r="B415" s="89"/>
      <c r="C415" s="89"/>
      <c r="D415" s="90"/>
      <c r="E415" s="91"/>
      <c r="F415" s="91"/>
      <c r="G415" s="91"/>
      <c r="H415" s="91"/>
      <c r="I415" s="85"/>
      <c r="J415" s="85"/>
      <c r="K415" s="85"/>
      <c r="L415" s="85"/>
      <c r="M415" s="85"/>
      <c r="N415" s="85"/>
      <c r="O415" s="85"/>
      <c r="P415" s="85"/>
      <c r="Q415" s="85"/>
      <c r="R415" s="43"/>
      <c r="S415" s="43"/>
      <c r="T415" s="43"/>
      <c r="U415" s="43"/>
      <c r="V415" s="43"/>
      <c r="W415" s="43"/>
      <c r="X415" s="43"/>
      <c r="Y415" s="43"/>
      <c r="Z415" s="43"/>
    </row>
    <row r="416">
      <c r="A416" s="89"/>
      <c r="B416" s="89"/>
      <c r="C416" s="89"/>
      <c r="D416" s="90"/>
      <c r="E416" s="91"/>
      <c r="F416" s="91"/>
      <c r="G416" s="91"/>
      <c r="H416" s="91"/>
      <c r="I416" s="85"/>
      <c r="J416" s="85"/>
      <c r="K416" s="85"/>
      <c r="L416" s="85"/>
      <c r="M416" s="85"/>
      <c r="N416" s="85"/>
      <c r="O416" s="85"/>
      <c r="P416" s="85"/>
      <c r="Q416" s="85"/>
      <c r="R416" s="43"/>
      <c r="S416" s="43"/>
      <c r="T416" s="43"/>
      <c r="U416" s="43"/>
      <c r="V416" s="43"/>
      <c r="W416" s="43"/>
      <c r="X416" s="43"/>
      <c r="Y416" s="43"/>
      <c r="Z416" s="43"/>
    </row>
    <row r="417">
      <c r="A417" s="89"/>
      <c r="B417" s="89"/>
      <c r="C417" s="89"/>
      <c r="D417" s="90"/>
      <c r="E417" s="91"/>
      <c r="F417" s="91"/>
      <c r="G417" s="91"/>
      <c r="H417" s="91"/>
      <c r="I417" s="85"/>
      <c r="J417" s="85"/>
      <c r="K417" s="85"/>
      <c r="L417" s="85"/>
      <c r="M417" s="85"/>
      <c r="N417" s="85"/>
      <c r="O417" s="85"/>
      <c r="P417" s="85"/>
      <c r="Q417" s="85"/>
      <c r="R417" s="43"/>
      <c r="S417" s="43"/>
      <c r="T417" s="43"/>
      <c r="U417" s="43"/>
      <c r="V417" s="43"/>
      <c r="W417" s="43"/>
      <c r="X417" s="43"/>
      <c r="Y417" s="43"/>
      <c r="Z417" s="43"/>
    </row>
    <row r="418">
      <c r="A418" s="89"/>
      <c r="B418" s="89"/>
      <c r="C418" s="89"/>
      <c r="D418" s="90"/>
      <c r="E418" s="91"/>
      <c r="F418" s="91"/>
      <c r="G418" s="91"/>
      <c r="H418" s="91"/>
      <c r="I418" s="85"/>
      <c r="J418" s="85"/>
      <c r="K418" s="85"/>
      <c r="L418" s="85"/>
      <c r="M418" s="85"/>
      <c r="N418" s="85"/>
      <c r="O418" s="85"/>
      <c r="P418" s="85"/>
      <c r="Q418" s="85"/>
      <c r="R418" s="43"/>
      <c r="S418" s="43"/>
      <c r="T418" s="43"/>
      <c r="U418" s="43"/>
      <c r="V418" s="43"/>
      <c r="W418" s="43"/>
      <c r="X418" s="43"/>
      <c r="Y418" s="43"/>
      <c r="Z418" s="43"/>
    </row>
    <row r="419">
      <c r="A419" s="89"/>
      <c r="B419" s="89"/>
      <c r="C419" s="89"/>
      <c r="D419" s="90"/>
      <c r="E419" s="91"/>
      <c r="F419" s="91"/>
      <c r="G419" s="91"/>
      <c r="H419" s="91"/>
      <c r="I419" s="85"/>
      <c r="J419" s="85"/>
      <c r="K419" s="85"/>
      <c r="L419" s="85"/>
      <c r="M419" s="85"/>
      <c r="N419" s="85"/>
      <c r="O419" s="85"/>
      <c r="P419" s="85"/>
      <c r="Q419" s="85"/>
      <c r="R419" s="43"/>
      <c r="S419" s="43"/>
      <c r="T419" s="43"/>
      <c r="U419" s="43"/>
      <c r="V419" s="43"/>
      <c r="W419" s="43"/>
      <c r="X419" s="43"/>
      <c r="Y419" s="43"/>
      <c r="Z419" s="43"/>
    </row>
    <row r="420">
      <c r="A420" s="89"/>
      <c r="B420" s="89"/>
      <c r="C420" s="89"/>
      <c r="D420" s="90"/>
      <c r="E420" s="91"/>
      <c r="F420" s="91"/>
      <c r="G420" s="91"/>
      <c r="H420" s="91"/>
      <c r="I420" s="85"/>
      <c r="J420" s="85"/>
      <c r="K420" s="85"/>
      <c r="L420" s="85"/>
      <c r="M420" s="85"/>
      <c r="N420" s="85"/>
      <c r="O420" s="85"/>
      <c r="P420" s="85"/>
      <c r="Q420" s="85"/>
      <c r="R420" s="43"/>
      <c r="S420" s="43"/>
      <c r="T420" s="43"/>
      <c r="U420" s="43"/>
      <c r="V420" s="43"/>
      <c r="W420" s="43"/>
      <c r="X420" s="43"/>
      <c r="Y420" s="43"/>
      <c r="Z420" s="43"/>
    </row>
    <row r="421">
      <c r="A421" s="89"/>
      <c r="B421" s="89"/>
      <c r="C421" s="89"/>
      <c r="D421" s="90"/>
      <c r="E421" s="91"/>
      <c r="F421" s="91"/>
      <c r="G421" s="91"/>
      <c r="H421" s="91"/>
      <c r="I421" s="85"/>
      <c r="J421" s="85"/>
      <c r="K421" s="85"/>
      <c r="L421" s="85"/>
      <c r="M421" s="85"/>
      <c r="N421" s="85"/>
      <c r="O421" s="85"/>
      <c r="P421" s="85"/>
      <c r="Q421" s="85"/>
      <c r="R421" s="43"/>
      <c r="S421" s="43"/>
      <c r="T421" s="43"/>
      <c r="U421" s="43"/>
      <c r="V421" s="43"/>
      <c r="W421" s="43"/>
      <c r="X421" s="43"/>
      <c r="Y421" s="43"/>
      <c r="Z421" s="43"/>
    </row>
    <row r="422">
      <c r="A422" s="89"/>
      <c r="B422" s="89"/>
      <c r="C422" s="89"/>
      <c r="D422" s="90"/>
      <c r="E422" s="91"/>
      <c r="F422" s="91"/>
      <c r="G422" s="91"/>
      <c r="H422" s="91"/>
      <c r="I422" s="85"/>
      <c r="J422" s="85"/>
      <c r="K422" s="85"/>
      <c r="L422" s="85"/>
      <c r="M422" s="85"/>
      <c r="N422" s="85"/>
      <c r="O422" s="85"/>
      <c r="P422" s="85"/>
      <c r="Q422" s="85"/>
      <c r="R422" s="43"/>
      <c r="S422" s="43"/>
      <c r="T422" s="43"/>
      <c r="U422" s="43"/>
      <c r="V422" s="43"/>
      <c r="W422" s="43"/>
      <c r="X422" s="43"/>
      <c r="Y422" s="43"/>
      <c r="Z422" s="43"/>
    </row>
    <row r="423">
      <c r="A423" s="89"/>
      <c r="B423" s="89"/>
      <c r="C423" s="89"/>
      <c r="D423" s="90"/>
      <c r="E423" s="91"/>
      <c r="F423" s="91"/>
      <c r="G423" s="91"/>
      <c r="H423" s="91"/>
      <c r="I423" s="85"/>
      <c r="J423" s="85"/>
      <c r="K423" s="85"/>
      <c r="L423" s="85"/>
      <c r="M423" s="85"/>
      <c r="N423" s="85"/>
      <c r="O423" s="85"/>
      <c r="P423" s="85"/>
      <c r="Q423" s="85"/>
      <c r="R423" s="43"/>
      <c r="S423" s="43"/>
      <c r="T423" s="43"/>
      <c r="U423" s="43"/>
      <c r="V423" s="43"/>
      <c r="W423" s="43"/>
      <c r="X423" s="43"/>
      <c r="Y423" s="43"/>
      <c r="Z423" s="43"/>
    </row>
    <row r="424">
      <c r="A424" s="89"/>
      <c r="B424" s="89"/>
      <c r="C424" s="89"/>
      <c r="D424" s="90"/>
      <c r="E424" s="91"/>
      <c r="F424" s="91"/>
      <c r="G424" s="91"/>
      <c r="H424" s="91"/>
      <c r="I424" s="85"/>
      <c r="J424" s="85"/>
      <c r="K424" s="85"/>
      <c r="L424" s="85"/>
      <c r="M424" s="85"/>
      <c r="N424" s="85"/>
      <c r="O424" s="85"/>
      <c r="P424" s="85"/>
      <c r="Q424" s="85"/>
      <c r="R424" s="43"/>
      <c r="S424" s="43"/>
      <c r="T424" s="43"/>
      <c r="U424" s="43"/>
      <c r="V424" s="43"/>
      <c r="W424" s="43"/>
      <c r="X424" s="43"/>
      <c r="Y424" s="43"/>
      <c r="Z424" s="43"/>
    </row>
    <row r="425">
      <c r="A425" s="89"/>
      <c r="B425" s="89"/>
      <c r="C425" s="89"/>
      <c r="D425" s="90"/>
      <c r="E425" s="91"/>
      <c r="F425" s="91"/>
      <c r="G425" s="91"/>
      <c r="H425" s="91"/>
      <c r="I425" s="85"/>
      <c r="J425" s="85"/>
      <c r="K425" s="85"/>
      <c r="L425" s="85"/>
      <c r="M425" s="85"/>
      <c r="N425" s="85"/>
      <c r="O425" s="85"/>
      <c r="P425" s="85"/>
      <c r="Q425" s="85"/>
      <c r="R425" s="43"/>
      <c r="S425" s="43"/>
      <c r="T425" s="43"/>
      <c r="U425" s="43"/>
      <c r="V425" s="43"/>
      <c r="W425" s="43"/>
      <c r="X425" s="43"/>
      <c r="Y425" s="43"/>
      <c r="Z425" s="43"/>
    </row>
    <row r="426">
      <c r="A426" s="89"/>
      <c r="B426" s="89"/>
      <c r="C426" s="89"/>
      <c r="D426" s="90"/>
      <c r="E426" s="91"/>
      <c r="F426" s="91"/>
      <c r="G426" s="91"/>
      <c r="H426" s="91"/>
      <c r="I426" s="85"/>
      <c r="J426" s="85"/>
      <c r="K426" s="85"/>
      <c r="L426" s="85"/>
      <c r="M426" s="85"/>
      <c r="N426" s="85"/>
      <c r="O426" s="85"/>
      <c r="P426" s="85"/>
      <c r="Q426" s="85"/>
      <c r="R426" s="43"/>
      <c r="S426" s="43"/>
      <c r="T426" s="43"/>
      <c r="U426" s="43"/>
      <c r="V426" s="43"/>
      <c r="W426" s="43"/>
      <c r="X426" s="43"/>
      <c r="Y426" s="43"/>
      <c r="Z426" s="43"/>
    </row>
    <row r="427">
      <c r="A427" s="89"/>
      <c r="B427" s="89"/>
      <c r="C427" s="89"/>
      <c r="D427" s="90"/>
      <c r="E427" s="91"/>
      <c r="F427" s="91"/>
      <c r="G427" s="91"/>
      <c r="H427" s="91"/>
      <c r="I427" s="85"/>
      <c r="J427" s="85"/>
      <c r="K427" s="85"/>
      <c r="L427" s="85"/>
      <c r="M427" s="85"/>
      <c r="N427" s="85"/>
      <c r="O427" s="85"/>
      <c r="P427" s="85"/>
      <c r="Q427" s="85"/>
      <c r="R427" s="43"/>
      <c r="S427" s="43"/>
      <c r="T427" s="43"/>
      <c r="U427" s="43"/>
      <c r="V427" s="43"/>
      <c r="W427" s="43"/>
      <c r="X427" s="43"/>
      <c r="Y427" s="43"/>
      <c r="Z427" s="43"/>
    </row>
    <row r="428">
      <c r="A428" s="89"/>
      <c r="B428" s="89"/>
      <c r="C428" s="89"/>
      <c r="D428" s="90"/>
      <c r="E428" s="91"/>
      <c r="F428" s="91"/>
      <c r="G428" s="91"/>
      <c r="H428" s="91"/>
      <c r="I428" s="85"/>
      <c r="J428" s="85"/>
      <c r="K428" s="85"/>
      <c r="L428" s="85"/>
      <c r="M428" s="85"/>
      <c r="N428" s="85"/>
      <c r="O428" s="85"/>
      <c r="P428" s="85"/>
      <c r="Q428" s="85"/>
      <c r="R428" s="43"/>
      <c r="S428" s="43"/>
      <c r="T428" s="43"/>
      <c r="U428" s="43"/>
      <c r="V428" s="43"/>
      <c r="W428" s="43"/>
      <c r="X428" s="43"/>
      <c r="Y428" s="43"/>
      <c r="Z428" s="43"/>
    </row>
    <row r="429">
      <c r="A429" s="89"/>
      <c r="B429" s="89"/>
      <c r="C429" s="89"/>
      <c r="D429" s="90"/>
      <c r="E429" s="91"/>
      <c r="F429" s="91"/>
      <c r="G429" s="91"/>
      <c r="H429" s="91"/>
      <c r="I429" s="85"/>
      <c r="J429" s="85"/>
      <c r="K429" s="85"/>
      <c r="L429" s="85"/>
      <c r="M429" s="85"/>
      <c r="N429" s="85"/>
      <c r="O429" s="85"/>
      <c r="P429" s="85"/>
      <c r="Q429" s="85"/>
      <c r="R429" s="43"/>
      <c r="S429" s="43"/>
      <c r="T429" s="43"/>
      <c r="U429" s="43"/>
      <c r="V429" s="43"/>
      <c r="W429" s="43"/>
      <c r="X429" s="43"/>
      <c r="Y429" s="43"/>
      <c r="Z429" s="43"/>
    </row>
    <row r="430">
      <c r="A430" s="89"/>
      <c r="B430" s="89"/>
      <c r="C430" s="89"/>
      <c r="D430" s="90"/>
      <c r="E430" s="91"/>
      <c r="F430" s="91"/>
      <c r="G430" s="91"/>
      <c r="H430" s="91"/>
      <c r="I430" s="85"/>
      <c r="J430" s="85"/>
      <c r="K430" s="85"/>
      <c r="L430" s="85"/>
      <c r="M430" s="85"/>
      <c r="N430" s="85"/>
      <c r="O430" s="85"/>
      <c r="P430" s="85"/>
      <c r="Q430" s="85"/>
      <c r="R430" s="43"/>
      <c r="S430" s="43"/>
      <c r="T430" s="43"/>
      <c r="U430" s="43"/>
      <c r="V430" s="43"/>
      <c r="W430" s="43"/>
      <c r="X430" s="43"/>
      <c r="Y430" s="43"/>
      <c r="Z430" s="43"/>
    </row>
    <row r="431">
      <c r="A431" s="89"/>
      <c r="B431" s="89"/>
      <c r="C431" s="89"/>
      <c r="D431" s="90"/>
      <c r="E431" s="91"/>
      <c r="F431" s="91"/>
      <c r="G431" s="91"/>
      <c r="H431" s="91"/>
      <c r="I431" s="85"/>
      <c r="J431" s="85"/>
      <c r="K431" s="85"/>
      <c r="L431" s="85"/>
      <c r="M431" s="85"/>
      <c r="N431" s="85"/>
      <c r="O431" s="85"/>
      <c r="P431" s="85"/>
      <c r="Q431" s="85"/>
      <c r="R431" s="43"/>
      <c r="S431" s="43"/>
      <c r="T431" s="43"/>
      <c r="U431" s="43"/>
      <c r="V431" s="43"/>
      <c r="W431" s="43"/>
      <c r="X431" s="43"/>
      <c r="Y431" s="43"/>
      <c r="Z431" s="43"/>
    </row>
    <row r="432">
      <c r="A432" s="89"/>
      <c r="B432" s="89"/>
      <c r="C432" s="89"/>
      <c r="D432" s="90"/>
      <c r="E432" s="91"/>
      <c r="F432" s="91"/>
      <c r="G432" s="91"/>
      <c r="H432" s="91"/>
      <c r="I432" s="85"/>
      <c r="J432" s="85"/>
      <c r="K432" s="85"/>
      <c r="L432" s="85"/>
      <c r="M432" s="85"/>
      <c r="N432" s="85"/>
      <c r="O432" s="85"/>
      <c r="P432" s="85"/>
      <c r="Q432" s="85"/>
      <c r="R432" s="43"/>
      <c r="S432" s="43"/>
      <c r="T432" s="43"/>
      <c r="U432" s="43"/>
      <c r="V432" s="43"/>
      <c r="W432" s="43"/>
      <c r="X432" s="43"/>
      <c r="Y432" s="43"/>
      <c r="Z432" s="43"/>
    </row>
    <row r="433">
      <c r="A433" s="89"/>
      <c r="B433" s="89"/>
      <c r="C433" s="89"/>
      <c r="D433" s="90"/>
      <c r="E433" s="91"/>
      <c r="F433" s="91"/>
      <c r="G433" s="91"/>
      <c r="H433" s="91"/>
      <c r="I433" s="85"/>
      <c r="J433" s="85"/>
      <c r="K433" s="85"/>
      <c r="L433" s="85"/>
      <c r="M433" s="85"/>
      <c r="N433" s="85"/>
      <c r="O433" s="85"/>
      <c r="P433" s="85"/>
      <c r="Q433" s="85"/>
      <c r="R433" s="43"/>
      <c r="S433" s="43"/>
      <c r="T433" s="43"/>
      <c r="U433" s="43"/>
      <c r="V433" s="43"/>
      <c r="W433" s="43"/>
      <c r="X433" s="43"/>
      <c r="Y433" s="43"/>
      <c r="Z433" s="43"/>
    </row>
    <row r="434">
      <c r="A434" s="89"/>
      <c r="B434" s="89"/>
      <c r="C434" s="89"/>
      <c r="D434" s="90"/>
      <c r="E434" s="91"/>
      <c r="F434" s="91"/>
      <c r="G434" s="91"/>
      <c r="H434" s="91"/>
      <c r="I434" s="85"/>
      <c r="J434" s="85"/>
      <c r="K434" s="85"/>
      <c r="L434" s="85"/>
      <c r="M434" s="85"/>
      <c r="N434" s="85"/>
      <c r="O434" s="85"/>
      <c r="P434" s="85"/>
      <c r="Q434" s="85"/>
      <c r="R434" s="43"/>
      <c r="S434" s="43"/>
      <c r="T434" s="43"/>
      <c r="U434" s="43"/>
      <c r="V434" s="43"/>
      <c r="W434" s="43"/>
      <c r="X434" s="43"/>
      <c r="Y434" s="43"/>
      <c r="Z434" s="43"/>
    </row>
    <row r="435">
      <c r="A435" s="89"/>
      <c r="B435" s="89"/>
      <c r="C435" s="89"/>
      <c r="D435" s="90"/>
      <c r="E435" s="91"/>
      <c r="F435" s="91"/>
      <c r="G435" s="91"/>
      <c r="H435" s="91"/>
      <c r="I435" s="85"/>
      <c r="J435" s="85"/>
      <c r="K435" s="85"/>
      <c r="L435" s="85"/>
      <c r="M435" s="85"/>
      <c r="N435" s="85"/>
      <c r="O435" s="85"/>
      <c r="P435" s="85"/>
      <c r="Q435" s="85"/>
      <c r="R435" s="43"/>
      <c r="S435" s="43"/>
      <c r="T435" s="43"/>
      <c r="U435" s="43"/>
      <c r="V435" s="43"/>
      <c r="W435" s="43"/>
      <c r="X435" s="43"/>
      <c r="Y435" s="43"/>
      <c r="Z435" s="43"/>
    </row>
    <row r="436">
      <c r="A436" s="89"/>
      <c r="B436" s="89"/>
      <c r="C436" s="89"/>
      <c r="D436" s="90"/>
      <c r="E436" s="91"/>
      <c r="F436" s="91"/>
      <c r="G436" s="91"/>
      <c r="H436" s="91"/>
      <c r="I436" s="85"/>
      <c r="J436" s="85"/>
      <c r="K436" s="85"/>
      <c r="L436" s="85"/>
      <c r="M436" s="85"/>
      <c r="N436" s="85"/>
      <c r="O436" s="85"/>
      <c r="P436" s="85"/>
      <c r="Q436" s="85"/>
      <c r="R436" s="43"/>
      <c r="S436" s="43"/>
      <c r="T436" s="43"/>
      <c r="U436" s="43"/>
      <c r="V436" s="43"/>
      <c r="W436" s="43"/>
      <c r="X436" s="43"/>
      <c r="Y436" s="43"/>
      <c r="Z436" s="43"/>
    </row>
    <row r="437">
      <c r="A437" s="89"/>
      <c r="B437" s="89"/>
      <c r="C437" s="89"/>
      <c r="D437" s="90"/>
      <c r="E437" s="91"/>
      <c r="F437" s="91"/>
      <c r="G437" s="91"/>
      <c r="H437" s="91"/>
      <c r="I437" s="85"/>
      <c r="J437" s="85"/>
      <c r="K437" s="85"/>
      <c r="L437" s="85"/>
      <c r="M437" s="85"/>
      <c r="N437" s="85"/>
      <c r="O437" s="85"/>
      <c r="P437" s="85"/>
      <c r="Q437" s="85"/>
      <c r="R437" s="43"/>
      <c r="S437" s="43"/>
      <c r="T437" s="43"/>
      <c r="U437" s="43"/>
      <c r="V437" s="43"/>
      <c r="W437" s="43"/>
      <c r="X437" s="43"/>
      <c r="Y437" s="43"/>
      <c r="Z437" s="43"/>
    </row>
    <row r="438">
      <c r="A438" s="89"/>
      <c r="B438" s="89"/>
      <c r="C438" s="89"/>
      <c r="D438" s="90"/>
      <c r="E438" s="91"/>
      <c r="F438" s="91"/>
      <c r="G438" s="91"/>
      <c r="H438" s="91"/>
      <c r="I438" s="85"/>
      <c r="J438" s="85"/>
      <c r="K438" s="85"/>
      <c r="L438" s="85"/>
      <c r="M438" s="85"/>
      <c r="N438" s="85"/>
      <c r="O438" s="85"/>
      <c r="P438" s="85"/>
      <c r="Q438" s="85"/>
      <c r="R438" s="43"/>
      <c r="S438" s="43"/>
      <c r="T438" s="43"/>
      <c r="U438" s="43"/>
      <c r="V438" s="43"/>
      <c r="W438" s="43"/>
      <c r="X438" s="43"/>
      <c r="Y438" s="43"/>
      <c r="Z438" s="43"/>
    </row>
    <row r="439">
      <c r="A439" s="89"/>
      <c r="B439" s="89"/>
      <c r="C439" s="89"/>
      <c r="D439" s="90"/>
      <c r="E439" s="91"/>
      <c r="F439" s="91"/>
      <c r="G439" s="91"/>
      <c r="H439" s="91"/>
      <c r="I439" s="85"/>
      <c r="J439" s="85"/>
      <c r="K439" s="85"/>
      <c r="L439" s="85"/>
      <c r="M439" s="85"/>
      <c r="N439" s="85"/>
      <c r="O439" s="85"/>
      <c r="P439" s="85"/>
      <c r="Q439" s="85"/>
      <c r="R439" s="43"/>
      <c r="S439" s="43"/>
      <c r="T439" s="43"/>
      <c r="U439" s="43"/>
      <c r="V439" s="43"/>
      <c r="W439" s="43"/>
      <c r="X439" s="43"/>
      <c r="Y439" s="43"/>
      <c r="Z439" s="43"/>
    </row>
    <row r="440">
      <c r="A440" s="89"/>
      <c r="B440" s="89"/>
      <c r="C440" s="89"/>
      <c r="D440" s="90"/>
      <c r="E440" s="91"/>
      <c r="F440" s="91"/>
      <c r="G440" s="91"/>
      <c r="H440" s="91"/>
      <c r="I440" s="85"/>
      <c r="J440" s="85"/>
      <c r="K440" s="85"/>
      <c r="L440" s="85"/>
      <c r="M440" s="85"/>
      <c r="N440" s="85"/>
      <c r="O440" s="85"/>
      <c r="P440" s="85"/>
      <c r="Q440" s="85"/>
      <c r="R440" s="43"/>
      <c r="S440" s="43"/>
      <c r="T440" s="43"/>
      <c r="U440" s="43"/>
      <c r="V440" s="43"/>
      <c r="W440" s="43"/>
      <c r="X440" s="43"/>
      <c r="Y440" s="43"/>
      <c r="Z440" s="43"/>
    </row>
    <row r="441">
      <c r="A441" s="89"/>
      <c r="B441" s="89"/>
      <c r="C441" s="89"/>
      <c r="D441" s="90"/>
      <c r="E441" s="91"/>
      <c r="F441" s="91"/>
      <c r="G441" s="91"/>
      <c r="H441" s="91"/>
      <c r="I441" s="85"/>
      <c r="J441" s="85"/>
      <c r="K441" s="85"/>
      <c r="L441" s="85"/>
      <c r="M441" s="85"/>
      <c r="N441" s="85"/>
      <c r="O441" s="85"/>
      <c r="P441" s="85"/>
      <c r="Q441" s="85"/>
      <c r="R441" s="43"/>
      <c r="S441" s="43"/>
      <c r="T441" s="43"/>
      <c r="U441" s="43"/>
      <c r="V441" s="43"/>
      <c r="W441" s="43"/>
      <c r="X441" s="43"/>
      <c r="Y441" s="43"/>
      <c r="Z441" s="43"/>
    </row>
    <row r="442">
      <c r="A442" s="89"/>
      <c r="B442" s="89"/>
      <c r="C442" s="89"/>
      <c r="D442" s="90"/>
      <c r="E442" s="91"/>
      <c r="F442" s="91"/>
      <c r="G442" s="91"/>
      <c r="H442" s="91"/>
      <c r="I442" s="85"/>
      <c r="J442" s="85"/>
      <c r="K442" s="85"/>
      <c r="L442" s="85"/>
      <c r="M442" s="85"/>
      <c r="N442" s="85"/>
      <c r="O442" s="85"/>
      <c r="P442" s="85"/>
      <c r="Q442" s="85"/>
      <c r="R442" s="43"/>
      <c r="S442" s="43"/>
      <c r="T442" s="43"/>
      <c r="U442" s="43"/>
      <c r="V442" s="43"/>
      <c r="W442" s="43"/>
      <c r="X442" s="43"/>
      <c r="Y442" s="43"/>
      <c r="Z442" s="43"/>
    </row>
    <row r="443">
      <c r="A443" s="89"/>
      <c r="B443" s="89"/>
      <c r="C443" s="89"/>
      <c r="D443" s="90"/>
      <c r="E443" s="91"/>
      <c r="F443" s="91"/>
      <c r="G443" s="91"/>
      <c r="H443" s="91"/>
      <c r="I443" s="85"/>
      <c r="J443" s="85"/>
      <c r="K443" s="85"/>
      <c r="L443" s="85"/>
      <c r="M443" s="85"/>
      <c r="N443" s="85"/>
      <c r="O443" s="85"/>
      <c r="P443" s="85"/>
      <c r="Q443" s="85"/>
      <c r="R443" s="43"/>
      <c r="S443" s="43"/>
      <c r="T443" s="43"/>
      <c r="U443" s="43"/>
      <c r="V443" s="43"/>
      <c r="W443" s="43"/>
      <c r="X443" s="43"/>
      <c r="Y443" s="43"/>
      <c r="Z443" s="43"/>
    </row>
    <row r="444">
      <c r="A444" s="89"/>
      <c r="B444" s="89"/>
      <c r="C444" s="89"/>
      <c r="D444" s="90"/>
      <c r="E444" s="91"/>
      <c r="F444" s="91"/>
      <c r="G444" s="91"/>
      <c r="H444" s="91"/>
      <c r="I444" s="85"/>
      <c r="J444" s="85"/>
      <c r="K444" s="85"/>
      <c r="L444" s="85"/>
      <c r="M444" s="85"/>
      <c r="N444" s="85"/>
      <c r="O444" s="85"/>
      <c r="P444" s="85"/>
      <c r="Q444" s="85"/>
      <c r="R444" s="43"/>
      <c r="S444" s="43"/>
      <c r="T444" s="43"/>
      <c r="U444" s="43"/>
      <c r="V444" s="43"/>
      <c r="W444" s="43"/>
      <c r="X444" s="43"/>
      <c r="Y444" s="43"/>
      <c r="Z444" s="43"/>
    </row>
    <row r="445">
      <c r="A445" s="89"/>
      <c r="B445" s="89"/>
      <c r="C445" s="89"/>
      <c r="D445" s="90"/>
      <c r="E445" s="91"/>
      <c r="F445" s="91"/>
      <c r="G445" s="91"/>
      <c r="H445" s="91"/>
      <c r="I445" s="85"/>
      <c r="J445" s="85"/>
      <c r="K445" s="85"/>
      <c r="L445" s="85"/>
      <c r="M445" s="85"/>
      <c r="N445" s="85"/>
      <c r="O445" s="85"/>
      <c r="P445" s="85"/>
      <c r="Q445" s="85"/>
      <c r="R445" s="43"/>
      <c r="S445" s="43"/>
      <c r="T445" s="43"/>
      <c r="U445" s="43"/>
      <c r="V445" s="43"/>
      <c r="W445" s="43"/>
      <c r="X445" s="43"/>
      <c r="Y445" s="43"/>
      <c r="Z445" s="43"/>
    </row>
    <row r="446">
      <c r="A446" s="89"/>
      <c r="B446" s="89"/>
      <c r="C446" s="89"/>
      <c r="D446" s="90"/>
      <c r="E446" s="91"/>
      <c r="F446" s="91"/>
      <c r="G446" s="91"/>
      <c r="H446" s="91"/>
      <c r="I446" s="85"/>
      <c r="J446" s="85"/>
      <c r="K446" s="85"/>
      <c r="L446" s="85"/>
      <c r="M446" s="85"/>
      <c r="N446" s="85"/>
      <c r="O446" s="85"/>
      <c r="P446" s="85"/>
      <c r="Q446" s="85"/>
      <c r="R446" s="43"/>
      <c r="S446" s="43"/>
      <c r="T446" s="43"/>
      <c r="U446" s="43"/>
      <c r="V446" s="43"/>
      <c r="W446" s="43"/>
      <c r="X446" s="43"/>
      <c r="Y446" s="43"/>
      <c r="Z446" s="43"/>
    </row>
    <row r="447">
      <c r="A447" s="89"/>
      <c r="B447" s="89"/>
      <c r="C447" s="89"/>
      <c r="D447" s="90"/>
      <c r="E447" s="91"/>
      <c r="F447" s="91"/>
      <c r="G447" s="91"/>
      <c r="H447" s="91"/>
      <c r="I447" s="85"/>
      <c r="J447" s="85"/>
      <c r="K447" s="85"/>
      <c r="L447" s="85"/>
      <c r="M447" s="85"/>
      <c r="N447" s="85"/>
      <c r="O447" s="85"/>
      <c r="P447" s="85"/>
      <c r="Q447" s="85"/>
      <c r="R447" s="43"/>
      <c r="S447" s="43"/>
      <c r="T447" s="43"/>
      <c r="U447" s="43"/>
      <c r="V447" s="43"/>
      <c r="W447" s="43"/>
      <c r="X447" s="43"/>
      <c r="Y447" s="43"/>
      <c r="Z447" s="43"/>
    </row>
    <row r="448">
      <c r="A448" s="89"/>
      <c r="B448" s="89"/>
      <c r="C448" s="89"/>
      <c r="D448" s="90"/>
      <c r="E448" s="91"/>
      <c r="F448" s="91"/>
      <c r="G448" s="91"/>
      <c r="H448" s="91"/>
      <c r="I448" s="85"/>
      <c r="J448" s="85"/>
      <c r="K448" s="85"/>
      <c r="L448" s="85"/>
      <c r="M448" s="85"/>
      <c r="N448" s="85"/>
      <c r="O448" s="85"/>
      <c r="P448" s="85"/>
      <c r="Q448" s="85"/>
      <c r="R448" s="43"/>
      <c r="S448" s="43"/>
      <c r="T448" s="43"/>
      <c r="U448" s="43"/>
      <c r="V448" s="43"/>
      <c r="W448" s="43"/>
      <c r="X448" s="43"/>
      <c r="Y448" s="43"/>
      <c r="Z448" s="43"/>
    </row>
    <row r="449">
      <c r="A449" s="89"/>
      <c r="B449" s="89"/>
      <c r="C449" s="89"/>
      <c r="D449" s="90"/>
      <c r="E449" s="91"/>
      <c r="F449" s="91"/>
      <c r="G449" s="91"/>
      <c r="H449" s="91"/>
      <c r="I449" s="85"/>
      <c r="J449" s="85"/>
      <c r="K449" s="85"/>
      <c r="L449" s="85"/>
      <c r="M449" s="85"/>
      <c r="N449" s="85"/>
      <c r="O449" s="85"/>
      <c r="P449" s="85"/>
      <c r="Q449" s="85"/>
      <c r="R449" s="43"/>
      <c r="S449" s="43"/>
      <c r="T449" s="43"/>
      <c r="U449" s="43"/>
      <c r="V449" s="43"/>
      <c r="W449" s="43"/>
      <c r="X449" s="43"/>
      <c r="Y449" s="43"/>
      <c r="Z449" s="43"/>
    </row>
    <row r="450">
      <c r="A450" s="89"/>
      <c r="B450" s="89"/>
      <c r="C450" s="89"/>
      <c r="D450" s="90"/>
      <c r="E450" s="91"/>
      <c r="F450" s="91"/>
      <c r="G450" s="91"/>
      <c r="H450" s="91"/>
      <c r="I450" s="85"/>
      <c r="J450" s="85"/>
      <c r="K450" s="85"/>
      <c r="L450" s="85"/>
      <c r="M450" s="85"/>
      <c r="N450" s="85"/>
      <c r="O450" s="85"/>
      <c r="P450" s="85"/>
      <c r="Q450" s="85"/>
      <c r="R450" s="43"/>
      <c r="S450" s="43"/>
      <c r="T450" s="43"/>
      <c r="U450" s="43"/>
      <c r="V450" s="43"/>
      <c r="W450" s="43"/>
      <c r="X450" s="43"/>
      <c r="Y450" s="43"/>
      <c r="Z450" s="43"/>
    </row>
    <row r="451">
      <c r="A451" s="89"/>
      <c r="B451" s="89"/>
      <c r="C451" s="89"/>
      <c r="D451" s="90"/>
      <c r="E451" s="91"/>
      <c r="F451" s="91"/>
      <c r="G451" s="91"/>
      <c r="H451" s="91"/>
      <c r="I451" s="85"/>
      <c r="J451" s="85"/>
      <c r="K451" s="85"/>
      <c r="L451" s="85"/>
      <c r="M451" s="85"/>
      <c r="N451" s="85"/>
      <c r="O451" s="85"/>
      <c r="P451" s="85"/>
      <c r="Q451" s="85"/>
      <c r="R451" s="43"/>
      <c r="S451" s="43"/>
      <c r="T451" s="43"/>
      <c r="U451" s="43"/>
      <c r="V451" s="43"/>
      <c r="W451" s="43"/>
      <c r="X451" s="43"/>
      <c r="Y451" s="43"/>
      <c r="Z451" s="43"/>
    </row>
    <row r="452">
      <c r="A452" s="89"/>
      <c r="B452" s="89"/>
      <c r="C452" s="89"/>
      <c r="D452" s="90"/>
      <c r="E452" s="91"/>
      <c r="F452" s="91"/>
      <c r="G452" s="91"/>
      <c r="H452" s="91"/>
      <c r="I452" s="85"/>
      <c r="J452" s="85"/>
      <c r="K452" s="85"/>
      <c r="L452" s="85"/>
      <c r="M452" s="85"/>
      <c r="N452" s="85"/>
      <c r="O452" s="85"/>
      <c r="P452" s="85"/>
      <c r="Q452" s="85"/>
      <c r="R452" s="43"/>
      <c r="S452" s="43"/>
      <c r="T452" s="43"/>
      <c r="U452" s="43"/>
      <c r="V452" s="43"/>
      <c r="W452" s="43"/>
      <c r="X452" s="43"/>
      <c r="Y452" s="43"/>
      <c r="Z452" s="43"/>
    </row>
    <row r="453">
      <c r="A453" s="89"/>
      <c r="B453" s="89"/>
      <c r="C453" s="89"/>
      <c r="D453" s="90"/>
      <c r="E453" s="91"/>
      <c r="F453" s="91"/>
      <c r="G453" s="91"/>
      <c r="H453" s="91"/>
      <c r="I453" s="85"/>
      <c r="J453" s="85"/>
      <c r="K453" s="85"/>
      <c r="L453" s="85"/>
      <c r="M453" s="85"/>
      <c r="N453" s="85"/>
      <c r="O453" s="85"/>
      <c r="P453" s="85"/>
      <c r="Q453" s="85"/>
      <c r="R453" s="43"/>
      <c r="S453" s="43"/>
      <c r="T453" s="43"/>
      <c r="U453" s="43"/>
      <c r="V453" s="43"/>
      <c r="W453" s="43"/>
      <c r="X453" s="43"/>
      <c r="Y453" s="43"/>
      <c r="Z453" s="43"/>
    </row>
    <row r="454">
      <c r="A454" s="89"/>
      <c r="B454" s="89"/>
      <c r="C454" s="89"/>
      <c r="D454" s="90"/>
      <c r="E454" s="91"/>
      <c r="F454" s="91"/>
      <c r="G454" s="91"/>
      <c r="H454" s="91"/>
      <c r="I454" s="85"/>
      <c r="J454" s="85"/>
      <c r="K454" s="85"/>
      <c r="L454" s="85"/>
      <c r="M454" s="85"/>
      <c r="N454" s="85"/>
      <c r="O454" s="85"/>
      <c r="P454" s="85"/>
      <c r="Q454" s="85"/>
      <c r="R454" s="43"/>
      <c r="S454" s="43"/>
      <c r="T454" s="43"/>
      <c r="U454" s="43"/>
      <c r="V454" s="43"/>
      <c r="W454" s="43"/>
      <c r="X454" s="43"/>
      <c r="Y454" s="43"/>
      <c r="Z454" s="43"/>
    </row>
    <row r="455">
      <c r="A455" s="89"/>
      <c r="B455" s="89"/>
      <c r="C455" s="89"/>
      <c r="D455" s="90"/>
      <c r="E455" s="91"/>
      <c r="F455" s="91"/>
      <c r="G455" s="91"/>
      <c r="H455" s="91"/>
      <c r="I455" s="85"/>
      <c r="J455" s="85"/>
      <c r="K455" s="85"/>
      <c r="L455" s="85"/>
      <c r="M455" s="85"/>
      <c r="N455" s="85"/>
      <c r="O455" s="85"/>
      <c r="P455" s="85"/>
      <c r="Q455" s="85"/>
      <c r="R455" s="43"/>
      <c r="S455" s="43"/>
      <c r="T455" s="43"/>
      <c r="U455" s="43"/>
      <c r="V455" s="43"/>
      <c r="W455" s="43"/>
      <c r="X455" s="43"/>
      <c r="Y455" s="43"/>
      <c r="Z455" s="43"/>
    </row>
    <row r="456">
      <c r="A456" s="89"/>
      <c r="B456" s="89"/>
      <c r="C456" s="89"/>
      <c r="D456" s="90"/>
      <c r="E456" s="91"/>
      <c r="F456" s="91"/>
      <c r="G456" s="91"/>
      <c r="H456" s="91"/>
      <c r="I456" s="85"/>
      <c r="J456" s="85"/>
      <c r="K456" s="85"/>
      <c r="L456" s="85"/>
      <c r="M456" s="85"/>
      <c r="N456" s="85"/>
      <c r="O456" s="85"/>
      <c r="P456" s="85"/>
      <c r="Q456" s="85"/>
      <c r="R456" s="43"/>
      <c r="S456" s="43"/>
      <c r="T456" s="43"/>
      <c r="U456" s="43"/>
      <c r="V456" s="43"/>
      <c r="W456" s="43"/>
      <c r="X456" s="43"/>
      <c r="Y456" s="43"/>
      <c r="Z456" s="43"/>
    </row>
    <row r="457">
      <c r="A457" s="89"/>
      <c r="B457" s="89"/>
      <c r="C457" s="89"/>
      <c r="D457" s="90"/>
      <c r="E457" s="91"/>
      <c r="F457" s="91"/>
      <c r="G457" s="91"/>
      <c r="H457" s="91"/>
      <c r="I457" s="85"/>
      <c r="J457" s="85"/>
      <c r="K457" s="85"/>
      <c r="L457" s="85"/>
      <c r="M457" s="85"/>
      <c r="N457" s="85"/>
      <c r="O457" s="85"/>
      <c r="P457" s="85"/>
      <c r="Q457" s="85"/>
      <c r="R457" s="43"/>
      <c r="S457" s="43"/>
      <c r="T457" s="43"/>
      <c r="U457" s="43"/>
      <c r="V457" s="43"/>
      <c r="W457" s="43"/>
      <c r="X457" s="43"/>
      <c r="Y457" s="43"/>
      <c r="Z457" s="43"/>
    </row>
    <row r="458">
      <c r="A458" s="89"/>
      <c r="B458" s="89"/>
      <c r="C458" s="89"/>
      <c r="D458" s="90"/>
      <c r="E458" s="91"/>
      <c r="F458" s="91"/>
      <c r="G458" s="91"/>
      <c r="H458" s="91"/>
      <c r="I458" s="85"/>
      <c r="J458" s="85"/>
      <c r="K458" s="85"/>
      <c r="L458" s="85"/>
      <c r="M458" s="85"/>
      <c r="N458" s="85"/>
      <c r="O458" s="85"/>
      <c r="P458" s="85"/>
      <c r="Q458" s="85"/>
      <c r="R458" s="43"/>
      <c r="S458" s="43"/>
      <c r="T458" s="43"/>
      <c r="U458" s="43"/>
      <c r="V458" s="43"/>
      <c r="W458" s="43"/>
      <c r="X458" s="43"/>
      <c r="Y458" s="43"/>
      <c r="Z458" s="43"/>
    </row>
    <row r="459">
      <c r="A459" s="89"/>
      <c r="B459" s="89"/>
      <c r="C459" s="89"/>
      <c r="D459" s="90"/>
      <c r="E459" s="91"/>
      <c r="F459" s="91"/>
      <c r="G459" s="91"/>
      <c r="H459" s="91"/>
      <c r="I459" s="85"/>
      <c r="J459" s="85"/>
      <c r="K459" s="85"/>
      <c r="L459" s="85"/>
      <c r="M459" s="85"/>
      <c r="N459" s="85"/>
      <c r="O459" s="85"/>
      <c r="P459" s="85"/>
      <c r="Q459" s="85"/>
      <c r="R459" s="43"/>
      <c r="S459" s="43"/>
      <c r="T459" s="43"/>
      <c r="U459" s="43"/>
      <c r="V459" s="43"/>
      <c r="W459" s="43"/>
      <c r="X459" s="43"/>
      <c r="Y459" s="43"/>
      <c r="Z459" s="43"/>
    </row>
    <row r="460">
      <c r="A460" s="89"/>
      <c r="B460" s="89"/>
      <c r="C460" s="89"/>
      <c r="D460" s="90"/>
      <c r="E460" s="91"/>
      <c r="F460" s="91"/>
      <c r="G460" s="91"/>
      <c r="H460" s="91"/>
      <c r="I460" s="85"/>
      <c r="J460" s="85"/>
      <c r="K460" s="85"/>
      <c r="L460" s="85"/>
      <c r="M460" s="85"/>
      <c r="N460" s="85"/>
      <c r="O460" s="85"/>
      <c r="P460" s="85"/>
      <c r="Q460" s="85"/>
      <c r="R460" s="43"/>
      <c r="S460" s="43"/>
      <c r="T460" s="43"/>
      <c r="U460" s="43"/>
      <c r="V460" s="43"/>
      <c r="W460" s="43"/>
      <c r="X460" s="43"/>
      <c r="Y460" s="43"/>
      <c r="Z460" s="43"/>
    </row>
    <row r="461">
      <c r="A461" s="89"/>
      <c r="B461" s="89"/>
      <c r="C461" s="89"/>
      <c r="D461" s="90"/>
      <c r="E461" s="91"/>
      <c r="F461" s="91"/>
      <c r="G461" s="91"/>
      <c r="H461" s="91"/>
      <c r="I461" s="85"/>
      <c r="J461" s="85"/>
      <c r="K461" s="85"/>
      <c r="L461" s="85"/>
      <c r="M461" s="85"/>
      <c r="N461" s="85"/>
      <c r="O461" s="85"/>
      <c r="P461" s="85"/>
      <c r="Q461" s="85"/>
      <c r="R461" s="43"/>
      <c r="S461" s="43"/>
      <c r="T461" s="43"/>
      <c r="U461" s="43"/>
      <c r="V461" s="43"/>
      <c r="W461" s="43"/>
      <c r="X461" s="43"/>
      <c r="Y461" s="43"/>
      <c r="Z461" s="43"/>
    </row>
    <row r="462">
      <c r="A462" s="89"/>
      <c r="B462" s="89"/>
      <c r="C462" s="89"/>
      <c r="D462" s="90"/>
      <c r="E462" s="91"/>
      <c r="F462" s="91"/>
      <c r="G462" s="91"/>
      <c r="H462" s="91"/>
      <c r="I462" s="85"/>
      <c r="J462" s="85"/>
      <c r="K462" s="85"/>
      <c r="L462" s="85"/>
      <c r="M462" s="85"/>
      <c r="N462" s="85"/>
      <c r="O462" s="85"/>
      <c r="P462" s="85"/>
      <c r="Q462" s="85"/>
      <c r="R462" s="43"/>
      <c r="S462" s="43"/>
      <c r="T462" s="43"/>
      <c r="U462" s="43"/>
      <c r="V462" s="43"/>
      <c r="W462" s="43"/>
      <c r="X462" s="43"/>
      <c r="Y462" s="43"/>
      <c r="Z462" s="43"/>
    </row>
    <row r="463">
      <c r="A463" s="89"/>
      <c r="B463" s="89"/>
      <c r="C463" s="89"/>
      <c r="D463" s="90"/>
      <c r="E463" s="91"/>
      <c r="F463" s="91"/>
      <c r="G463" s="91"/>
      <c r="H463" s="91"/>
      <c r="I463" s="85"/>
      <c r="J463" s="85"/>
      <c r="K463" s="85"/>
      <c r="L463" s="85"/>
      <c r="M463" s="85"/>
      <c r="N463" s="85"/>
      <c r="O463" s="85"/>
      <c r="P463" s="85"/>
      <c r="Q463" s="85"/>
      <c r="R463" s="43"/>
      <c r="S463" s="43"/>
      <c r="T463" s="43"/>
      <c r="U463" s="43"/>
      <c r="V463" s="43"/>
      <c r="W463" s="43"/>
      <c r="X463" s="43"/>
      <c r="Y463" s="43"/>
      <c r="Z463" s="43"/>
    </row>
    <row r="464">
      <c r="A464" s="89"/>
      <c r="B464" s="89"/>
      <c r="C464" s="89"/>
      <c r="D464" s="90"/>
      <c r="E464" s="91"/>
      <c r="F464" s="91"/>
      <c r="G464" s="91"/>
      <c r="H464" s="91"/>
      <c r="I464" s="85"/>
      <c r="J464" s="85"/>
      <c r="K464" s="85"/>
      <c r="L464" s="85"/>
      <c r="M464" s="85"/>
      <c r="N464" s="85"/>
      <c r="O464" s="85"/>
      <c r="P464" s="85"/>
      <c r="Q464" s="85"/>
      <c r="R464" s="43"/>
      <c r="S464" s="43"/>
      <c r="T464" s="43"/>
      <c r="U464" s="43"/>
      <c r="V464" s="43"/>
      <c r="W464" s="43"/>
      <c r="X464" s="43"/>
      <c r="Y464" s="43"/>
      <c r="Z464" s="43"/>
    </row>
    <row r="465">
      <c r="A465" s="89"/>
      <c r="B465" s="89"/>
      <c r="C465" s="89"/>
      <c r="D465" s="90"/>
      <c r="E465" s="91"/>
      <c r="F465" s="91"/>
      <c r="G465" s="91"/>
      <c r="H465" s="91"/>
      <c r="I465" s="85"/>
      <c r="J465" s="85"/>
      <c r="K465" s="85"/>
      <c r="L465" s="85"/>
      <c r="M465" s="85"/>
      <c r="N465" s="85"/>
      <c r="O465" s="85"/>
      <c r="P465" s="85"/>
      <c r="Q465" s="85"/>
      <c r="R465" s="43"/>
      <c r="S465" s="43"/>
      <c r="T465" s="43"/>
      <c r="U465" s="43"/>
      <c r="V465" s="43"/>
      <c r="W465" s="43"/>
      <c r="X465" s="43"/>
      <c r="Y465" s="43"/>
      <c r="Z465" s="43"/>
    </row>
    <row r="466">
      <c r="A466" s="89"/>
      <c r="B466" s="89"/>
      <c r="C466" s="89"/>
      <c r="D466" s="90"/>
      <c r="E466" s="91"/>
      <c r="F466" s="91"/>
      <c r="G466" s="91"/>
      <c r="H466" s="91"/>
      <c r="I466" s="85"/>
      <c r="J466" s="85"/>
      <c r="K466" s="85"/>
      <c r="L466" s="85"/>
      <c r="M466" s="85"/>
      <c r="N466" s="85"/>
      <c r="O466" s="85"/>
      <c r="P466" s="85"/>
      <c r="Q466" s="85"/>
      <c r="R466" s="43"/>
      <c r="S466" s="43"/>
      <c r="T466" s="43"/>
      <c r="U466" s="43"/>
      <c r="V466" s="43"/>
      <c r="W466" s="43"/>
      <c r="X466" s="43"/>
      <c r="Y466" s="43"/>
      <c r="Z466" s="43"/>
    </row>
    <row r="467">
      <c r="A467" s="89"/>
      <c r="B467" s="89"/>
      <c r="C467" s="89"/>
      <c r="D467" s="90"/>
      <c r="E467" s="91"/>
      <c r="F467" s="91"/>
      <c r="G467" s="91"/>
      <c r="H467" s="91"/>
      <c r="I467" s="85"/>
      <c r="J467" s="85"/>
      <c r="K467" s="85"/>
      <c r="L467" s="85"/>
      <c r="M467" s="85"/>
      <c r="N467" s="85"/>
      <c r="O467" s="85"/>
      <c r="P467" s="85"/>
      <c r="Q467" s="85"/>
      <c r="R467" s="43"/>
      <c r="S467" s="43"/>
      <c r="T467" s="43"/>
      <c r="U467" s="43"/>
      <c r="V467" s="43"/>
      <c r="W467" s="43"/>
      <c r="X467" s="43"/>
      <c r="Y467" s="43"/>
      <c r="Z467" s="43"/>
    </row>
    <row r="468">
      <c r="A468" s="89"/>
      <c r="B468" s="89"/>
      <c r="C468" s="89"/>
      <c r="D468" s="90"/>
      <c r="E468" s="91"/>
      <c r="F468" s="91"/>
      <c r="G468" s="91"/>
      <c r="H468" s="91"/>
      <c r="I468" s="85"/>
      <c r="J468" s="85"/>
      <c r="K468" s="85"/>
      <c r="L468" s="85"/>
      <c r="M468" s="85"/>
      <c r="N468" s="85"/>
      <c r="O468" s="85"/>
      <c r="P468" s="85"/>
      <c r="Q468" s="85"/>
      <c r="R468" s="43"/>
      <c r="S468" s="43"/>
      <c r="T468" s="43"/>
      <c r="U468" s="43"/>
      <c r="V468" s="43"/>
      <c r="W468" s="43"/>
      <c r="X468" s="43"/>
      <c r="Y468" s="43"/>
      <c r="Z468" s="43"/>
    </row>
    <row r="469">
      <c r="A469" s="89"/>
      <c r="B469" s="89"/>
      <c r="C469" s="89"/>
      <c r="D469" s="90"/>
      <c r="E469" s="91"/>
      <c r="F469" s="91"/>
      <c r="G469" s="91"/>
      <c r="H469" s="91"/>
      <c r="I469" s="85"/>
      <c r="J469" s="85"/>
      <c r="K469" s="85"/>
      <c r="L469" s="85"/>
      <c r="M469" s="85"/>
      <c r="N469" s="85"/>
      <c r="O469" s="85"/>
      <c r="P469" s="85"/>
      <c r="Q469" s="85"/>
      <c r="R469" s="43"/>
      <c r="S469" s="43"/>
      <c r="T469" s="43"/>
      <c r="U469" s="43"/>
      <c r="V469" s="43"/>
      <c r="W469" s="43"/>
      <c r="X469" s="43"/>
      <c r="Y469" s="43"/>
      <c r="Z469" s="43"/>
    </row>
    <row r="470">
      <c r="A470" s="89"/>
      <c r="B470" s="89"/>
      <c r="C470" s="89"/>
      <c r="D470" s="90"/>
      <c r="E470" s="91"/>
      <c r="F470" s="91"/>
      <c r="G470" s="91"/>
      <c r="H470" s="91"/>
      <c r="I470" s="85"/>
      <c r="J470" s="85"/>
      <c r="K470" s="85"/>
      <c r="L470" s="85"/>
      <c r="M470" s="85"/>
      <c r="N470" s="85"/>
      <c r="O470" s="85"/>
      <c r="P470" s="85"/>
      <c r="Q470" s="85"/>
      <c r="R470" s="43"/>
      <c r="S470" s="43"/>
      <c r="T470" s="43"/>
      <c r="U470" s="43"/>
      <c r="V470" s="43"/>
      <c r="W470" s="43"/>
      <c r="X470" s="43"/>
      <c r="Y470" s="43"/>
      <c r="Z470" s="43"/>
    </row>
    <row r="471">
      <c r="A471" s="89"/>
      <c r="B471" s="89"/>
      <c r="C471" s="89"/>
      <c r="D471" s="90"/>
      <c r="E471" s="91"/>
      <c r="F471" s="91"/>
      <c r="G471" s="91"/>
      <c r="H471" s="91"/>
      <c r="I471" s="85"/>
      <c r="J471" s="85"/>
      <c r="K471" s="85"/>
      <c r="L471" s="85"/>
      <c r="M471" s="85"/>
      <c r="N471" s="85"/>
      <c r="O471" s="85"/>
      <c r="P471" s="85"/>
      <c r="Q471" s="85"/>
      <c r="R471" s="43"/>
      <c r="S471" s="43"/>
      <c r="T471" s="43"/>
      <c r="U471" s="43"/>
      <c r="V471" s="43"/>
      <c r="W471" s="43"/>
      <c r="X471" s="43"/>
      <c r="Y471" s="43"/>
      <c r="Z471" s="43"/>
    </row>
    <row r="472">
      <c r="A472" s="89"/>
      <c r="B472" s="89"/>
      <c r="C472" s="89"/>
      <c r="D472" s="90"/>
      <c r="E472" s="91"/>
      <c r="F472" s="91"/>
      <c r="G472" s="91"/>
      <c r="H472" s="91"/>
      <c r="I472" s="85"/>
      <c r="J472" s="85"/>
      <c r="K472" s="85"/>
      <c r="L472" s="85"/>
      <c r="M472" s="85"/>
      <c r="N472" s="85"/>
      <c r="O472" s="85"/>
      <c r="P472" s="85"/>
      <c r="Q472" s="85"/>
      <c r="R472" s="43"/>
      <c r="S472" s="43"/>
      <c r="T472" s="43"/>
      <c r="U472" s="43"/>
      <c r="V472" s="43"/>
      <c r="W472" s="43"/>
      <c r="X472" s="43"/>
      <c r="Y472" s="43"/>
      <c r="Z472" s="43"/>
    </row>
    <row r="473">
      <c r="A473" s="89"/>
      <c r="B473" s="89"/>
      <c r="C473" s="89"/>
      <c r="D473" s="90"/>
      <c r="E473" s="91"/>
      <c r="F473" s="91"/>
      <c r="G473" s="91"/>
      <c r="H473" s="91"/>
      <c r="I473" s="85"/>
      <c r="J473" s="85"/>
      <c r="K473" s="85"/>
      <c r="L473" s="85"/>
      <c r="M473" s="85"/>
      <c r="N473" s="85"/>
      <c r="O473" s="85"/>
      <c r="P473" s="85"/>
      <c r="Q473" s="85"/>
      <c r="R473" s="43"/>
      <c r="S473" s="43"/>
      <c r="T473" s="43"/>
      <c r="U473" s="43"/>
      <c r="V473" s="43"/>
      <c r="W473" s="43"/>
      <c r="X473" s="43"/>
      <c r="Y473" s="43"/>
      <c r="Z473" s="43"/>
    </row>
    <row r="474">
      <c r="A474" s="89"/>
      <c r="B474" s="89"/>
      <c r="C474" s="89"/>
      <c r="D474" s="90"/>
      <c r="E474" s="91"/>
      <c r="F474" s="91"/>
      <c r="G474" s="91"/>
      <c r="H474" s="91"/>
      <c r="I474" s="85"/>
      <c r="J474" s="85"/>
      <c r="K474" s="85"/>
      <c r="L474" s="85"/>
      <c r="M474" s="85"/>
      <c r="N474" s="85"/>
      <c r="O474" s="85"/>
      <c r="P474" s="85"/>
      <c r="Q474" s="85"/>
      <c r="R474" s="43"/>
      <c r="S474" s="43"/>
      <c r="T474" s="43"/>
      <c r="U474" s="43"/>
      <c r="V474" s="43"/>
      <c r="W474" s="43"/>
      <c r="X474" s="43"/>
      <c r="Y474" s="43"/>
      <c r="Z474" s="43"/>
    </row>
    <row r="475">
      <c r="A475" s="89"/>
      <c r="B475" s="89"/>
      <c r="C475" s="89"/>
      <c r="D475" s="90"/>
      <c r="E475" s="91"/>
      <c r="F475" s="91"/>
      <c r="G475" s="91"/>
      <c r="H475" s="91"/>
      <c r="I475" s="85"/>
      <c r="J475" s="85"/>
      <c r="K475" s="85"/>
      <c r="L475" s="85"/>
      <c r="M475" s="85"/>
      <c r="N475" s="85"/>
      <c r="O475" s="85"/>
      <c r="P475" s="85"/>
      <c r="Q475" s="85"/>
      <c r="R475" s="43"/>
      <c r="S475" s="43"/>
      <c r="T475" s="43"/>
      <c r="U475" s="43"/>
      <c r="V475" s="43"/>
      <c r="W475" s="43"/>
      <c r="X475" s="43"/>
      <c r="Y475" s="43"/>
      <c r="Z475" s="43"/>
    </row>
    <row r="476">
      <c r="A476" s="89"/>
      <c r="B476" s="89"/>
      <c r="C476" s="89"/>
      <c r="D476" s="90"/>
      <c r="E476" s="91"/>
      <c r="F476" s="91"/>
      <c r="G476" s="91"/>
      <c r="H476" s="91"/>
      <c r="I476" s="85"/>
      <c r="J476" s="85"/>
      <c r="K476" s="85"/>
      <c r="L476" s="85"/>
      <c r="M476" s="85"/>
      <c r="N476" s="85"/>
      <c r="O476" s="85"/>
      <c r="P476" s="85"/>
      <c r="Q476" s="85"/>
      <c r="R476" s="43"/>
      <c r="S476" s="43"/>
      <c r="T476" s="43"/>
      <c r="U476" s="43"/>
      <c r="V476" s="43"/>
      <c r="W476" s="43"/>
      <c r="X476" s="43"/>
      <c r="Y476" s="43"/>
      <c r="Z476" s="43"/>
    </row>
    <row r="477">
      <c r="A477" s="89"/>
      <c r="B477" s="89"/>
      <c r="C477" s="89"/>
      <c r="D477" s="90"/>
      <c r="E477" s="91"/>
      <c r="F477" s="91"/>
      <c r="G477" s="91"/>
      <c r="H477" s="91"/>
      <c r="I477" s="85"/>
      <c r="J477" s="85"/>
      <c r="K477" s="85"/>
      <c r="L477" s="85"/>
      <c r="M477" s="85"/>
      <c r="N477" s="85"/>
      <c r="O477" s="85"/>
      <c r="P477" s="85"/>
      <c r="Q477" s="85"/>
      <c r="R477" s="43"/>
      <c r="S477" s="43"/>
      <c r="T477" s="43"/>
      <c r="U477" s="43"/>
      <c r="V477" s="43"/>
      <c r="W477" s="43"/>
      <c r="X477" s="43"/>
      <c r="Y477" s="43"/>
      <c r="Z477" s="43"/>
    </row>
    <row r="478">
      <c r="A478" s="89"/>
      <c r="B478" s="89"/>
      <c r="C478" s="89"/>
      <c r="D478" s="90"/>
      <c r="E478" s="91"/>
      <c r="F478" s="91"/>
      <c r="G478" s="91"/>
      <c r="H478" s="91"/>
      <c r="I478" s="85"/>
      <c r="J478" s="85"/>
      <c r="K478" s="85"/>
      <c r="L478" s="85"/>
      <c r="M478" s="85"/>
      <c r="N478" s="85"/>
      <c r="O478" s="85"/>
      <c r="P478" s="85"/>
      <c r="Q478" s="85"/>
      <c r="R478" s="43"/>
      <c r="S478" s="43"/>
      <c r="T478" s="43"/>
      <c r="U478" s="43"/>
      <c r="V478" s="43"/>
      <c r="W478" s="43"/>
      <c r="X478" s="43"/>
      <c r="Y478" s="43"/>
      <c r="Z478" s="43"/>
    </row>
    <row r="479">
      <c r="A479" s="89"/>
      <c r="B479" s="89"/>
      <c r="C479" s="89"/>
      <c r="D479" s="90"/>
      <c r="E479" s="91"/>
      <c r="F479" s="91"/>
      <c r="G479" s="91"/>
      <c r="H479" s="91"/>
      <c r="I479" s="85"/>
      <c r="J479" s="85"/>
      <c r="K479" s="85"/>
      <c r="L479" s="85"/>
      <c r="M479" s="85"/>
      <c r="N479" s="85"/>
      <c r="O479" s="85"/>
      <c r="P479" s="85"/>
      <c r="Q479" s="85"/>
      <c r="R479" s="43"/>
      <c r="S479" s="43"/>
      <c r="T479" s="43"/>
      <c r="U479" s="43"/>
      <c r="V479" s="43"/>
      <c r="W479" s="43"/>
      <c r="X479" s="43"/>
      <c r="Y479" s="43"/>
      <c r="Z479" s="43"/>
    </row>
    <row r="480">
      <c r="A480" s="89"/>
      <c r="B480" s="89"/>
      <c r="C480" s="89"/>
      <c r="D480" s="90"/>
      <c r="E480" s="91"/>
      <c r="F480" s="91"/>
      <c r="G480" s="91"/>
      <c r="H480" s="91"/>
      <c r="I480" s="85"/>
      <c r="J480" s="85"/>
      <c r="K480" s="85"/>
      <c r="L480" s="85"/>
      <c r="M480" s="85"/>
      <c r="N480" s="85"/>
      <c r="O480" s="85"/>
      <c r="P480" s="85"/>
      <c r="Q480" s="85"/>
      <c r="R480" s="43"/>
      <c r="S480" s="43"/>
      <c r="T480" s="43"/>
      <c r="U480" s="43"/>
      <c r="V480" s="43"/>
      <c r="W480" s="43"/>
      <c r="X480" s="43"/>
      <c r="Y480" s="43"/>
      <c r="Z480" s="43"/>
    </row>
    <row r="481">
      <c r="A481" s="89"/>
      <c r="B481" s="89"/>
      <c r="C481" s="89"/>
      <c r="D481" s="90"/>
      <c r="E481" s="91"/>
      <c r="F481" s="91"/>
      <c r="G481" s="91"/>
      <c r="H481" s="91"/>
      <c r="I481" s="85"/>
      <c r="J481" s="85"/>
      <c r="K481" s="85"/>
      <c r="L481" s="85"/>
      <c r="M481" s="85"/>
      <c r="N481" s="85"/>
      <c r="O481" s="85"/>
      <c r="P481" s="85"/>
      <c r="Q481" s="85"/>
      <c r="R481" s="43"/>
      <c r="S481" s="43"/>
      <c r="T481" s="43"/>
      <c r="U481" s="43"/>
      <c r="V481" s="43"/>
      <c r="W481" s="43"/>
      <c r="X481" s="43"/>
      <c r="Y481" s="43"/>
      <c r="Z481" s="43"/>
    </row>
    <row r="482">
      <c r="A482" s="89"/>
      <c r="B482" s="89"/>
      <c r="C482" s="89"/>
      <c r="D482" s="90"/>
      <c r="E482" s="91"/>
      <c r="F482" s="91"/>
      <c r="G482" s="91"/>
      <c r="H482" s="91"/>
      <c r="I482" s="85"/>
      <c r="J482" s="85"/>
      <c r="K482" s="85"/>
      <c r="L482" s="85"/>
      <c r="M482" s="85"/>
      <c r="N482" s="85"/>
      <c r="O482" s="85"/>
      <c r="P482" s="85"/>
      <c r="Q482" s="85"/>
      <c r="R482" s="43"/>
      <c r="S482" s="43"/>
      <c r="T482" s="43"/>
      <c r="U482" s="43"/>
      <c r="V482" s="43"/>
      <c r="W482" s="43"/>
      <c r="X482" s="43"/>
      <c r="Y482" s="43"/>
      <c r="Z482" s="43"/>
    </row>
    <row r="483">
      <c r="A483" s="89"/>
      <c r="B483" s="89"/>
      <c r="C483" s="89"/>
      <c r="D483" s="90"/>
      <c r="E483" s="91"/>
      <c r="F483" s="91"/>
      <c r="G483" s="91"/>
      <c r="H483" s="91"/>
      <c r="I483" s="85"/>
      <c r="J483" s="85"/>
      <c r="K483" s="85"/>
      <c r="L483" s="85"/>
      <c r="M483" s="85"/>
      <c r="N483" s="85"/>
      <c r="O483" s="85"/>
      <c r="P483" s="85"/>
      <c r="Q483" s="85"/>
      <c r="R483" s="43"/>
      <c r="S483" s="43"/>
      <c r="T483" s="43"/>
      <c r="U483" s="43"/>
      <c r="V483" s="43"/>
      <c r="W483" s="43"/>
      <c r="X483" s="43"/>
      <c r="Y483" s="43"/>
      <c r="Z483" s="43"/>
    </row>
    <row r="484">
      <c r="A484" s="89"/>
      <c r="B484" s="89"/>
      <c r="C484" s="89"/>
      <c r="D484" s="90"/>
      <c r="E484" s="91"/>
      <c r="F484" s="91"/>
      <c r="G484" s="91"/>
      <c r="H484" s="91"/>
      <c r="I484" s="85"/>
      <c r="J484" s="85"/>
      <c r="K484" s="85"/>
      <c r="L484" s="85"/>
      <c r="M484" s="85"/>
      <c r="N484" s="85"/>
      <c r="O484" s="85"/>
      <c r="P484" s="85"/>
      <c r="Q484" s="85"/>
      <c r="R484" s="43"/>
      <c r="S484" s="43"/>
      <c r="T484" s="43"/>
      <c r="U484" s="43"/>
      <c r="V484" s="43"/>
      <c r="W484" s="43"/>
      <c r="X484" s="43"/>
      <c r="Y484" s="43"/>
      <c r="Z484" s="43"/>
    </row>
    <row r="485">
      <c r="A485" s="89"/>
      <c r="B485" s="89"/>
      <c r="C485" s="89"/>
      <c r="D485" s="90"/>
      <c r="E485" s="91"/>
      <c r="F485" s="91"/>
      <c r="G485" s="91"/>
      <c r="H485" s="91"/>
      <c r="I485" s="85"/>
      <c r="J485" s="85"/>
      <c r="K485" s="85"/>
      <c r="L485" s="85"/>
      <c r="M485" s="85"/>
      <c r="N485" s="85"/>
      <c r="O485" s="85"/>
      <c r="P485" s="85"/>
      <c r="Q485" s="85"/>
      <c r="R485" s="43"/>
      <c r="S485" s="43"/>
      <c r="T485" s="43"/>
      <c r="U485" s="43"/>
      <c r="V485" s="43"/>
      <c r="W485" s="43"/>
      <c r="X485" s="43"/>
      <c r="Y485" s="43"/>
      <c r="Z485" s="43"/>
    </row>
    <row r="486">
      <c r="A486" s="89"/>
      <c r="B486" s="89"/>
      <c r="C486" s="89"/>
      <c r="D486" s="90"/>
      <c r="E486" s="91"/>
      <c r="F486" s="91"/>
      <c r="G486" s="91"/>
      <c r="H486" s="91"/>
      <c r="I486" s="85"/>
      <c r="J486" s="85"/>
      <c r="K486" s="85"/>
      <c r="L486" s="85"/>
      <c r="M486" s="85"/>
      <c r="N486" s="85"/>
      <c r="O486" s="85"/>
      <c r="P486" s="85"/>
      <c r="Q486" s="85"/>
      <c r="R486" s="43"/>
      <c r="S486" s="43"/>
      <c r="T486" s="43"/>
      <c r="U486" s="43"/>
      <c r="V486" s="43"/>
      <c r="W486" s="43"/>
      <c r="X486" s="43"/>
      <c r="Y486" s="43"/>
      <c r="Z486" s="43"/>
    </row>
    <row r="487">
      <c r="A487" s="89"/>
      <c r="B487" s="89"/>
      <c r="C487" s="89"/>
      <c r="D487" s="90"/>
      <c r="E487" s="91"/>
      <c r="F487" s="91"/>
      <c r="G487" s="91"/>
      <c r="H487" s="91"/>
      <c r="I487" s="85"/>
      <c r="J487" s="85"/>
      <c r="K487" s="85"/>
      <c r="L487" s="85"/>
      <c r="M487" s="85"/>
      <c r="N487" s="85"/>
      <c r="O487" s="85"/>
      <c r="P487" s="85"/>
      <c r="Q487" s="85"/>
      <c r="R487" s="43"/>
      <c r="S487" s="43"/>
      <c r="T487" s="43"/>
      <c r="U487" s="43"/>
      <c r="V487" s="43"/>
      <c r="W487" s="43"/>
      <c r="X487" s="43"/>
      <c r="Y487" s="43"/>
      <c r="Z487" s="43"/>
    </row>
    <row r="488">
      <c r="A488" s="89"/>
      <c r="B488" s="89"/>
      <c r="C488" s="89"/>
      <c r="D488" s="90"/>
      <c r="E488" s="91"/>
      <c r="F488" s="91"/>
      <c r="G488" s="91"/>
      <c r="H488" s="91"/>
      <c r="I488" s="85"/>
      <c r="J488" s="85"/>
      <c r="K488" s="85"/>
      <c r="L488" s="85"/>
      <c r="M488" s="85"/>
      <c r="N488" s="85"/>
      <c r="O488" s="85"/>
      <c r="P488" s="85"/>
      <c r="Q488" s="85"/>
      <c r="R488" s="43"/>
      <c r="S488" s="43"/>
      <c r="T488" s="43"/>
      <c r="U488" s="43"/>
      <c r="V488" s="43"/>
      <c r="W488" s="43"/>
      <c r="X488" s="43"/>
      <c r="Y488" s="43"/>
      <c r="Z488" s="43"/>
    </row>
    <row r="489">
      <c r="A489" s="89"/>
      <c r="B489" s="89"/>
      <c r="C489" s="89"/>
      <c r="D489" s="90"/>
      <c r="E489" s="91"/>
      <c r="F489" s="91"/>
      <c r="G489" s="91"/>
      <c r="H489" s="91"/>
      <c r="I489" s="85"/>
      <c r="J489" s="85"/>
      <c r="K489" s="85"/>
      <c r="L489" s="85"/>
      <c r="M489" s="85"/>
      <c r="N489" s="85"/>
      <c r="O489" s="85"/>
      <c r="P489" s="85"/>
      <c r="Q489" s="85"/>
      <c r="R489" s="43"/>
      <c r="S489" s="43"/>
      <c r="T489" s="43"/>
      <c r="U489" s="43"/>
      <c r="V489" s="43"/>
      <c r="W489" s="43"/>
      <c r="X489" s="43"/>
      <c r="Y489" s="43"/>
      <c r="Z489" s="43"/>
    </row>
    <row r="490">
      <c r="A490" s="89"/>
      <c r="B490" s="89"/>
      <c r="C490" s="89"/>
      <c r="D490" s="90"/>
      <c r="E490" s="91"/>
      <c r="F490" s="91"/>
      <c r="G490" s="91"/>
      <c r="H490" s="91"/>
      <c r="I490" s="85"/>
      <c r="J490" s="85"/>
      <c r="K490" s="85"/>
      <c r="L490" s="85"/>
      <c r="M490" s="85"/>
      <c r="N490" s="85"/>
      <c r="O490" s="85"/>
      <c r="P490" s="85"/>
      <c r="Q490" s="85"/>
      <c r="R490" s="43"/>
      <c r="S490" s="43"/>
      <c r="T490" s="43"/>
      <c r="U490" s="43"/>
      <c r="V490" s="43"/>
      <c r="W490" s="43"/>
      <c r="X490" s="43"/>
      <c r="Y490" s="43"/>
      <c r="Z490" s="43"/>
    </row>
    <row r="491">
      <c r="A491" s="89"/>
      <c r="B491" s="89"/>
      <c r="C491" s="89"/>
      <c r="D491" s="90"/>
      <c r="E491" s="91"/>
      <c r="F491" s="91"/>
      <c r="G491" s="91"/>
      <c r="H491" s="91"/>
      <c r="I491" s="85"/>
      <c r="J491" s="85"/>
      <c r="K491" s="85"/>
      <c r="L491" s="85"/>
      <c r="M491" s="85"/>
      <c r="N491" s="85"/>
      <c r="O491" s="85"/>
      <c r="P491" s="85"/>
      <c r="Q491" s="85"/>
      <c r="R491" s="43"/>
      <c r="S491" s="43"/>
      <c r="T491" s="43"/>
      <c r="U491" s="43"/>
      <c r="V491" s="43"/>
      <c r="W491" s="43"/>
      <c r="X491" s="43"/>
      <c r="Y491" s="43"/>
      <c r="Z491" s="43"/>
    </row>
    <row r="492">
      <c r="A492" s="89"/>
      <c r="B492" s="89"/>
      <c r="C492" s="89"/>
      <c r="D492" s="90"/>
      <c r="E492" s="91"/>
      <c r="F492" s="91"/>
      <c r="G492" s="91"/>
      <c r="H492" s="91"/>
      <c r="I492" s="85"/>
      <c r="J492" s="85"/>
      <c r="K492" s="85"/>
      <c r="L492" s="85"/>
      <c r="M492" s="85"/>
      <c r="N492" s="85"/>
      <c r="O492" s="85"/>
      <c r="P492" s="85"/>
      <c r="Q492" s="85"/>
      <c r="R492" s="43"/>
      <c r="S492" s="43"/>
      <c r="T492" s="43"/>
      <c r="U492" s="43"/>
      <c r="V492" s="43"/>
      <c r="W492" s="43"/>
      <c r="X492" s="43"/>
      <c r="Y492" s="43"/>
      <c r="Z492" s="43"/>
    </row>
    <row r="493">
      <c r="A493" s="89"/>
      <c r="B493" s="89"/>
      <c r="C493" s="89"/>
      <c r="D493" s="90"/>
      <c r="E493" s="91"/>
      <c r="F493" s="91"/>
      <c r="G493" s="91"/>
      <c r="H493" s="91"/>
      <c r="I493" s="85"/>
      <c r="J493" s="85"/>
      <c r="K493" s="85"/>
      <c r="L493" s="85"/>
      <c r="M493" s="85"/>
      <c r="N493" s="85"/>
      <c r="O493" s="85"/>
      <c r="P493" s="85"/>
      <c r="Q493" s="85"/>
      <c r="R493" s="43"/>
      <c r="S493" s="43"/>
      <c r="T493" s="43"/>
      <c r="U493" s="43"/>
      <c r="V493" s="43"/>
      <c r="W493" s="43"/>
      <c r="X493" s="43"/>
      <c r="Y493" s="43"/>
      <c r="Z493" s="43"/>
    </row>
    <row r="494">
      <c r="A494" s="89"/>
      <c r="B494" s="89"/>
      <c r="C494" s="89"/>
      <c r="D494" s="90"/>
      <c r="E494" s="91"/>
      <c r="F494" s="91"/>
      <c r="G494" s="91"/>
      <c r="H494" s="91"/>
      <c r="I494" s="85"/>
      <c r="J494" s="85"/>
      <c r="K494" s="85"/>
      <c r="L494" s="85"/>
      <c r="M494" s="85"/>
      <c r="N494" s="85"/>
      <c r="O494" s="85"/>
      <c r="P494" s="85"/>
      <c r="Q494" s="85"/>
      <c r="R494" s="43"/>
      <c r="S494" s="43"/>
      <c r="T494" s="43"/>
      <c r="U494" s="43"/>
      <c r="V494" s="43"/>
      <c r="W494" s="43"/>
      <c r="X494" s="43"/>
      <c r="Y494" s="43"/>
      <c r="Z494" s="43"/>
    </row>
    <row r="495">
      <c r="A495" s="89"/>
      <c r="B495" s="89"/>
      <c r="C495" s="89"/>
      <c r="D495" s="90"/>
      <c r="E495" s="91"/>
      <c r="F495" s="91"/>
      <c r="G495" s="91"/>
      <c r="H495" s="91"/>
      <c r="I495" s="85"/>
      <c r="J495" s="85"/>
      <c r="K495" s="85"/>
      <c r="L495" s="85"/>
      <c r="M495" s="85"/>
      <c r="N495" s="85"/>
      <c r="O495" s="85"/>
      <c r="P495" s="85"/>
      <c r="Q495" s="85"/>
      <c r="R495" s="43"/>
      <c r="S495" s="43"/>
      <c r="T495" s="43"/>
      <c r="U495" s="43"/>
      <c r="V495" s="43"/>
      <c r="W495" s="43"/>
      <c r="X495" s="43"/>
      <c r="Y495" s="43"/>
      <c r="Z495" s="43"/>
    </row>
    <row r="496">
      <c r="A496" s="89"/>
      <c r="B496" s="89"/>
      <c r="C496" s="89"/>
      <c r="D496" s="90"/>
      <c r="E496" s="91"/>
      <c r="F496" s="91"/>
      <c r="G496" s="91"/>
      <c r="H496" s="91"/>
      <c r="I496" s="85"/>
      <c r="J496" s="85"/>
      <c r="K496" s="85"/>
      <c r="L496" s="85"/>
      <c r="M496" s="85"/>
      <c r="N496" s="85"/>
      <c r="O496" s="85"/>
      <c r="P496" s="85"/>
      <c r="Q496" s="85"/>
      <c r="R496" s="43"/>
      <c r="S496" s="43"/>
      <c r="T496" s="43"/>
      <c r="U496" s="43"/>
      <c r="V496" s="43"/>
      <c r="W496" s="43"/>
      <c r="X496" s="43"/>
      <c r="Y496" s="43"/>
      <c r="Z496" s="43"/>
    </row>
    <row r="497">
      <c r="A497" s="89"/>
      <c r="B497" s="89"/>
      <c r="C497" s="89"/>
      <c r="D497" s="90"/>
      <c r="E497" s="91"/>
      <c r="F497" s="91"/>
      <c r="G497" s="91"/>
      <c r="H497" s="91"/>
      <c r="I497" s="85"/>
      <c r="J497" s="85"/>
      <c r="K497" s="85"/>
      <c r="L497" s="85"/>
      <c r="M497" s="85"/>
      <c r="N497" s="85"/>
      <c r="O497" s="85"/>
      <c r="P497" s="85"/>
      <c r="Q497" s="85"/>
      <c r="R497" s="43"/>
      <c r="S497" s="43"/>
      <c r="T497" s="43"/>
      <c r="U497" s="43"/>
      <c r="V497" s="43"/>
      <c r="W497" s="43"/>
      <c r="X497" s="43"/>
      <c r="Y497" s="43"/>
      <c r="Z497" s="43"/>
    </row>
    <row r="498">
      <c r="A498" s="89"/>
      <c r="B498" s="89"/>
      <c r="C498" s="89"/>
      <c r="D498" s="90"/>
      <c r="E498" s="91"/>
      <c r="F498" s="91"/>
      <c r="G498" s="91"/>
      <c r="H498" s="91"/>
      <c r="I498" s="85"/>
      <c r="J498" s="85"/>
      <c r="K498" s="85"/>
      <c r="L498" s="85"/>
      <c r="M498" s="85"/>
      <c r="N498" s="85"/>
      <c r="O498" s="85"/>
      <c r="P498" s="85"/>
      <c r="Q498" s="85"/>
      <c r="R498" s="43"/>
      <c r="S498" s="43"/>
      <c r="T498" s="43"/>
      <c r="U498" s="43"/>
      <c r="V498" s="43"/>
      <c r="W498" s="43"/>
      <c r="X498" s="43"/>
      <c r="Y498" s="43"/>
      <c r="Z498" s="43"/>
    </row>
    <row r="499">
      <c r="A499" s="89"/>
      <c r="B499" s="89"/>
      <c r="C499" s="89"/>
      <c r="D499" s="90"/>
      <c r="E499" s="91"/>
      <c r="F499" s="91"/>
      <c r="G499" s="91"/>
      <c r="H499" s="91"/>
      <c r="I499" s="85"/>
      <c r="J499" s="85"/>
      <c r="K499" s="85"/>
      <c r="L499" s="85"/>
      <c r="M499" s="85"/>
      <c r="N499" s="85"/>
      <c r="O499" s="85"/>
      <c r="P499" s="85"/>
      <c r="Q499" s="85"/>
      <c r="R499" s="43"/>
      <c r="S499" s="43"/>
      <c r="T499" s="43"/>
      <c r="U499" s="43"/>
      <c r="V499" s="43"/>
      <c r="W499" s="43"/>
      <c r="X499" s="43"/>
      <c r="Y499" s="43"/>
      <c r="Z499" s="43"/>
    </row>
    <row r="500">
      <c r="A500" s="89"/>
      <c r="B500" s="89"/>
      <c r="C500" s="89"/>
      <c r="D500" s="90"/>
      <c r="E500" s="91"/>
      <c r="F500" s="91"/>
      <c r="G500" s="91"/>
      <c r="H500" s="91"/>
      <c r="I500" s="85"/>
      <c r="J500" s="85"/>
      <c r="K500" s="85"/>
      <c r="L500" s="85"/>
      <c r="M500" s="85"/>
      <c r="N500" s="85"/>
      <c r="O500" s="85"/>
      <c r="P500" s="85"/>
      <c r="Q500" s="85"/>
      <c r="R500" s="43"/>
      <c r="S500" s="43"/>
      <c r="T500" s="43"/>
      <c r="U500" s="43"/>
      <c r="V500" s="43"/>
      <c r="W500" s="43"/>
      <c r="X500" s="43"/>
      <c r="Y500" s="43"/>
      <c r="Z500" s="43"/>
    </row>
    <row r="501">
      <c r="A501" s="89"/>
      <c r="B501" s="89"/>
      <c r="C501" s="89"/>
      <c r="D501" s="90"/>
      <c r="E501" s="91"/>
      <c r="F501" s="91"/>
      <c r="G501" s="91"/>
      <c r="H501" s="91"/>
      <c r="I501" s="85"/>
      <c r="J501" s="85"/>
      <c r="K501" s="85"/>
      <c r="L501" s="85"/>
      <c r="M501" s="85"/>
      <c r="N501" s="85"/>
      <c r="O501" s="85"/>
      <c r="P501" s="85"/>
      <c r="Q501" s="85"/>
      <c r="R501" s="43"/>
      <c r="S501" s="43"/>
      <c r="T501" s="43"/>
      <c r="U501" s="43"/>
      <c r="V501" s="43"/>
      <c r="W501" s="43"/>
      <c r="X501" s="43"/>
      <c r="Y501" s="43"/>
      <c r="Z501" s="43"/>
    </row>
    <row r="502">
      <c r="A502" s="89"/>
      <c r="B502" s="89"/>
      <c r="C502" s="89"/>
      <c r="D502" s="90"/>
      <c r="E502" s="91"/>
      <c r="F502" s="91"/>
      <c r="G502" s="91"/>
      <c r="H502" s="91"/>
      <c r="I502" s="85"/>
      <c r="J502" s="85"/>
      <c r="K502" s="85"/>
      <c r="L502" s="85"/>
      <c r="M502" s="85"/>
      <c r="N502" s="85"/>
      <c r="O502" s="85"/>
      <c r="P502" s="85"/>
      <c r="Q502" s="85"/>
      <c r="R502" s="43"/>
      <c r="S502" s="43"/>
      <c r="T502" s="43"/>
      <c r="U502" s="43"/>
      <c r="V502" s="43"/>
      <c r="W502" s="43"/>
      <c r="X502" s="43"/>
      <c r="Y502" s="43"/>
      <c r="Z502" s="43"/>
    </row>
    <row r="503">
      <c r="A503" s="89"/>
      <c r="B503" s="89"/>
      <c r="C503" s="89"/>
      <c r="D503" s="90"/>
      <c r="E503" s="91"/>
      <c r="F503" s="91"/>
      <c r="G503" s="91"/>
      <c r="H503" s="91"/>
      <c r="I503" s="85"/>
      <c r="J503" s="85"/>
      <c r="K503" s="85"/>
      <c r="L503" s="85"/>
      <c r="M503" s="85"/>
      <c r="N503" s="85"/>
      <c r="O503" s="85"/>
      <c r="P503" s="85"/>
      <c r="Q503" s="85"/>
      <c r="R503" s="43"/>
      <c r="S503" s="43"/>
      <c r="T503" s="43"/>
      <c r="U503" s="43"/>
      <c r="V503" s="43"/>
      <c r="W503" s="43"/>
      <c r="X503" s="43"/>
      <c r="Y503" s="43"/>
      <c r="Z503" s="43"/>
    </row>
    <row r="504">
      <c r="A504" s="89"/>
      <c r="B504" s="89"/>
      <c r="C504" s="89"/>
      <c r="D504" s="90"/>
      <c r="E504" s="91"/>
      <c r="F504" s="91"/>
      <c r="G504" s="91"/>
      <c r="H504" s="91"/>
      <c r="I504" s="85"/>
      <c r="J504" s="85"/>
      <c r="K504" s="85"/>
      <c r="L504" s="85"/>
      <c r="M504" s="85"/>
      <c r="N504" s="85"/>
      <c r="O504" s="85"/>
      <c r="P504" s="85"/>
      <c r="Q504" s="85"/>
      <c r="R504" s="43"/>
      <c r="S504" s="43"/>
      <c r="T504" s="43"/>
      <c r="U504" s="43"/>
      <c r="V504" s="43"/>
      <c r="W504" s="43"/>
      <c r="X504" s="43"/>
      <c r="Y504" s="43"/>
      <c r="Z504" s="43"/>
    </row>
    <row r="505">
      <c r="A505" s="89"/>
      <c r="B505" s="89"/>
      <c r="C505" s="89"/>
      <c r="D505" s="90"/>
      <c r="E505" s="91"/>
      <c r="F505" s="91"/>
      <c r="G505" s="91"/>
      <c r="H505" s="91"/>
      <c r="I505" s="85"/>
      <c r="J505" s="85"/>
      <c r="K505" s="85"/>
      <c r="L505" s="85"/>
      <c r="M505" s="85"/>
      <c r="N505" s="85"/>
      <c r="O505" s="85"/>
      <c r="P505" s="85"/>
      <c r="Q505" s="85"/>
      <c r="R505" s="43"/>
      <c r="S505" s="43"/>
      <c r="T505" s="43"/>
      <c r="U505" s="43"/>
      <c r="V505" s="43"/>
      <c r="W505" s="43"/>
      <c r="X505" s="43"/>
      <c r="Y505" s="43"/>
      <c r="Z505" s="43"/>
    </row>
    <row r="506">
      <c r="A506" s="89"/>
      <c r="B506" s="89"/>
      <c r="C506" s="89"/>
      <c r="D506" s="90"/>
      <c r="E506" s="91"/>
      <c r="F506" s="91"/>
      <c r="G506" s="91"/>
      <c r="H506" s="91"/>
      <c r="I506" s="85"/>
      <c r="J506" s="85"/>
      <c r="K506" s="85"/>
      <c r="L506" s="85"/>
      <c r="M506" s="85"/>
      <c r="N506" s="85"/>
      <c r="O506" s="85"/>
      <c r="P506" s="85"/>
      <c r="Q506" s="85"/>
      <c r="R506" s="43"/>
      <c r="S506" s="43"/>
      <c r="T506" s="43"/>
      <c r="U506" s="43"/>
      <c r="V506" s="43"/>
      <c r="W506" s="43"/>
      <c r="X506" s="43"/>
      <c r="Y506" s="43"/>
      <c r="Z506" s="43"/>
    </row>
    <row r="507">
      <c r="A507" s="89"/>
      <c r="B507" s="89"/>
      <c r="C507" s="89"/>
      <c r="D507" s="90"/>
      <c r="E507" s="91"/>
      <c r="F507" s="91"/>
      <c r="G507" s="91"/>
      <c r="H507" s="91"/>
      <c r="I507" s="85"/>
      <c r="J507" s="85"/>
      <c r="K507" s="85"/>
      <c r="L507" s="85"/>
      <c r="M507" s="85"/>
      <c r="N507" s="85"/>
      <c r="O507" s="85"/>
      <c r="P507" s="85"/>
      <c r="Q507" s="85"/>
      <c r="R507" s="43"/>
      <c r="S507" s="43"/>
      <c r="T507" s="43"/>
      <c r="U507" s="43"/>
      <c r="V507" s="43"/>
      <c r="W507" s="43"/>
      <c r="X507" s="43"/>
      <c r="Y507" s="43"/>
      <c r="Z507" s="43"/>
    </row>
    <row r="508">
      <c r="A508" s="89"/>
      <c r="B508" s="89"/>
      <c r="C508" s="89"/>
      <c r="D508" s="90"/>
      <c r="E508" s="91"/>
      <c r="F508" s="91"/>
      <c r="G508" s="91"/>
      <c r="H508" s="91"/>
      <c r="I508" s="85"/>
      <c r="J508" s="85"/>
      <c r="K508" s="85"/>
      <c r="L508" s="85"/>
      <c r="M508" s="85"/>
      <c r="N508" s="85"/>
      <c r="O508" s="85"/>
      <c r="P508" s="85"/>
      <c r="Q508" s="85"/>
      <c r="R508" s="43"/>
      <c r="S508" s="43"/>
      <c r="T508" s="43"/>
      <c r="U508" s="43"/>
      <c r="V508" s="43"/>
      <c r="W508" s="43"/>
      <c r="X508" s="43"/>
      <c r="Y508" s="43"/>
      <c r="Z508" s="43"/>
    </row>
    <row r="509">
      <c r="A509" s="89"/>
      <c r="B509" s="89"/>
      <c r="C509" s="89"/>
      <c r="D509" s="90"/>
      <c r="E509" s="91"/>
      <c r="F509" s="91"/>
      <c r="G509" s="91"/>
      <c r="H509" s="91"/>
      <c r="I509" s="85"/>
      <c r="J509" s="85"/>
      <c r="K509" s="85"/>
      <c r="L509" s="85"/>
      <c r="M509" s="85"/>
      <c r="N509" s="85"/>
      <c r="O509" s="85"/>
      <c r="P509" s="85"/>
      <c r="Q509" s="85"/>
      <c r="R509" s="43"/>
      <c r="S509" s="43"/>
      <c r="T509" s="43"/>
      <c r="U509" s="43"/>
      <c r="V509" s="43"/>
      <c r="W509" s="43"/>
      <c r="X509" s="43"/>
      <c r="Y509" s="43"/>
      <c r="Z509" s="43"/>
    </row>
    <row r="510">
      <c r="A510" s="89"/>
      <c r="B510" s="89"/>
      <c r="C510" s="89"/>
      <c r="D510" s="90"/>
      <c r="E510" s="91"/>
      <c r="F510" s="91"/>
      <c r="G510" s="91"/>
      <c r="H510" s="91"/>
      <c r="I510" s="85"/>
      <c r="J510" s="85"/>
      <c r="K510" s="85"/>
      <c r="L510" s="85"/>
      <c r="M510" s="85"/>
      <c r="N510" s="85"/>
      <c r="O510" s="85"/>
      <c r="P510" s="85"/>
      <c r="Q510" s="85"/>
      <c r="R510" s="43"/>
      <c r="S510" s="43"/>
      <c r="T510" s="43"/>
      <c r="U510" s="43"/>
      <c r="V510" s="43"/>
      <c r="W510" s="43"/>
      <c r="X510" s="43"/>
      <c r="Y510" s="43"/>
      <c r="Z510" s="43"/>
    </row>
    <row r="511">
      <c r="A511" s="89"/>
      <c r="B511" s="89"/>
      <c r="C511" s="89"/>
      <c r="D511" s="90"/>
      <c r="E511" s="91"/>
      <c r="F511" s="91"/>
      <c r="G511" s="91"/>
      <c r="H511" s="91"/>
      <c r="I511" s="85"/>
      <c r="J511" s="85"/>
      <c r="K511" s="85"/>
      <c r="L511" s="85"/>
      <c r="M511" s="85"/>
      <c r="N511" s="85"/>
      <c r="O511" s="85"/>
      <c r="P511" s="85"/>
      <c r="Q511" s="85"/>
      <c r="R511" s="43"/>
      <c r="S511" s="43"/>
      <c r="T511" s="43"/>
      <c r="U511" s="43"/>
      <c r="V511" s="43"/>
      <c r="W511" s="43"/>
      <c r="X511" s="43"/>
      <c r="Y511" s="43"/>
      <c r="Z511" s="43"/>
    </row>
    <row r="512">
      <c r="A512" s="89"/>
      <c r="B512" s="89"/>
      <c r="C512" s="89"/>
      <c r="D512" s="90"/>
      <c r="E512" s="91"/>
      <c r="F512" s="91"/>
      <c r="G512" s="91"/>
      <c r="H512" s="91"/>
      <c r="I512" s="85"/>
      <c r="J512" s="85"/>
      <c r="K512" s="85"/>
      <c r="L512" s="85"/>
      <c r="M512" s="85"/>
      <c r="N512" s="85"/>
      <c r="O512" s="85"/>
      <c r="P512" s="85"/>
      <c r="Q512" s="85"/>
      <c r="R512" s="43"/>
      <c r="S512" s="43"/>
      <c r="T512" s="43"/>
      <c r="U512" s="43"/>
      <c r="V512" s="43"/>
      <c r="W512" s="43"/>
      <c r="X512" s="43"/>
      <c r="Y512" s="43"/>
      <c r="Z512" s="43"/>
    </row>
    <row r="513">
      <c r="A513" s="89"/>
      <c r="B513" s="89"/>
      <c r="C513" s="89"/>
      <c r="D513" s="90"/>
      <c r="E513" s="91"/>
      <c r="F513" s="91"/>
      <c r="G513" s="91"/>
      <c r="H513" s="91"/>
      <c r="I513" s="85"/>
      <c r="J513" s="85"/>
      <c r="K513" s="85"/>
      <c r="L513" s="85"/>
      <c r="M513" s="85"/>
      <c r="N513" s="85"/>
      <c r="O513" s="85"/>
      <c r="P513" s="85"/>
      <c r="Q513" s="85"/>
      <c r="R513" s="43"/>
      <c r="S513" s="43"/>
      <c r="T513" s="43"/>
      <c r="U513" s="43"/>
      <c r="V513" s="43"/>
      <c r="W513" s="43"/>
      <c r="X513" s="43"/>
      <c r="Y513" s="43"/>
      <c r="Z513" s="43"/>
    </row>
    <row r="514">
      <c r="A514" s="89"/>
      <c r="B514" s="89"/>
      <c r="C514" s="89"/>
      <c r="D514" s="90"/>
      <c r="E514" s="91"/>
      <c r="F514" s="91"/>
      <c r="G514" s="91"/>
      <c r="H514" s="91"/>
      <c r="I514" s="85"/>
      <c r="J514" s="85"/>
      <c r="K514" s="85"/>
      <c r="L514" s="85"/>
      <c r="M514" s="85"/>
      <c r="N514" s="85"/>
      <c r="O514" s="85"/>
      <c r="P514" s="85"/>
      <c r="Q514" s="85"/>
      <c r="R514" s="43"/>
      <c r="S514" s="43"/>
      <c r="T514" s="43"/>
      <c r="U514" s="43"/>
      <c r="V514" s="43"/>
      <c r="W514" s="43"/>
      <c r="X514" s="43"/>
      <c r="Y514" s="43"/>
      <c r="Z514" s="43"/>
    </row>
    <row r="515">
      <c r="A515" s="89"/>
      <c r="B515" s="89"/>
      <c r="C515" s="89"/>
      <c r="D515" s="90"/>
      <c r="E515" s="91"/>
      <c r="F515" s="91"/>
      <c r="G515" s="91"/>
      <c r="H515" s="91"/>
      <c r="I515" s="85"/>
      <c r="J515" s="85"/>
      <c r="K515" s="85"/>
      <c r="L515" s="85"/>
      <c r="M515" s="85"/>
      <c r="N515" s="85"/>
      <c r="O515" s="85"/>
      <c r="P515" s="85"/>
      <c r="Q515" s="85"/>
      <c r="R515" s="43"/>
      <c r="S515" s="43"/>
      <c r="T515" s="43"/>
      <c r="U515" s="43"/>
      <c r="V515" s="43"/>
      <c r="W515" s="43"/>
      <c r="X515" s="43"/>
      <c r="Y515" s="43"/>
      <c r="Z515" s="43"/>
    </row>
    <row r="516">
      <c r="A516" s="89"/>
      <c r="B516" s="89"/>
      <c r="C516" s="89"/>
      <c r="D516" s="90"/>
      <c r="E516" s="91"/>
      <c r="F516" s="91"/>
      <c r="G516" s="91"/>
      <c r="H516" s="91"/>
      <c r="I516" s="85"/>
      <c r="J516" s="85"/>
      <c r="K516" s="85"/>
      <c r="L516" s="85"/>
      <c r="M516" s="85"/>
      <c r="N516" s="85"/>
      <c r="O516" s="85"/>
      <c r="P516" s="85"/>
      <c r="Q516" s="85"/>
      <c r="R516" s="43"/>
      <c r="S516" s="43"/>
      <c r="T516" s="43"/>
      <c r="U516" s="43"/>
      <c r="V516" s="43"/>
      <c r="W516" s="43"/>
      <c r="X516" s="43"/>
      <c r="Y516" s="43"/>
      <c r="Z516" s="43"/>
    </row>
    <row r="517">
      <c r="A517" s="89"/>
      <c r="B517" s="89"/>
      <c r="C517" s="89"/>
      <c r="D517" s="90"/>
      <c r="E517" s="91"/>
      <c r="F517" s="91"/>
      <c r="G517" s="91"/>
      <c r="H517" s="91"/>
      <c r="I517" s="85"/>
      <c r="J517" s="85"/>
      <c r="K517" s="85"/>
      <c r="L517" s="85"/>
      <c r="M517" s="85"/>
      <c r="N517" s="85"/>
      <c r="O517" s="85"/>
      <c r="P517" s="85"/>
      <c r="Q517" s="85"/>
      <c r="R517" s="43"/>
      <c r="S517" s="43"/>
      <c r="T517" s="43"/>
      <c r="U517" s="43"/>
      <c r="V517" s="43"/>
      <c r="W517" s="43"/>
      <c r="X517" s="43"/>
      <c r="Y517" s="43"/>
      <c r="Z517" s="43"/>
    </row>
    <row r="518">
      <c r="A518" s="89"/>
      <c r="B518" s="89"/>
      <c r="C518" s="89"/>
      <c r="D518" s="90"/>
      <c r="E518" s="91"/>
      <c r="F518" s="91"/>
      <c r="G518" s="91"/>
      <c r="H518" s="91"/>
      <c r="I518" s="85"/>
      <c r="J518" s="85"/>
      <c r="K518" s="85"/>
      <c r="L518" s="85"/>
      <c r="M518" s="85"/>
      <c r="N518" s="85"/>
      <c r="O518" s="85"/>
      <c r="P518" s="85"/>
      <c r="Q518" s="85"/>
      <c r="R518" s="43"/>
      <c r="S518" s="43"/>
      <c r="T518" s="43"/>
      <c r="U518" s="43"/>
      <c r="V518" s="43"/>
      <c r="W518" s="43"/>
      <c r="X518" s="43"/>
      <c r="Y518" s="43"/>
      <c r="Z518" s="43"/>
    </row>
    <row r="519">
      <c r="A519" s="89"/>
      <c r="B519" s="89"/>
      <c r="C519" s="89"/>
      <c r="D519" s="90"/>
      <c r="E519" s="91"/>
      <c r="F519" s="91"/>
      <c r="G519" s="91"/>
      <c r="H519" s="91"/>
      <c r="I519" s="85"/>
      <c r="J519" s="85"/>
      <c r="K519" s="85"/>
      <c r="L519" s="85"/>
      <c r="M519" s="85"/>
      <c r="N519" s="85"/>
      <c r="O519" s="85"/>
      <c r="P519" s="85"/>
      <c r="Q519" s="85"/>
      <c r="R519" s="43"/>
      <c r="S519" s="43"/>
      <c r="T519" s="43"/>
      <c r="U519" s="43"/>
      <c r="V519" s="43"/>
      <c r="W519" s="43"/>
      <c r="X519" s="43"/>
      <c r="Y519" s="43"/>
      <c r="Z519" s="43"/>
    </row>
    <row r="520">
      <c r="A520" s="89"/>
      <c r="B520" s="89"/>
      <c r="C520" s="89"/>
      <c r="D520" s="90"/>
      <c r="E520" s="91"/>
      <c r="F520" s="91"/>
      <c r="G520" s="91"/>
      <c r="H520" s="91"/>
      <c r="I520" s="85"/>
      <c r="J520" s="85"/>
      <c r="K520" s="85"/>
      <c r="L520" s="85"/>
      <c r="M520" s="85"/>
      <c r="N520" s="85"/>
      <c r="O520" s="85"/>
      <c r="P520" s="85"/>
      <c r="Q520" s="85"/>
      <c r="R520" s="43"/>
      <c r="S520" s="43"/>
      <c r="T520" s="43"/>
      <c r="U520" s="43"/>
      <c r="V520" s="43"/>
      <c r="W520" s="43"/>
      <c r="X520" s="43"/>
      <c r="Y520" s="43"/>
      <c r="Z520" s="43"/>
    </row>
    <row r="521">
      <c r="A521" s="89"/>
      <c r="B521" s="89"/>
      <c r="C521" s="89"/>
      <c r="D521" s="90"/>
      <c r="E521" s="91"/>
      <c r="F521" s="91"/>
      <c r="G521" s="91"/>
      <c r="H521" s="91"/>
      <c r="I521" s="85"/>
      <c r="J521" s="85"/>
      <c r="K521" s="85"/>
      <c r="L521" s="85"/>
      <c r="M521" s="85"/>
      <c r="N521" s="85"/>
      <c r="O521" s="85"/>
      <c r="P521" s="85"/>
      <c r="Q521" s="85"/>
      <c r="R521" s="43"/>
      <c r="S521" s="43"/>
      <c r="T521" s="43"/>
      <c r="U521" s="43"/>
      <c r="V521" s="43"/>
      <c r="W521" s="43"/>
      <c r="X521" s="43"/>
      <c r="Y521" s="43"/>
      <c r="Z521" s="43"/>
    </row>
    <row r="522">
      <c r="A522" s="89"/>
      <c r="B522" s="89"/>
      <c r="C522" s="89"/>
      <c r="D522" s="90"/>
      <c r="E522" s="91"/>
      <c r="F522" s="91"/>
      <c r="G522" s="91"/>
      <c r="H522" s="91"/>
      <c r="I522" s="85"/>
      <c r="J522" s="85"/>
      <c r="K522" s="85"/>
      <c r="L522" s="85"/>
      <c r="M522" s="85"/>
      <c r="N522" s="85"/>
      <c r="O522" s="85"/>
      <c r="P522" s="85"/>
      <c r="Q522" s="85"/>
      <c r="R522" s="43"/>
      <c r="S522" s="43"/>
      <c r="T522" s="43"/>
      <c r="U522" s="43"/>
      <c r="V522" s="43"/>
      <c r="W522" s="43"/>
      <c r="X522" s="43"/>
      <c r="Y522" s="43"/>
      <c r="Z522" s="43"/>
    </row>
    <row r="523">
      <c r="A523" s="89"/>
      <c r="B523" s="89"/>
      <c r="C523" s="89"/>
      <c r="D523" s="90"/>
      <c r="E523" s="91"/>
      <c r="F523" s="91"/>
      <c r="G523" s="91"/>
      <c r="H523" s="91"/>
      <c r="I523" s="85"/>
      <c r="J523" s="85"/>
      <c r="K523" s="85"/>
      <c r="L523" s="85"/>
      <c r="M523" s="85"/>
      <c r="N523" s="85"/>
      <c r="O523" s="85"/>
      <c r="P523" s="85"/>
      <c r="Q523" s="85"/>
      <c r="R523" s="43"/>
      <c r="S523" s="43"/>
      <c r="T523" s="43"/>
      <c r="U523" s="43"/>
      <c r="V523" s="43"/>
      <c r="W523" s="43"/>
      <c r="X523" s="43"/>
      <c r="Y523" s="43"/>
      <c r="Z523" s="43"/>
    </row>
    <row r="524">
      <c r="A524" s="89"/>
      <c r="B524" s="89"/>
      <c r="C524" s="89"/>
      <c r="D524" s="90"/>
      <c r="E524" s="91"/>
      <c r="F524" s="91"/>
      <c r="G524" s="91"/>
      <c r="H524" s="91"/>
      <c r="I524" s="85"/>
      <c r="J524" s="85"/>
      <c r="K524" s="85"/>
      <c r="L524" s="85"/>
      <c r="M524" s="85"/>
      <c r="N524" s="85"/>
      <c r="O524" s="85"/>
      <c r="P524" s="85"/>
      <c r="Q524" s="85"/>
      <c r="R524" s="43"/>
      <c r="S524" s="43"/>
      <c r="T524" s="43"/>
      <c r="U524" s="43"/>
      <c r="V524" s="43"/>
      <c r="W524" s="43"/>
      <c r="X524" s="43"/>
      <c r="Y524" s="43"/>
      <c r="Z524" s="43"/>
    </row>
    <row r="525">
      <c r="A525" s="89"/>
      <c r="B525" s="89"/>
      <c r="C525" s="89"/>
      <c r="D525" s="90"/>
      <c r="E525" s="91"/>
      <c r="F525" s="91"/>
      <c r="G525" s="91"/>
      <c r="H525" s="91"/>
      <c r="I525" s="85"/>
      <c r="J525" s="85"/>
      <c r="K525" s="85"/>
      <c r="L525" s="85"/>
      <c r="M525" s="85"/>
      <c r="N525" s="85"/>
      <c r="O525" s="85"/>
      <c r="P525" s="85"/>
      <c r="Q525" s="85"/>
      <c r="R525" s="43"/>
      <c r="S525" s="43"/>
      <c r="T525" s="43"/>
      <c r="U525" s="43"/>
      <c r="V525" s="43"/>
      <c r="W525" s="43"/>
      <c r="X525" s="43"/>
      <c r="Y525" s="43"/>
      <c r="Z525" s="43"/>
    </row>
    <row r="526">
      <c r="A526" s="89"/>
      <c r="B526" s="89"/>
      <c r="C526" s="89"/>
      <c r="D526" s="90"/>
      <c r="E526" s="91"/>
      <c r="F526" s="91"/>
      <c r="G526" s="91"/>
      <c r="H526" s="91"/>
      <c r="I526" s="85"/>
      <c r="J526" s="85"/>
      <c r="K526" s="85"/>
      <c r="L526" s="85"/>
      <c r="M526" s="85"/>
      <c r="N526" s="85"/>
      <c r="O526" s="85"/>
      <c r="P526" s="85"/>
      <c r="Q526" s="85"/>
      <c r="R526" s="43"/>
      <c r="S526" s="43"/>
      <c r="T526" s="43"/>
      <c r="U526" s="43"/>
      <c r="V526" s="43"/>
      <c r="W526" s="43"/>
      <c r="X526" s="43"/>
      <c r="Y526" s="43"/>
      <c r="Z526" s="43"/>
    </row>
    <row r="527">
      <c r="A527" s="89"/>
      <c r="B527" s="89"/>
      <c r="C527" s="89"/>
      <c r="D527" s="90"/>
      <c r="E527" s="91"/>
      <c r="F527" s="91"/>
      <c r="G527" s="91"/>
      <c r="H527" s="91"/>
      <c r="I527" s="85"/>
      <c r="J527" s="85"/>
      <c r="K527" s="85"/>
      <c r="L527" s="85"/>
      <c r="M527" s="85"/>
      <c r="N527" s="85"/>
      <c r="O527" s="85"/>
      <c r="P527" s="85"/>
      <c r="Q527" s="85"/>
      <c r="R527" s="43"/>
      <c r="S527" s="43"/>
      <c r="T527" s="43"/>
      <c r="U527" s="43"/>
      <c r="V527" s="43"/>
      <c r="W527" s="43"/>
      <c r="X527" s="43"/>
      <c r="Y527" s="43"/>
      <c r="Z527" s="43"/>
    </row>
    <row r="528">
      <c r="A528" s="89"/>
      <c r="B528" s="89"/>
      <c r="C528" s="89"/>
      <c r="D528" s="90"/>
      <c r="E528" s="91"/>
      <c r="F528" s="91"/>
      <c r="G528" s="91"/>
      <c r="H528" s="91"/>
      <c r="I528" s="85"/>
      <c r="J528" s="85"/>
      <c r="K528" s="85"/>
      <c r="L528" s="85"/>
      <c r="M528" s="85"/>
      <c r="N528" s="85"/>
      <c r="O528" s="85"/>
      <c r="P528" s="85"/>
      <c r="Q528" s="85"/>
      <c r="R528" s="43"/>
      <c r="S528" s="43"/>
      <c r="T528" s="43"/>
      <c r="U528" s="43"/>
      <c r="V528" s="43"/>
      <c r="W528" s="43"/>
      <c r="X528" s="43"/>
      <c r="Y528" s="43"/>
      <c r="Z528" s="43"/>
    </row>
    <row r="529">
      <c r="A529" s="89"/>
      <c r="B529" s="89"/>
      <c r="C529" s="89"/>
      <c r="D529" s="90"/>
      <c r="E529" s="91"/>
      <c r="F529" s="91"/>
      <c r="G529" s="91"/>
      <c r="H529" s="91"/>
      <c r="I529" s="85"/>
      <c r="J529" s="85"/>
      <c r="K529" s="85"/>
      <c r="L529" s="85"/>
      <c r="M529" s="85"/>
      <c r="N529" s="85"/>
      <c r="O529" s="85"/>
      <c r="P529" s="85"/>
      <c r="Q529" s="85"/>
      <c r="R529" s="43"/>
      <c r="S529" s="43"/>
      <c r="T529" s="43"/>
      <c r="U529" s="43"/>
      <c r="V529" s="43"/>
      <c r="W529" s="43"/>
      <c r="X529" s="43"/>
      <c r="Y529" s="43"/>
      <c r="Z529" s="43"/>
    </row>
    <row r="530">
      <c r="A530" s="89"/>
      <c r="B530" s="89"/>
      <c r="C530" s="89"/>
      <c r="D530" s="90"/>
      <c r="E530" s="91"/>
      <c r="F530" s="91"/>
      <c r="G530" s="91"/>
      <c r="H530" s="91"/>
      <c r="I530" s="85"/>
      <c r="J530" s="85"/>
      <c r="K530" s="85"/>
      <c r="L530" s="85"/>
      <c r="M530" s="85"/>
      <c r="N530" s="85"/>
      <c r="O530" s="85"/>
      <c r="P530" s="85"/>
      <c r="Q530" s="85"/>
      <c r="R530" s="43"/>
      <c r="S530" s="43"/>
      <c r="T530" s="43"/>
      <c r="U530" s="43"/>
      <c r="V530" s="43"/>
      <c r="W530" s="43"/>
      <c r="X530" s="43"/>
      <c r="Y530" s="43"/>
      <c r="Z530" s="43"/>
    </row>
    <row r="531">
      <c r="A531" s="89"/>
      <c r="B531" s="89"/>
      <c r="C531" s="89"/>
      <c r="D531" s="90"/>
      <c r="E531" s="91"/>
      <c r="F531" s="91"/>
      <c r="G531" s="91"/>
      <c r="H531" s="91"/>
      <c r="I531" s="85"/>
      <c r="J531" s="85"/>
      <c r="K531" s="85"/>
      <c r="L531" s="85"/>
      <c r="M531" s="85"/>
      <c r="N531" s="85"/>
      <c r="O531" s="85"/>
      <c r="P531" s="85"/>
      <c r="Q531" s="85"/>
      <c r="R531" s="43"/>
      <c r="S531" s="43"/>
      <c r="T531" s="43"/>
      <c r="U531" s="43"/>
      <c r="V531" s="43"/>
      <c r="W531" s="43"/>
      <c r="X531" s="43"/>
      <c r="Y531" s="43"/>
      <c r="Z531" s="43"/>
    </row>
    <row r="532">
      <c r="A532" s="89"/>
      <c r="B532" s="89"/>
      <c r="C532" s="89"/>
      <c r="D532" s="90"/>
      <c r="E532" s="91"/>
      <c r="F532" s="91"/>
      <c r="G532" s="91"/>
      <c r="H532" s="91"/>
      <c r="I532" s="85"/>
      <c r="J532" s="85"/>
      <c r="K532" s="85"/>
      <c r="L532" s="85"/>
      <c r="M532" s="85"/>
      <c r="N532" s="85"/>
      <c r="O532" s="85"/>
      <c r="P532" s="85"/>
      <c r="Q532" s="85"/>
      <c r="R532" s="43"/>
      <c r="S532" s="43"/>
      <c r="T532" s="43"/>
      <c r="U532" s="43"/>
      <c r="V532" s="43"/>
      <c r="W532" s="43"/>
      <c r="X532" s="43"/>
      <c r="Y532" s="43"/>
      <c r="Z532" s="43"/>
    </row>
    <row r="533">
      <c r="A533" s="89"/>
      <c r="B533" s="89"/>
      <c r="C533" s="89"/>
      <c r="D533" s="90"/>
      <c r="E533" s="91"/>
      <c r="F533" s="91"/>
      <c r="G533" s="91"/>
      <c r="H533" s="91"/>
      <c r="I533" s="85"/>
      <c r="J533" s="85"/>
      <c r="K533" s="85"/>
      <c r="L533" s="85"/>
      <c r="M533" s="85"/>
      <c r="N533" s="85"/>
      <c r="O533" s="85"/>
      <c r="P533" s="85"/>
      <c r="Q533" s="85"/>
      <c r="R533" s="43"/>
      <c r="S533" s="43"/>
      <c r="T533" s="43"/>
      <c r="U533" s="43"/>
      <c r="V533" s="43"/>
      <c r="W533" s="43"/>
      <c r="X533" s="43"/>
      <c r="Y533" s="43"/>
      <c r="Z533" s="43"/>
    </row>
    <row r="534">
      <c r="A534" s="89"/>
      <c r="B534" s="89"/>
      <c r="C534" s="89"/>
      <c r="D534" s="90"/>
      <c r="E534" s="91"/>
      <c r="F534" s="91"/>
      <c r="G534" s="91"/>
      <c r="H534" s="91"/>
      <c r="I534" s="85"/>
      <c r="J534" s="85"/>
      <c r="K534" s="85"/>
      <c r="L534" s="85"/>
      <c r="M534" s="85"/>
      <c r="N534" s="85"/>
      <c r="O534" s="85"/>
      <c r="P534" s="85"/>
      <c r="Q534" s="85"/>
      <c r="R534" s="43"/>
      <c r="S534" s="43"/>
      <c r="T534" s="43"/>
      <c r="U534" s="43"/>
      <c r="V534" s="43"/>
      <c r="W534" s="43"/>
      <c r="X534" s="43"/>
      <c r="Y534" s="43"/>
      <c r="Z534" s="43"/>
    </row>
    <row r="535">
      <c r="A535" s="89"/>
      <c r="B535" s="89"/>
      <c r="C535" s="89"/>
      <c r="D535" s="90"/>
      <c r="E535" s="91"/>
      <c r="F535" s="91"/>
      <c r="G535" s="91"/>
      <c r="H535" s="91"/>
      <c r="I535" s="85"/>
      <c r="J535" s="85"/>
      <c r="K535" s="85"/>
      <c r="L535" s="85"/>
      <c r="M535" s="85"/>
      <c r="N535" s="85"/>
      <c r="O535" s="85"/>
      <c r="P535" s="85"/>
      <c r="Q535" s="85"/>
      <c r="R535" s="43"/>
      <c r="S535" s="43"/>
      <c r="T535" s="43"/>
      <c r="U535" s="43"/>
      <c r="V535" s="43"/>
      <c r="W535" s="43"/>
      <c r="X535" s="43"/>
      <c r="Y535" s="43"/>
      <c r="Z535" s="43"/>
    </row>
    <row r="536">
      <c r="A536" s="89"/>
      <c r="B536" s="89"/>
      <c r="C536" s="89"/>
      <c r="D536" s="90"/>
      <c r="E536" s="91"/>
      <c r="F536" s="91"/>
      <c r="G536" s="91"/>
      <c r="H536" s="91"/>
      <c r="I536" s="85"/>
      <c r="J536" s="85"/>
      <c r="K536" s="85"/>
      <c r="L536" s="85"/>
      <c r="M536" s="85"/>
      <c r="N536" s="85"/>
      <c r="O536" s="85"/>
      <c r="P536" s="85"/>
      <c r="Q536" s="85"/>
      <c r="R536" s="43"/>
      <c r="S536" s="43"/>
      <c r="T536" s="43"/>
      <c r="U536" s="43"/>
      <c r="V536" s="43"/>
      <c r="W536" s="43"/>
      <c r="X536" s="43"/>
      <c r="Y536" s="43"/>
      <c r="Z536" s="43"/>
    </row>
    <row r="537">
      <c r="A537" s="89"/>
      <c r="B537" s="89"/>
      <c r="C537" s="89"/>
      <c r="D537" s="90"/>
      <c r="E537" s="91"/>
      <c r="F537" s="91"/>
      <c r="G537" s="91"/>
      <c r="H537" s="91"/>
      <c r="I537" s="85"/>
      <c r="J537" s="85"/>
      <c r="K537" s="85"/>
      <c r="L537" s="85"/>
      <c r="M537" s="85"/>
      <c r="N537" s="85"/>
      <c r="O537" s="85"/>
      <c r="P537" s="85"/>
      <c r="Q537" s="85"/>
      <c r="R537" s="43"/>
      <c r="S537" s="43"/>
      <c r="T537" s="43"/>
      <c r="U537" s="43"/>
      <c r="V537" s="43"/>
      <c r="W537" s="43"/>
      <c r="X537" s="43"/>
      <c r="Y537" s="43"/>
      <c r="Z537" s="43"/>
    </row>
    <row r="538">
      <c r="A538" s="89"/>
      <c r="B538" s="89"/>
      <c r="C538" s="89"/>
      <c r="D538" s="90"/>
      <c r="E538" s="91"/>
      <c r="F538" s="91"/>
      <c r="G538" s="91"/>
      <c r="H538" s="91"/>
      <c r="I538" s="85"/>
      <c r="J538" s="85"/>
      <c r="K538" s="85"/>
      <c r="L538" s="85"/>
      <c r="M538" s="85"/>
      <c r="N538" s="85"/>
      <c r="O538" s="85"/>
      <c r="P538" s="85"/>
      <c r="Q538" s="85"/>
      <c r="R538" s="43"/>
      <c r="S538" s="43"/>
      <c r="T538" s="43"/>
      <c r="U538" s="43"/>
      <c r="V538" s="43"/>
      <c r="W538" s="43"/>
      <c r="X538" s="43"/>
      <c r="Y538" s="43"/>
      <c r="Z538" s="43"/>
    </row>
    <row r="539">
      <c r="A539" s="89"/>
      <c r="B539" s="89"/>
      <c r="C539" s="89"/>
      <c r="D539" s="90"/>
      <c r="E539" s="91"/>
      <c r="F539" s="91"/>
      <c r="G539" s="91"/>
      <c r="H539" s="91"/>
      <c r="I539" s="85"/>
      <c r="J539" s="85"/>
      <c r="K539" s="85"/>
      <c r="L539" s="85"/>
      <c r="M539" s="85"/>
      <c r="N539" s="85"/>
      <c r="O539" s="85"/>
      <c r="P539" s="85"/>
      <c r="Q539" s="85"/>
      <c r="R539" s="43"/>
      <c r="S539" s="43"/>
      <c r="T539" s="43"/>
      <c r="U539" s="43"/>
      <c r="V539" s="43"/>
      <c r="W539" s="43"/>
      <c r="X539" s="43"/>
      <c r="Y539" s="43"/>
      <c r="Z539" s="43"/>
    </row>
    <row r="540">
      <c r="A540" s="89"/>
      <c r="B540" s="89"/>
      <c r="C540" s="89"/>
      <c r="D540" s="90"/>
      <c r="E540" s="91"/>
      <c r="F540" s="91"/>
      <c r="G540" s="91"/>
      <c r="H540" s="91"/>
      <c r="I540" s="85"/>
      <c r="J540" s="85"/>
      <c r="K540" s="85"/>
      <c r="L540" s="85"/>
      <c r="M540" s="85"/>
      <c r="N540" s="85"/>
      <c r="O540" s="85"/>
      <c r="P540" s="85"/>
      <c r="Q540" s="85"/>
      <c r="R540" s="43"/>
      <c r="S540" s="43"/>
      <c r="T540" s="43"/>
      <c r="U540" s="43"/>
      <c r="V540" s="43"/>
      <c r="W540" s="43"/>
      <c r="X540" s="43"/>
      <c r="Y540" s="43"/>
      <c r="Z540" s="43"/>
    </row>
    <row r="541">
      <c r="A541" s="89"/>
      <c r="B541" s="89"/>
      <c r="C541" s="89"/>
      <c r="D541" s="90"/>
      <c r="E541" s="91"/>
      <c r="F541" s="91"/>
      <c r="G541" s="91"/>
      <c r="H541" s="91"/>
      <c r="I541" s="85"/>
      <c r="J541" s="85"/>
      <c r="K541" s="85"/>
      <c r="L541" s="85"/>
      <c r="M541" s="85"/>
      <c r="N541" s="85"/>
      <c r="O541" s="85"/>
      <c r="P541" s="85"/>
      <c r="Q541" s="85"/>
      <c r="R541" s="43"/>
      <c r="S541" s="43"/>
      <c r="T541" s="43"/>
      <c r="U541" s="43"/>
      <c r="V541" s="43"/>
      <c r="W541" s="43"/>
      <c r="X541" s="43"/>
      <c r="Y541" s="43"/>
      <c r="Z541" s="43"/>
    </row>
    <row r="542">
      <c r="A542" s="89"/>
      <c r="B542" s="89"/>
      <c r="C542" s="89"/>
      <c r="D542" s="90"/>
      <c r="E542" s="91"/>
      <c r="F542" s="91"/>
      <c r="G542" s="91"/>
      <c r="H542" s="91"/>
      <c r="I542" s="85"/>
      <c r="J542" s="85"/>
      <c r="K542" s="85"/>
      <c r="L542" s="85"/>
      <c r="M542" s="85"/>
      <c r="N542" s="85"/>
      <c r="O542" s="85"/>
      <c r="P542" s="85"/>
      <c r="Q542" s="85"/>
      <c r="R542" s="43"/>
      <c r="S542" s="43"/>
      <c r="T542" s="43"/>
      <c r="U542" s="43"/>
      <c r="V542" s="43"/>
      <c r="W542" s="43"/>
      <c r="X542" s="43"/>
      <c r="Y542" s="43"/>
      <c r="Z542" s="43"/>
    </row>
    <row r="543">
      <c r="A543" s="89"/>
      <c r="B543" s="89"/>
      <c r="C543" s="89"/>
      <c r="D543" s="90"/>
      <c r="E543" s="91"/>
      <c r="F543" s="91"/>
      <c r="G543" s="91"/>
      <c r="H543" s="91"/>
      <c r="I543" s="85"/>
      <c r="J543" s="85"/>
      <c r="K543" s="85"/>
      <c r="L543" s="85"/>
      <c r="M543" s="85"/>
      <c r="N543" s="85"/>
      <c r="O543" s="85"/>
      <c r="P543" s="85"/>
      <c r="Q543" s="85"/>
      <c r="R543" s="43"/>
      <c r="S543" s="43"/>
      <c r="T543" s="43"/>
      <c r="U543" s="43"/>
      <c r="V543" s="43"/>
      <c r="W543" s="43"/>
      <c r="X543" s="43"/>
      <c r="Y543" s="43"/>
      <c r="Z543" s="43"/>
    </row>
    <row r="544">
      <c r="A544" s="89"/>
      <c r="B544" s="89"/>
      <c r="C544" s="89"/>
      <c r="D544" s="90"/>
      <c r="E544" s="91"/>
      <c r="F544" s="91"/>
      <c r="G544" s="91"/>
      <c r="H544" s="91"/>
      <c r="I544" s="85"/>
      <c r="J544" s="85"/>
      <c r="K544" s="85"/>
      <c r="L544" s="85"/>
      <c r="M544" s="85"/>
      <c r="N544" s="85"/>
      <c r="O544" s="85"/>
      <c r="P544" s="85"/>
      <c r="Q544" s="85"/>
      <c r="R544" s="43"/>
      <c r="S544" s="43"/>
      <c r="T544" s="43"/>
      <c r="U544" s="43"/>
      <c r="V544" s="43"/>
      <c r="W544" s="43"/>
      <c r="X544" s="43"/>
      <c r="Y544" s="43"/>
      <c r="Z544" s="43"/>
    </row>
    <row r="545">
      <c r="A545" s="89"/>
      <c r="B545" s="89"/>
      <c r="C545" s="89"/>
      <c r="D545" s="90"/>
      <c r="E545" s="91"/>
      <c r="F545" s="91"/>
      <c r="G545" s="91"/>
      <c r="H545" s="91"/>
      <c r="I545" s="85"/>
      <c r="J545" s="85"/>
      <c r="K545" s="85"/>
      <c r="L545" s="85"/>
      <c r="M545" s="85"/>
      <c r="N545" s="85"/>
      <c r="O545" s="85"/>
      <c r="P545" s="85"/>
      <c r="Q545" s="85"/>
      <c r="R545" s="43"/>
      <c r="S545" s="43"/>
      <c r="T545" s="43"/>
      <c r="U545" s="43"/>
      <c r="V545" s="43"/>
      <c r="W545" s="43"/>
      <c r="X545" s="43"/>
      <c r="Y545" s="43"/>
      <c r="Z545" s="43"/>
    </row>
    <row r="546">
      <c r="A546" s="89"/>
      <c r="B546" s="89"/>
      <c r="C546" s="89"/>
      <c r="D546" s="90"/>
      <c r="E546" s="91"/>
      <c r="F546" s="91"/>
      <c r="G546" s="91"/>
      <c r="H546" s="91"/>
      <c r="I546" s="85"/>
      <c r="J546" s="85"/>
      <c r="K546" s="85"/>
      <c r="L546" s="85"/>
      <c r="M546" s="85"/>
      <c r="N546" s="85"/>
      <c r="O546" s="85"/>
      <c r="P546" s="85"/>
      <c r="Q546" s="85"/>
      <c r="R546" s="43"/>
      <c r="S546" s="43"/>
      <c r="T546" s="43"/>
      <c r="U546" s="43"/>
      <c r="V546" s="43"/>
      <c r="W546" s="43"/>
      <c r="X546" s="43"/>
      <c r="Y546" s="43"/>
      <c r="Z546" s="43"/>
    </row>
    <row r="547">
      <c r="A547" s="89"/>
      <c r="B547" s="89"/>
      <c r="C547" s="89"/>
      <c r="D547" s="90"/>
      <c r="E547" s="91"/>
      <c r="F547" s="91"/>
      <c r="G547" s="91"/>
      <c r="H547" s="91"/>
      <c r="I547" s="85"/>
      <c r="J547" s="85"/>
      <c r="K547" s="85"/>
      <c r="L547" s="85"/>
      <c r="M547" s="85"/>
      <c r="N547" s="85"/>
      <c r="O547" s="85"/>
      <c r="P547" s="85"/>
      <c r="Q547" s="85"/>
      <c r="R547" s="43"/>
      <c r="S547" s="43"/>
      <c r="T547" s="43"/>
      <c r="U547" s="43"/>
      <c r="V547" s="43"/>
      <c r="W547" s="43"/>
      <c r="X547" s="43"/>
      <c r="Y547" s="43"/>
      <c r="Z547" s="43"/>
    </row>
    <row r="548">
      <c r="A548" s="89"/>
      <c r="B548" s="89"/>
      <c r="C548" s="89"/>
      <c r="D548" s="90"/>
      <c r="E548" s="91"/>
      <c r="F548" s="91"/>
      <c r="G548" s="91"/>
      <c r="H548" s="91"/>
      <c r="I548" s="85"/>
      <c r="J548" s="85"/>
      <c r="K548" s="85"/>
      <c r="L548" s="85"/>
      <c r="M548" s="85"/>
      <c r="N548" s="85"/>
      <c r="O548" s="85"/>
      <c r="P548" s="85"/>
      <c r="Q548" s="85"/>
      <c r="R548" s="43"/>
      <c r="S548" s="43"/>
      <c r="T548" s="43"/>
      <c r="U548" s="43"/>
      <c r="V548" s="43"/>
      <c r="W548" s="43"/>
      <c r="X548" s="43"/>
      <c r="Y548" s="43"/>
      <c r="Z548" s="43"/>
    </row>
    <row r="549">
      <c r="A549" s="89"/>
      <c r="B549" s="89"/>
      <c r="C549" s="89"/>
      <c r="D549" s="90"/>
      <c r="E549" s="91"/>
      <c r="F549" s="91"/>
      <c r="G549" s="91"/>
      <c r="H549" s="91"/>
      <c r="I549" s="85"/>
      <c r="J549" s="85"/>
      <c r="K549" s="85"/>
      <c r="L549" s="85"/>
      <c r="M549" s="85"/>
      <c r="N549" s="85"/>
      <c r="O549" s="85"/>
      <c r="P549" s="85"/>
      <c r="Q549" s="85"/>
      <c r="R549" s="43"/>
      <c r="S549" s="43"/>
      <c r="T549" s="43"/>
      <c r="U549" s="43"/>
      <c r="V549" s="43"/>
      <c r="W549" s="43"/>
      <c r="X549" s="43"/>
      <c r="Y549" s="43"/>
      <c r="Z549" s="43"/>
    </row>
    <row r="550">
      <c r="A550" s="89"/>
      <c r="B550" s="89"/>
      <c r="C550" s="89"/>
      <c r="D550" s="90"/>
      <c r="E550" s="91"/>
      <c r="F550" s="91"/>
      <c r="G550" s="91"/>
      <c r="H550" s="91"/>
      <c r="I550" s="85"/>
      <c r="J550" s="85"/>
      <c r="K550" s="85"/>
      <c r="L550" s="85"/>
      <c r="M550" s="85"/>
      <c r="N550" s="85"/>
      <c r="O550" s="85"/>
      <c r="P550" s="85"/>
      <c r="Q550" s="85"/>
      <c r="R550" s="43"/>
      <c r="S550" s="43"/>
      <c r="T550" s="43"/>
      <c r="U550" s="43"/>
      <c r="V550" s="43"/>
      <c r="W550" s="43"/>
      <c r="X550" s="43"/>
      <c r="Y550" s="43"/>
      <c r="Z550" s="43"/>
    </row>
    <row r="551">
      <c r="A551" s="89"/>
      <c r="B551" s="89"/>
      <c r="C551" s="89"/>
      <c r="D551" s="90"/>
      <c r="E551" s="91"/>
      <c r="F551" s="91"/>
      <c r="G551" s="91"/>
      <c r="H551" s="91"/>
      <c r="I551" s="85"/>
      <c r="J551" s="85"/>
      <c r="K551" s="85"/>
      <c r="L551" s="85"/>
      <c r="M551" s="85"/>
      <c r="N551" s="85"/>
      <c r="O551" s="85"/>
      <c r="P551" s="85"/>
      <c r="Q551" s="85"/>
      <c r="R551" s="43"/>
      <c r="S551" s="43"/>
      <c r="T551" s="43"/>
      <c r="U551" s="43"/>
      <c r="V551" s="43"/>
      <c r="W551" s="43"/>
      <c r="X551" s="43"/>
      <c r="Y551" s="43"/>
      <c r="Z551" s="43"/>
    </row>
    <row r="552">
      <c r="A552" s="89"/>
      <c r="B552" s="89"/>
      <c r="C552" s="89"/>
      <c r="D552" s="90"/>
      <c r="E552" s="91"/>
      <c r="F552" s="91"/>
      <c r="G552" s="91"/>
      <c r="H552" s="91"/>
      <c r="I552" s="85"/>
      <c r="J552" s="85"/>
      <c r="K552" s="85"/>
      <c r="L552" s="85"/>
      <c r="M552" s="85"/>
      <c r="N552" s="85"/>
      <c r="O552" s="85"/>
      <c r="P552" s="85"/>
      <c r="Q552" s="85"/>
      <c r="R552" s="43"/>
      <c r="S552" s="43"/>
      <c r="T552" s="43"/>
      <c r="U552" s="43"/>
      <c r="V552" s="43"/>
      <c r="W552" s="43"/>
      <c r="X552" s="43"/>
      <c r="Y552" s="43"/>
      <c r="Z552" s="43"/>
    </row>
    <row r="553">
      <c r="A553" s="89"/>
      <c r="B553" s="89"/>
      <c r="C553" s="89"/>
      <c r="D553" s="90"/>
      <c r="E553" s="91"/>
      <c r="F553" s="91"/>
      <c r="G553" s="91"/>
      <c r="H553" s="91"/>
      <c r="I553" s="85"/>
      <c r="J553" s="85"/>
      <c r="K553" s="85"/>
      <c r="L553" s="85"/>
      <c r="M553" s="85"/>
      <c r="N553" s="85"/>
      <c r="O553" s="85"/>
      <c r="P553" s="85"/>
      <c r="Q553" s="85"/>
      <c r="R553" s="43"/>
      <c r="S553" s="43"/>
      <c r="T553" s="43"/>
      <c r="U553" s="43"/>
      <c r="V553" s="43"/>
      <c r="W553" s="43"/>
      <c r="X553" s="43"/>
      <c r="Y553" s="43"/>
      <c r="Z553" s="43"/>
    </row>
    <row r="554">
      <c r="A554" s="89"/>
      <c r="B554" s="89"/>
      <c r="C554" s="89"/>
      <c r="D554" s="90"/>
      <c r="E554" s="91"/>
      <c r="F554" s="91"/>
      <c r="G554" s="91"/>
      <c r="H554" s="91"/>
      <c r="I554" s="85"/>
      <c r="J554" s="85"/>
      <c r="K554" s="85"/>
      <c r="L554" s="85"/>
      <c r="M554" s="85"/>
      <c r="N554" s="85"/>
      <c r="O554" s="85"/>
      <c r="P554" s="85"/>
      <c r="Q554" s="85"/>
      <c r="R554" s="43"/>
      <c r="S554" s="43"/>
      <c r="T554" s="43"/>
      <c r="U554" s="43"/>
      <c r="V554" s="43"/>
      <c r="W554" s="43"/>
      <c r="X554" s="43"/>
      <c r="Y554" s="43"/>
      <c r="Z554" s="43"/>
    </row>
    <row r="555">
      <c r="A555" s="89"/>
      <c r="B555" s="89"/>
      <c r="C555" s="89"/>
      <c r="D555" s="90"/>
      <c r="E555" s="91"/>
      <c r="F555" s="91"/>
      <c r="G555" s="91"/>
      <c r="H555" s="91"/>
      <c r="I555" s="85"/>
      <c r="J555" s="85"/>
      <c r="K555" s="85"/>
      <c r="L555" s="85"/>
      <c r="M555" s="85"/>
      <c r="N555" s="85"/>
      <c r="O555" s="85"/>
      <c r="P555" s="85"/>
      <c r="Q555" s="85"/>
      <c r="R555" s="43"/>
      <c r="S555" s="43"/>
      <c r="T555" s="43"/>
      <c r="U555" s="43"/>
      <c r="V555" s="43"/>
      <c r="W555" s="43"/>
      <c r="X555" s="43"/>
      <c r="Y555" s="43"/>
      <c r="Z555" s="43"/>
    </row>
    <row r="556">
      <c r="A556" s="89"/>
      <c r="B556" s="89"/>
      <c r="C556" s="89"/>
      <c r="D556" s="90"/>
      <c r="E556" s="91"/>
      <c r="F556" s="91"/>
      <c r="G556" s="91"/>
      <c r="H556" s="91"/>
      <c r="I556" s="85"/>
      <c r="J556" s="85"/>
      <c r="K556" s="85"/>
      <c r="L556" s="85"/>
      <c r="M556" s="85"/>
      <c r="N556" s="85"/>
      <c r="O556" s="85"/>
      <c r="P556" s="85"/>
      <c r="Q556" s="85"/>
      <c r="R556" s="43"/>
      <c r="S556" s="43"/>
      <c r="T556" s="43"/>
      <c r="U556" s="43"/>
      <c r="V556" s="43"/>
      <c r="W556" s="43"/>
      <c r="X556" s="43"/>
      <c r="Y556" s="43"/>
      <c r="Z556" s="43"/>
    </row>
    <row r="557">
      <c r="A557" s="89"/>
      <c r="B557" s="89"/>
      <c r="C557" s="89"/>
      <c r="D557" s="90"/>
      <c r="E557" s="91"/>
      <c r="F557" s="91"/>
      <c r="G557" s="91"/>
      <c r="H557" s="91"/>
      <c r="I557" s="85"/>
      <c r="J557" s="85"/>
      <c r="K557" s="85"/>
      <c r="L557" s="85"/>
      <c r="M557" s="85"/>
      <c r="N557" s="85"/>
      <c r="O557" s="85"/>
      <c r="P557" s="85"/>
      <c r="Q557" s="85"/>
      <c r="R557" s="43"/>
      <c r="S557" s="43"/>
      <c r="T557" s="43"/>
      <c r="U557" s="43"/>
      <c r="V557" s="43"/>
      <c r="W557" s="43"/>
      <c r="X557" s="43"/>
      <c r="Y557" s="43"/>
      <c r="Z557" s="43"/>
    </row>
    <row r="558">
      <c r="A558" s="89"/>
      <c r="B558" s="89"/>
      <c r="C558" s="89"/>
      <c r="D558" s="90"/>
      <c r="E558" s="91"/>
      <c r="F558" s="91"/>
      <c r="G558" s="91"/>
      <c r="H558" s="91"/>
      <c r="I558" s="85"/>
      <c r="J558" s="85"/>
      <c r="K558" s="85"/>
      <c r="L558" s="85"/>
      <c r="M558" s="85"/>
      <c r="N558" s="85"/>
      <c r="O558" s="85"/>
      <c r="P558" s="85"/>
      <c r="Q558" s="85"/>
      <c r="R558" s="43"/>
      <c r="S558" s="43"/>
      <c r="T558" s="43"/>
      <c r="U558" s="43"/>
      <c r="V558" s="43"/>
      <c r="W558" s="43"/>
      <c r="X558" s="43"/>
      <c r="Y558" s="43"/>
      <c r="Z558" s="43"/>
    </row>
    <row r="559">
      <c r="A559" s="89"/>
      <c r="B559" s="89"/>
      <c r="C559" s="89"/>
      <c r="D559" s="90"/>
      <c r="E559" s="91"/>
      <c r="F559" s="91"/>
      <c r="G559" s="91"/>
      <c r="H559" s="91"/>
      <c r="I559" s="85"/>
      <c r="J559" s="85"/>
      <c r="K559" s="85"/>
      <c r="L559" s="85"/>
      <c r="M559" s="85"/>
      <c r="N559" s="85"/>
      <c r="O559" s="85"/>
      <c r="P559" s="85"/>
      <c r="Q559" s="85"/>
      <c r="R559" s="43"/>
      <c r="S559" s="43"/>
      <c r="T559" s="43"/>
      <c r="U559" s="43"/>
      <c r="V559" s="43"/>
      <c r="W559" s="43"/>
      <c r="X559" s="43"/>
      <c r="Y559" s="43"/>
      <c r="Z559" s="43"/>
    </row>
    <row r="560">
      <c r="A560" s="89"/>
      <c r="B560" s="89"/>
      <c r="C560" s="89"/>
      <c r="D560" s="90"/>
      <c r="E560" s="91"/>
      <c r="F560" s="91"/>
      <c r="G560" s="91"/>
      <c r="H560" s="91"/>
      <c r="I560" s="85"/>
      <c r="J560" s="85"/>
      <c r="K560" s="85"/>
      <c r="L560" s="85"/>
      <c r="M560" s="85"/>
      <c r="N560" s="85"/>
      <c r="O560" s="85"/>
      <c r="P560" s="85"/>
      <c r="Q560" s="85"/>
      <c r="R560" s="43"/>
      <c r="S560" s="43"/>
      <c r="T560" s="43"/>
      <c r="U560" s="43"/>
      <c r="V560" s="43"/>
      <c r="W560" s="43"/>
      <c r="X560" s="43"/>
      <c r="Y560" s="43"/>
      <c r="Z560" s="43"/>
    </row>
    <row r="561">
      <c r="A561" s="89"/>
      <c r="B561" s="89"/>
      <c r="C561" s="89"/>
      <c r="D561" s="90"/>
      <c r="E561" s="91"/>
      <c r="F561" s="91"/>
      <c r="G561" s="91"/>
      <c r="H561" s="91"/>
      <c r="I561" s="85"/>
      <c r="J561" s="85"/>
      <c r="K561" s="85"/>
      <c r="L561" s="85"/>
      <c r="M561" s="85"/>
      <c r="N561" s="85"/>
      <c r="O561" s="85"/>
      <c r="P561" s="85"/>
      <c r="Q561" s="85"/>
      <c r="R561" s="43"/>
      <c r="S561" s="43"/>
      <c r="T561" s="43"/>
      <c r="U561" s="43"/>
      <c r="V561" s="43"/>
      <c r="W561" s="43"/>
      <c r="X561" s="43"/>
      <c r="Y561" s="43"/>
      <c r="Z561" s="43"/>
    </row>
    <row r="562">
      <c r="A562" s="89"/>
      <c r="B562" s="89"/>
      <c r="C562" s="89"/>
      <c r="D562" s="90"/>
      <c r="E562" s="91"/>
      <c r="F562" s="91"/>
      <c r="G562" s="91"/>
      <c r="H562" s="91"/>
      <c r="I562" s="85"/>
      <c r="J562" s="85"/>
      <c r="K562" s="85"/>
      <c r="L562" s="85"/>
      <c r="M562" s="85"/>
      <c r="N562" s="85"/>
      <c r="O562" s="85"/>
      <c r="P562" s="85"/>
      <c r="Q562" s="85"/>
      <c r="R562" s="43"/>
      <c r="S562" s="43"/>
      <c r="T562" s="43"/>
      <c r="U562" s="43"/>
      <c r="V562" s="43"/>
      <c r="W562" s="43"/>
      <c r="X562" s="43"/>
      <c r="Y562" s="43"/>
      <c r="Z562" s="43"/>
    </row>
    <row r="563">
      <c r="A563" s="89"/>
      <c r="B563" s="89"/>
      <c r="C563" s="89"/>
      <c r="D563" s="90"/>
      <c r="E563" s="91"/>
      <c r="F563" s="91"/>
      <c r="G563" s="91"/>
      <c r="H563" s="91"/>
      <c r="I563" s="85"/>
      <c r="J563" s="85"/>
      <c r="K563" s="85"/>
      <c r="L563" s="85"/>
      <c r="M563" s="85"/>
      <c r="N563" s="85"/>
      <c r="O563" s="85"/>
      <c r="P563" s="85"/>
      <c r="Q563" s="85"/>
      <c r="R563" s="43"/>
      <c r="S563" s="43"/>
      <c r="T563" s="43"/>
      <c r="U563" s="43"/>
      <c r="V563" s="43"/>
      <c r="W563" s="43"/>
      <c r="X563" s="43"/>
      <c r="Y563" s="43"/>
      <c r="Z563" s="43"/>
    </row>
    <row r="564">
      <c r="A564" s="89"/>
      <c r="B564" s="89"/>
      <c r="C564" s="89"/>
      <c r="D564" s="90"/>
      <c r="E564" s="91"/>
      <c r="F564" s="91"/>
      <c r="G564" s="91"/>
      <c r="H564" s="91"/>
      <c r="I564" s="85"/>
      <c r="J564" s="85"/>
      <c r="K564" s="85"/>
      <c r="L564" s="85"/>
      <c r="M564" s="85"/>
      <c r="N564" s="85"/>
      <c r="O564" s="85"/>
      <c r="P564" s="85"/>
      <c r="Q564" s="85"/>
      <c r="R564" s="43"/>
      <c r="S564" s="43"/>
      <c r="T564" s="43"/>
      <c r="U564" s="43"/>
      <c r="V564" s="43"/>
      <c r="W564" s="43"/>
      <c r="X564" s="43"/>
      <c r="Y564" s="43"/>
      <c r="Z564" s="43"/>
    </row>
    <row r="565">
      <c r="A565" s="89"/>
      <c r="B565" s="89"/>
      <c r="C565" s="89"/>
      <c r="D565" s="90"/>
      <c r="E565" s="91"/>
      <c r="F565" s="91"/>
      <c r="G565" s="91"/>
      <c r="H565" s="91"/>
      <c r="I565" s="85"/>
      <c r="J565" s="85"/>
      <c r="K565" s="85"/>
      <c r="L565" s="85"/>
      <c r="M565" s="85"/>
      <c r="N565" s="85"/>
      <c r="O565" s="85"/>
      <c r="P565" s="85"/>
      <c r="Q565" s="85"/>
      <c r="R565" s="43"/>
      <c r="S565" s="43"/>
      <c r="T565" s="43"/>
      <c r="U565" s="43"/>
      <c r="V565" s="43"/>
      <c r="W565" s="43"/>
      <c r="X565" s="43"/>
      <c r="Y565" s="43"/>
      <c r="Z565" s="43"/>
    </row>
    <row r="566">
      <c r="A566" s="89"/>
      <c r="B566" s="89"/>
      <c r="C566" s="89"/>
      <c r="D566" s="90"/>
      <c r="E566" s="91"/>
      <c r="F566" s="91"/>
      <c r="G566" s="91"/>
      <c r="H566" s="91"/>
      <c r="I566" s="85"/>
      <c r="J566" s="85"/>
      <c r="K566" s="85"/>
      <c r="L566" s="85"/>
      <c r="M566" s="85"/>
      <c r="N566" s="85"/>
      <c r="O566" s="85"/>
      <c r="P566" s="85"/>
      <c r="Q566" s="85"/>
      <c r="R566" s="43"/>
      <c r="S566" s="43"/>
      <c r="T566" s="43"/>
      <c r="U566" s="43"/>
      <c r="V566" s="43"/>
      <c r="W566" s="43"/>
      <c r="X566" s="43"/>
      <c r="Y566" s="43"/>
      <c r="Z566" s="43"/>
    </row>
    <row r="567">
      <c r="A567" s="89"/>
      <c r="B567" s="89"/>
      <c r="C567" s="89"/>
      <c r="D567" s="90"/>
      <c r="E567" s="91"/>
      <c r="F567" s="91"/>
      <c r="G567" s="91"/>
      <c r="H567" s="91"/>
      <c r="I567" s="85"/>
      <c r="J567" s="85"/>
      <c r="K567" s="85"/>
      <c r="L567" s="85"/>
      <c r="M567" s="85"/>
      <c r="N567" s="85"/>
      <c r="O567" s="85"/>
      <c r="P567" s="85"/>
      <c r="Q567" s="85"/>
      <c r="R567" s="43"/>
      <c r="S567" s="43"/>
      <c r="T567" s="43"/>
      <c r="U567" s="43"/>
      <c r="V567" s="43"/>
      <c r="W567" s="43"/>
      <c r="X567" s="43"/>
      <c r="Y567" s="43"/>
      <c r="Z567" s="43"/>
    </row>
    <row r="568">
      <c r="A568" s="89"/>
      <c r="B568" s="89"/>
      <c r="C568" s="89"/>
      <c r="D568" s="90"/>
      <c r="E568" s="91"/>
      <c r="F568" s="91"/>
      <c r="G568" s="91"/>
      <c r="H568" s="91"/>
      <c r="I568" s="85"/>
      <c r="J568" s="85"/>
      <c r="K568" s="85"/>
      <c r="L568" s="85"/>
      <c r="M568" s="85"/>
      <c r="N568" s="85"/>
      <c r="O568" s="85"/>
      <c r="P568" s="85"/>
      <c r="Q568" s="85"/>
      <c r="R568" s="43"/>
      <c r="S568" s="43"/>
      <c r="T568" s="43"/>
      <c r="U568" s="43"/>
      <c r="V568" s="43"/>
      <c r="W568" s="43"/>
      <c r="X568" s="43"/>
      <c r="Y568" s="43"/>
      <c r="Z568" s="43"/>
    </row>
    <row r="569">
      <c r="A569" s="89"/>
      <c r="B569" s="89"/>
      <c r="C569" s="89"/>
      <c r="D569" s="90"/>
      <c r="E569" s="91"/>
      <c r="F569" s="91"/>
      <c r="G569" s="91"/>
      <c r="H569" s="91"/>
      <c r="I569" s="85"/>
      <c r="J569" s="85"/>
      <c r="K569" s="85"/>
      <c r="L569" s="85"/>
      <c r="M569" s="85"/>
      <c r="N569" s="85"/>
      <c r="O569" s="85"/>
      <c r="P569" s="85"/>
      <c r="Q569" s="85"/>
      <c r="R569" s="43"/>
      <c r="S569" s="43"/>
      <c r="T569" s="43"/>
      <c r="U569" s="43"/>
      <c r="V569" s="43"/>
      <c r="W569" s="43"/>
      <c r="X569" s="43"/>
      <c r="Y569" s="43"/>
      <c r="Z569" s="43"/>
    </row>
    <row r="570">
      <c r="A570" s="89"/>
      <c r="B570" s="89"/>
      <c r="C570" s="89"/>
      <c r="D570" s="90"/>
      <c r="E570" s="91"/>
      <c r="F570" s="91"/>
      <c r="G570" s="91"/>
      <c r="H570" s="91"/>
      <c r="I570" s="85"/>
      <c r="J570" s="85"/>
      <c r="K570" s="85"/>
      <c r="L570" s="85"/>
      <c r="M570" s="85"/>
      <c r="N570" s="85"/>
      <c r="O570" s="85"/>
      <c r="P570" s="85"/>
      <c r="Q570" s="85"/>
      <c r="R570" s="43"/>
      <c r="S570" s="43"/>
      <c r="T570" s="43"/>
      <c r="U570" s="43"/>
      <c r="V570" s="43"/>
      <c r="W570" s="43"/>
      <c r="X570" s="43"/>
      <c r="Y570" s="43"/>
      <c r="Z570" s="43"/>
    </row>
    <row r="571">
      <c r="A571" s="89"/>
      <c r="B571" s="89"/>
      <c r="C571" s="89"/>
      <c r="D571" s="90"/>
      <c r="E571" s="91"/>
      <c r="F571" s="91"/>
      <c r="G571" s="91"/>
      <c r="H571" s="91"/>
      <c r="I571" s="85"/>
      <c r="J571" s="85"/>
      <c r="K571" s="85"/>
      <c r="L571" s="85"/>
      <c r="M571" s="85"/>
      <c r="N571" s="85"/>
      <c r="O571" s="85"/>
      <c r="P571" s="85"/>
      <c r="Q571" s="85"/>
      <c r="R571" s="43"/>
      <c r="S571" s="43"/>
      <c r="T571" s="43"/>
      <c r="U571" s="43"/>
      <c r="V571" s="43"/>
      <c r="W571" s="43"/>
      <c r="X571" s="43"/>
      <c r="Y571" s="43"/>
      <c r="Z571" s="43"/>
    </row>
    <row r="572">
      <c r="A572" s="89"/>
      <c r="B572" s="89"/>
      <c r="C572" s="89"/>
      <c r="D572" s="90"/>
      <c r="E572" s="91"/>
      <c r="F572" s="91"/>
      <c r="G572" s="91"/>
      <c r="H572" s="91"/>
      <c r="I572" s="85"/>
      <c r="J572" s="85"/>
      <c r="K572" s="85"/>
      <c r="L572" s="85"/>
      <c r="M572" s="85"/>
      <c r="N572" s="85"/>
      <c r="O572" s="85"/>
      <c r="P572" s="85"/>
      <c r="Q572" s="85"/>
      <c r="R572" s="43"/>
      <c r="S572" s="43"/>
      <c r="T572" s="43"/>
      <c r="U572" s="43"/>
      <c r="V572" s="43"/>
      <c r="W572" s="43"/>
      <c r="X572" s="43"/>
      <c r="Y572" s="43"/>
      <c r="Z572" s="43"/>
    </row>
    <row r="573">
      <c r="A573" s="89"/>
      <c r="B573" s="89"/>
      <c r="C573" s="89"/>
      <c r="D573" s="90"/>
      <c r="E573" s="91"/>
      <c r="F573" s="91"/>
      <c r="G573" s="91"/>
      <c r="H573" s="91"/>
      <c r="I573" s="85"/>
      <c r="J573" s="85"/>
      <c r="K573" s="85"/>
      <c r="L573" s="85"/>
      <c r="M573" s="85"/>
      <c r="N573" s="85"/>
      <c r="O573" s="85"/>
      <c r="P573" s="85"/>
      <c r="Q573" s="85"/>
      <c r="R573" s="43"/>
      <c r="S573" s="43"/>
      <c r="T573" s="43"/>
      <c r="U573" s="43"/>
      <c r="V573" s="43"/>
      <c r="W573" s="43"/>
      <c r="X573" s="43"/>
      <c r="Y573" s="43"/>
      <c r="Z573" s="43"/>
    </row>
    <row r="574">
      <c r="A574" s="89"/>
      <c r="B574" s="89"/>
      <c r="C574" s="89"/>
      <c r="D574" s="90"/>
      <c r="E574" s="91"/>
      <c r="F574" s="91"/>
      <c r="G574" s="91"/>
      <c r="H574" s="91"/>
      <c r="I574" s="85"/>
      <c r="J574" s="85"/>
      <c r="K574" s="85"/>
      <c r="L574" s="85"/>
      <c r="M574" s="85"/>
      <c r="N574" s="85"/>
      <c r="O574" s="85"/>
      <c r="P574" s="85"/>
      <c r="Q574" s="85"/>
      <c r="R574" s="43"/>
      <c r="S574" s="43"/>
      <c r="T574" s="43"/>
      <c r="U574" s="43"/>
      <c r="V574" s="43"/>
      <c r="W574" s="43"/>
      <c r="X574" s="43"/>
      <c r="Y574" s="43"/>
      <c r="Z574" s="43"/>
    </row>
    <row r="575">
      <c r="A575" s="89"/>
      <c r="B575" s="89"/>
      <c r="C575" s="89"/>
      <c r="D575" s="90"/>
      <c r="E575" s="91"/>
      <c r="F575" s="91"/>
      <c r="G575" s="91"/>
      <c r="H575" s="91"/>
      <c r="I575" s="85"/>
      <c r="J575" s="85"/>
      <c r="K575" s="85"/>
      <c r="L575" s="85"/>
      <c r="M575" s="85"/>
      <c r="N575" s="85"/>
      <c r="O575" s="85"/>
      <c r="P575" s="85"/>
      <c r="Q575" s="85"/>
      <c r="R575" s="43"/>
      <c r="S575" s="43"/>
      <c r="T575" s="43"/>
      <c r="U575" s="43"/>
      <c r="V575" s="43"/>
      <c r="W575" s="43"/>
      <c r="X575" s="43"/>
      <c r="Y575" s="43"/>
      <c r="Z575" s="43"/>
    </row>
    <row r="576">
      <c r="A576" s="89"/>
      <c r="B576" s="89"/>
      <c r="C576" s="89"/>
      <c r="D576" s="90"/>
      <c r="E576" s="91"/>
      <c r="F576" s="91"/>
      <c r="G576" s="91"/>
      <c r="H576" s="91"/>
      <c r="I576" s="85"/>
      <c r="J576" s="85"/>
      <c r="K576" s="85"/>
      <c r="L576" s="85"/>
      <c r="M576" s="85"/>
      <c r="N576" s="85"/>
      <c r="O576" s="85"/>
      <c r="P576" s="85"/>
      <c r="Q576" s="85"/>
      <c r="R576" s="43"/>
      <c r="S576" s="43"/>
      <c r="T576" s="43"/>
      <c r="U576" s="43"/>
      <c r="V576" s="43"/>
      <c r="W576" s="43"/>
      <c r="X576" s="43"/>
      <c r="Y576" s="43"/>
      <c r="Z576" s="43"/>
    </row>
    <row r="577">
      <c r="A577" s="89"/>
      <c r="B577" s="89"/>
      <c r="C577" s="89"/>
      <c r="D577" s="90"/>
      <c r="E577" s="91"/>
      <c r="F577" s="91"/>
      <c r="G577" s="91"/>
      <c r="H577" s="91"/>
      <c r="I577" s="85"/>
      <c r="J577" s="85"/>
      <c r="K577" s="85"/>
      <c r="L577" s="85"/>
      <c r="M577" s="85"/>
      <c r="N577" s="85"/>
      <c r="O577" s="85"/>
      <c r="P577" s="85"/>
      <c r="Q577" s="85"/>
      <c r="R577" s="43"/>
      <c r="S577" s="43"/>
      <c r="T577" s="43"/>
      <c r="U577" s="43"/>
      <c r="V577" s="43"/>
      <c r="W577" s="43"/>
      <c r="X577" s="43"/>
      <c r="Y577" s="43"/>
      <c r="Z577" s="43"/>
    </row>
    <row r="578">
      <c r="A578" s="89"/>
      <c r="B578" s="89"/>
      <c r="C578" s="89"/>
      <c r="D578" s="90"/>
      <c r="E578" s="91"/>
      <c r="F578" s="91"/>
      <c r="G578" s="91"/>
      <c r="H578" s="91"/>
      <c r="I578" s="85"/>
      <c r="J578" s="85"/>
      <c r="K578" s="85"/>
      <c r="L578" s="85"/>
      <c r="M578" s="85"/>
      <c r="N578" s="85"/>
      <c r="O578" s="85"/>
      <c r="P578" s="85"/>
      <c r="Q578" s="85"/>
      <c r="R578" s="43"/>
      <c r="S578" s="43"/>
      <c r="T578" s="43"/>
      <c r="U578" s="43"/>
      <c r="V578" s="43"/>
      <c r="W578" s="43"/>
      <c r="X578" s="43"/>
      <c r="Y578" s="43"/>
      <c r="Z578" s="43"/>
    </row>
    <row r="579">
      <c r="A579" s="89"/>
      <c r="B579" s="89"/>
      <c r="C579" s="89"/>
      <c r="D579" s="90"/>
      <c r="E579" s="91"/>
      <c r="F579" s="91"/>
      <c r="G579" s="91"/>
      <c r="H579" s="91"/>
      <c r="I579" s="85"/>
      <c r="J579" s="85"/>
      <c r="K579" s="85"/>
      <c r="L579" s="85"/>
      <c r="M579" s="85"/>
      <c r="N579" s="85"/>
      <c r="O579" s="85"/>
      <c r="P579" s="85"/>
      <c r="Q579" s="85"/>
      <c r="R579" s="43"/>
      <c r="S579" s="43"/>
      <c r="T579" s="43"/>
      <c r="U579" s="43"/>
      <c r="V579" s="43"/>
      <c r="W579" s="43"/>
      <c r="X579" s="43"/>
      <c r="Y579" s="43"/>
      <c r="Z579" s="43"/>
    </row>
    <row r="580">
      <c r="A580" s="89"/>
      <c r="B580" s="89"/>
      <c r="C580" s="89"/>
      <c r="D580" s="90"/>
      <c r="E580" s="91"/>
      <c r="F580" s="91"/>
      <c r="G580" s="91"/>
      <c r="H580" s="91"/>
      <c r="I580" s="85"/>
      <c r="J580" s="85"/>
      <c r="K580" s="85"/>
      <c r="L580" s="85"/>
      <c r="M580" s="85"/>
      <c r="N580" s="85"/>
      <c r="O580" s="85"/>
      <c r="P580" s="85"/>
      <c r="Q580" s="85"/>
      <c r="R580" s="43"/>
      <c r="S580" s="43"/>
      <c r="T580" s="43"/>
      <c r="U580" s="43"/>
      <c r="V580" s="43"/>
      <c r="W580" s="43"/>
      <c r="X580" s="43"/>
      <c r="Y580" s="43"/>
      <c r="Z580" s="43"/>
    </row>
    <row r="581">
      <c r="A581" s="89"/>
      <c r="B581" s="89"/>
      <c r="C581" s="89"/>
      <c r="D581" s="90"/>
      <c r="E581" s="91"/>
      <c r="F581" s="91"/>
      <c r="G581" s="91"/>
      <c r="H581" s="91"/>
      <c r="I581" s="85"/>
      <c r="J581" s="85"/>
      <c r="K581" s="85"/>
      <c r="L581" s="85"/>
      <c r="M581" s="85"/>
      <c r="N581" s="85"/>
      <c r="O581" s="85"/>
      <c r="P581" s="85"/>
      <c r="Q581" s="85"/>
      <c r="R581" s="43"/>
      <c r="S581" s="43"/>
      <c r="T581" s="43"/>
      <c r="U581" s="43"/>
      <c r="V581" s="43"/>
      <c r="W581" s="43"/>
      <c r="X581" s="43"/>
      <c r="Y581" s="43"/>
      <c r="Z581" s="43"/>
    </row>
    <row r="582">
      <c r="A582" s="89"/>
      <c r="B582" s="89"/>
      <c r="C582" s="89"/>
      <c r="D582" s="90"/>
      <c r="E582" s="91"/>
      <c r="F582" s="91"/>
      <c r="G582" s="91"/>
      <c r="H582" s="91"/>
      <c r="I582" s="85"/>
      <c r="J582" s="85"/>
      <c r="K582" s="85"/>
      <c r="L582" s="85"/>
      <c r="M582" s="85"/>
      <c r="N582" s="85"/>
      <c r="O582" s="85"/>
      <c r="P582" s="85"/>
      <c r="Q582" s="85"/>
      <c r="R582" s="43"/>
      <c r="S582" s="43"/>
      <c r="T582" s="43"/>
      <c r="U582" s="43"/>
      <c r="V582" s="43"/>
      <c r="W582" s="43"/>
      <c r="X582" s="43"/>
      <c r="Y582" s="43"/>
      <c r="Z582" s="43"/>
    </row>
    <row r="583">
      <c r="A583" s="89"/>
      <c r="B583" s="89"/>
      <c r="C583" s="89"/>
      <c r="D583" s="90"/>
      <c r="E583" s="91"/>
      <c r="F583" s="91"/>
      <c r="G583" s="91"/>
      <c r="H583" s="91"/>
      <c r="I583" s="85"/>
      <c r="J583" s="85"/>
      <c r="K583" s="85"/>
      <c r="L583" s="85"/>
      <c r="M583" s="85"/>
      <c r="N583" s="85"/>
      <c r="O583" s="85"/>
      <c r="P583" s="85"/>
      <c r="Q583" s="85"/>
      <c r="R583" s="43"/>
      <c r="S583" s="43"/>
      <c r="T583" s="43"/>
      <c r="U583" s="43"/>
      <c r="V583" s="43"/>
      <c r="W583" s="43"/>
      <c r="X583" s="43"/>
      <c r="Y583" s="43"/>
      <c r="Z583" s="43"/>
    </row>
    <row r="584">
      <c r="A584" s="89"/>
      <c r="B584" s="89"/>
      <c r="C584" s="89"/>
      <c r="D584" s="90"/>
      <c r="E584" s="91"/>
      <c r="F584" s="91"/>
      <c r="G584" s="91"/>
      <c r="H584" s="91"/>
      <c r="I584" s="85"/>
      <c r="J584" s="85"/>
      <c r="K584" s="85"/>
      <c r="L584" s="85"/>
      <c r="M584" s="85"/>
      <c r="N584" s="85"/>
      <c r="O584" s="85"/>
      <c r="P584" s="85"/>
      <c r="Q584" s="85"/>
      <c r="R584" s="43"/>
      <c r="S584" s="43"/>
      <c r="T584" s="43"/>
      <c r="U584" s="43"/>
      <c r="V584" s="43"/>
      <c r="W584" s="43"/>
      <c r="X584" s="43"/>
      <c r="Y584" s="43"/>
      <c r="Z584" s="43"/>
    </row>
    <row r="585">
      <c r="A585" s="89"/>
      <c r="B585" s="89"/>
      <c r="C585" s="89"/>
      <c r="D585" s="90"/>
      <c r="E585" s="91"/>
      <c r="F585" s="91"/>
      <c r="G585" s="91"/>
      <c r="H585" s="91"/>
      <c r="I585" s="85"/>
      <c r="J585" s="85"/>
      <c r="K585" s="85"/>
      <c r="L585" s="85"/>
      <c r="M585" s="85"/>
      <c r="N585" s="85"/>
      <c r="O585" s="85"/>
      <c r="P585" s="85"/>
      <c r="Q585" s="85"/>
      <c r="R585" s="43"/>
      <c r="S585" s="43"/>
      <c r="T585" s="43"/>
      <c r="U585" s="43"/>
      <c r="V585" s="43"/>
      <c r="W585" s="43"/>
      <c r="X585" s="43"/>
      <c r="Y585" s="43"/>
      <c r="Z585" s="43"/>
    </row>
    <row r="586">
      <c r="A586" s="89"/>
      <c r="B586" s="89"/>
      <c r="C586" s="89"/>
      <c r="D586" s="90"/>
      <c r="E586" s="91"/>
      <c r="F586" s="91"/>
      <c r="G586" s="91"/>
      <c r="H586" s="91"/>
      <c r="I586" s="85"/>
      <c r="J586" s="85"/>
      <c r="K586" s="85"/>
      <c r="L586" s="85"/>
      <c r="M586" s="85"/>
      <c r="N586" s="85"/>
      <c r="O586" s="85"/>
      <c r="P586" s="85"/>
      <c r="Q586" s="85"/>
      <c r="R586" s="43"/>
      <c r="S586" s="43"/>
      <c r="T586" s="43"/>
      <c r="U586" s="43"/>
      <c r="V586" s="43"/>
      <c r="W586" s="43"/>
      <c r="X586" s="43"/>
      <c r="Y586" s="43"/>
      <c r="Z586" s="43"/>
    </row>
    <row r="587">
      <c r="A587" s="89"/>
      <c r="B587" s="89"/>
      <c r="C587" s="89"/>
      <c r="D587" s="90"/>
      <c r="E587" s="91"/>
      <c r="F587" s="91"/>
      <c r="G587" s="91"/>
      <c r="H587" s="91"/>
      <c r="I587" s="85"/>
      <c r="J587" s="85"/>
      <c r="K587" s="85"/>
      <c r="L587" s="85"/>
      <c r="M587" s="85"/>
      <c r="N587" s="85"/>
      <c r="O587" s="85"/>
      <c r="P587" s="85"/>
      <c r="Q587" s="85"/>
      <c r="R587" s="43"/>
      <c r="S587" s="43"/>
      <c r="T587" s="43"/>
      <c r="U587" s="43"/>
      <c r="V587" s="43"/>
      <c r="W587" s="43"/>
      <c r="X587" s="43"/>
      <c r="Y587" s="43"/>
      <c r="Z587" s="43"/>
    </row>
    <row r="588">
      <c r="A588" s="89"/>
      <c r="B588" s="89"/>
      <c r="C588" s="89"/>
      <c r="D588" s="90"/>
      <c r="E588" s="91"/>
      <c r="F588" s="91"/>
      <c r="G588" s="91"/>
      <c r="H588" s="91"/>
      <c r="I588" s="85"/>
      <c r="J588" s="85"/>
      <c r="K588" s="85"/>
      <c r="L588" s="85"/>
      <c r="M588" s="85"/>
      <c r="N588" s="85"/>
      <c r="O588" s="85"/>
      <c r="P588" s="85"/>
      <c r="Q588" s="85"/>
      <c r="R588" s="43"/>
      <c r="S588" s="43"/>
      <c r="T588" s="43"/>
      <c r="U588" s="43"/>
      <c r="V588" s="43"/>
      <c r="W588" s="43"/>
      <c r="X588" s="43"/>
      <c r="Y588" s="43"/>
      <c r="Z588" s="43"/>
    </row>
    <row r="589">
      <c r="A589" s="89"/>
      <c r="B589" s="89"/>
      <c r="C589" s="89"/>
      <c r="D589" s="90"/>
      <c r="E589" s="91"/>
      <c r="F589" s="91"/>
      <c r="G589" s="91"/>
      <c r="H589" s="91"/>
      <c r="I589" s="85"/>
      <c r="J589" s="85"/>
      <c r="K589" s="85"/>
      <c r="L589" s="85"/>
      <c r="M589" s="85"/>
      <c r="N589" s="85"/>
      <c r="O589" s="85"/>
      <c r="P589" s="85"/>
      <c r="Q589" s="85"/>
      <c r="R589" s="43"/>
      <c r="S589" s="43"/>
      <c r="T589" s="43"/>
      <c r="U589" s="43"/>
      <c r="V589" s="43"/>
      <c r="W589" s="43"/>
      <c r="X589" s="43"/>
      <c r="Y589" s="43"/>
      <c r="Z589" s="43"/>
    </row>
    <row r="590">
      <c r="A590" s="89"/>
      <c r="B590" s="89"/>
      <c r="C590" s="89"/>
      <c r="D590" s="90"/>
      <c r="E590" s="91"/>
      <c r="F590" s="91"/>
      <c r="G590" s="91"/>
      <c r="H590" s="91"/>
      <c r="I590" s="85"/>
      <c r="J590" s="85"/>
      <c r="K590" s="85"/>
      <c r="L590" s="85"/>
      <c r="M590" s="85"/>
      <c r="N590" s="85"/>
      <c r="O590" s="85"/>
      <c r="P590" s="85"/>
      <c r="Q590" s="85"/>
      <c r="R590" s="43"/>
      <c r="S590" s="43"/>
      <c r="T590" s="43"/>
      <c r="U590" s="43"/>
      <c r="V590" s="43"/>
      <c r="W590" s="43"/>
      <c r="X590" s="43"/>
      <c r="Y590" s="43"/>
      <c r="Z590" s="43"/>
    </row>
    <row r="591">
      <c r="A591" s="89"/>
      <c r="B591" s="89"/>
      <c r="C591" s="89"/>
      <c r="D591" s="90"/>
      <c r="E591" s="91"/>
      <c r="F591" s="91"/>
      <c r="G591" s="91"/>
      <c r="H591" s="91"/>
      <c r="I591" s="85"/>
      <c r="J591" s="85"/>
      <c r="K591" s="85"/>
      <c r="L591" s="85"/>
      <c r="M591" s="85"/>
      <c r="N591" s="85"/>
      <c r="O591" s="85"/>
      <c r="P591" s="85"/>
      <c r="Q591" s="85"/>
      <c r="R591" s="43"/>
      <c r="S591" s="43"/>
      <c r="T591" s="43"/>
      <c r="U591" s="43"/>
      <c r="V591" s="43"/>
      <c r="W591" s="43"/>
      <c r="X591" s="43"/>
      <c r="Y591" s="43"/>
      <c r="Z591" s="43"/>
    </row>
    <row r="592">
      <c r="A592" s="89"/>
      <c r="B592" s="89"/>
      <c r="C592" s="89"/>
      <c r="D592" s="90"/>
      <c r="E592" s="91"/>
      <c r="F592" s="91"/>
      <c r="G592" s="91"/>
      <c r="H592" s="91"/>
      <c r="I592" s="85"/>
      <c r="J592" s="85"/>
      <c r="K592" s="85"/>
      <c r="L592" s="85"/>
      <c r="M592" s="85"/>
      <c r="N592" s="85"/>
      <c r="O592" s="85"/>
      <c r="P592" s="85"/>
      <c r="Q592" s="85"/>
      <c r="R592" s="43"/>
      <c r="S592" s="43"/>
      <c r="T592" s="43"/>
      <c r="U592" s="43"/>
      <c r="V592" s="43"/>
      <c r="W592" s="43"/>
      <c r="X592" s="43"/>
      <c r="Y592" s="43"/>
      <c r="Z592" s="43"/>
    </row>
    <row r="593">
      <c r="A593" s="89"/>
      <c r="B593" s="89"/>
      <c r="C593" s="89"/>
      <c r="D593" s="90"/>
      <c r="E593" s="91"/>
      <c r="F593" s="91"/>
      <c r="G593" s="91"/>
      <c r="H593" s="91"/>
      <c r="I593" s="85"/>
      <c r="J593" s="85"/>
      <c r="K593" s="85"/>
      <c r="L593" s="85"/>
      <c r="M593" s="85"/>
      <c r="N593" s="85"/>
      <c r="O593" s="85"/>
      <c r="P593" s="85"/>
      <c r="Q593" s="85"/>
      <c r="R593" s="43"/>
      <c r="S593" s="43"/>
      <c r="T593" s="43"/>
      <c r="U593" s="43"/>
      <c r="V593" s="43"/>
      <c r="W593" s="43"/>
      <c r="X593" s="43"/>
      <c r="Y593" s="43"/>
      <c r="Z593" s="43"/>
    </row>
    <row r="594">
      <c r="A594" s="89"/>
      <c r="B594" s="89"/>
      <c r="C594" s="89"/>
      <c r="D594" s="90"/>
      <c r="E594" s="91"/>
      <c r="F594" s="91"/>
      <c r="G594" s="91"/>
      <c r="H594" s="91"/>
      <c r="I594" s="85"/>
      <c r="J594" s="85"/>
      <c r="K594" s="85"/>
      <c r="L594" s="85"/>
      <c r="M594" s="85"/>
      <c r="N594" s="85"/>
      <c r="O594" s="85"/>
      <c r="P594" s="85"/>
      <c r="Q594" s="85"/>
      <c r="R594" s="43"/>
      <c r="S594" s="43"/>
      <c r="T594" s="43"/>
      <c r="U594" s="43"/>
      <c r="V594" s="43"/>
      <c r="W594" s="43"/>
      <c r="X594" s="43"/>
      <c r="Y594" s="43"/>
      <c r="Z594" s="43"/>
    </row>
    <row r="595">
      <c r="A595" s="89"/>
      <c r="B595" s="89"/>
      <c r="C595" s="89"/>
      <c r="D595" s="90"/>
      <c r="E595" s="91"/>
      <c r="F595" s="91"/>
      <c r="G595" s="91"/>
      <c r="H595" s="91"/>
      <c r="I595" s="85"/>
      <c r="J595" s="85"/>
      <c r="K595" s="85"/>
      <c r="L595" s="85"/>
      <c r="M595" s="85"/>
      <c r="N595" s="85"/>
      <c r="O595" s="85"/>
      <c r="P595" s="85"/>
      <c r="Q595" s="85"/>
      <c r="R595" s="43"/>
      <c r="S595" s="43"/>
      <c r="T595" s="43"/>
      <c r="U595" s="43"/>
      <c r="V595" s="43"/>
      <c r="W595" s="43"/>
      <c r="X595" s="43"/>
      <c r="Y595" s="43"/>
      <c r="Z595" s="43"/>
    </row>
    <row r="596">
      <c r="A596" s="89"/>
      <c r="B596" s="89"/>
      <c r="C596" s="89"/>
      <c r="D596" s="90"/>
      <c r="E596" s="91"/>
      <c r="F596" s="91"/>
      <c r="G596" s="91"/>
      <c r="H596" s="91"/>
      <c r="I596" s="85"/>
      <c r="J596" s="85"/>
      <c r="K596" s="85"/>
      <c r="L596" s="85"/>
      <c r="M596" s="85"/>
      <c r="N596" s="85"/>
      <c r="O596" s="85"/>
      <c r="P596" s="85"/>
      <c r="Q596" s="85"/>
      <c r="R596" s="43"/>
      <c r="S596" s="43"/>
      <c r="T596" s="43"/>
      <c r="U596" s="43"/>
      <c r="V596" s="43"/>
      <c r="W596" s="43"/>
      <c r="X596" s="43"/>
      <c r="Y596" s="43"/>
      <c r="Z596" s="43"/>
    </row>
    <row r="597">
      <c r="A597" s="89"/>
      <c r="B597" s="89"/>
      <c r="C597" s="89"/>
      <c r="D597" s="90"/>
      <c r="E597" s="91"/>
      <c r="F597" s="91"/>
      <c r="G597" s="91"/>
      <c r="H597" s="91"/>
      <c r="I597" s="85"/>
      <c r="J597" s="85"/>
      <c r="K597" s="85"/>
      <c r="L597" s="85"/>
      <c r="M597" s="85"/>
      <c r="N597" s="85"/>
      <c r="O597" s="85"/>
      <c r="P597" s="85"/>
      <c r="Q597" s="85"/>
      <c r="R597" s="43"/>
      <c r="S597" s="43"/>
      <c r="T597" s="43"/>
      <c r="U597" s="43"/>
      <c r="V597" s="43"/>
      <c r="W597" s="43"/>
      <c r="X597" s="43"/>
      <c r="Y597" s="43"/>
      <c r="Z597" s="43"/>
    </row>
    <row r="598">
      <c r="A598" s="89"/>
      <c r="B598" s="89"/>
      <c r="C598" s="89"/>
      <c r="D598" s="90"/>
      <c r="E598" s="91"/>
      <c r="F598" s="91"/>
      <c r="G598" s="91"/>
      <c r="H598" s="91"/>
      <c r="I598" s="85"/>
      <c r="J598" s="85"/>
      <c r="K598" s="85"/>
      <c r="L598" s="85"/>
      <c r="M598" s="85"/>
      <c r="N598" s="85"/>
      <c r="O598" s="85"/>
      <c r="P598" s="85"/>
      <c r="Q598" s="85"/>
      <c r="R598" s="43"/>
      <c r="S598" s="43"/>
      <c r="T598" s="43"/>
      <c r="U598" s="43"/>
      <c r="V598" s="43"/>
      <c r="W598" s="43"/>
      <c r="X598" s="43"/>
      <c r="Y598" s="43"/>
      <c r="Z598" s="43"/>
    </row>
    <row r="599">
      <c r="A599" s="89"/>
      <c r="B599" s="89"/>
      <c r="C599" s="89"/>
      <c r="D599" s="90"/>
      <c r="E599" s="91"/>
      <c r="F599" s="91"/>
      <c r="G599" s="91"/>
      <c r="H599" s="91"/>
      <c r="I599" s="85"/>
      <c r="J599" s="85"/>
      <c r="K599" s="85"/>
      <c r="L599" s="85"/>
      <c r="M599" s="85"/>
      <c r="N599" s="85"/>
      <c r="O599" s="85"/>
      <c r="P599" s="85"/>
      <c r="Q599" s="85"/>
      <c r="R599" s="43"/>
      <c r="S599" s="43"/>
      <c r="T599" s="43"/>
      <c r="U599" s="43"/>
      <c r="V599" s="43"/>
      <c r="W599" s="43"/>
      <c r="X599" s="43"/>
      <c r="Y599" s="43"/>
      <c r="Z599" s="43"/>
    </row>
    <row r="600">
      <c r="A600" s="89"/>
      <c r="B600" s="89"/>
      <c r="C600" s="89"/>
      <c r="D600" s="90"/>
      <c r="E600" s="91"/>
      <c r="F600" s="91"/>
      <c r="G600" s="91"/>
      <c r="H600" s="91"/>
      <c r="I600" s="85"/>
      <c r="J600" s="85"/>
      <c r="K600" s="85"/>
      <c r="L600" s="85"/>
      <c r="M600" s="85"/>
      <c r="N600" s="85"/>
      <c r="O600" s="85"/>
      <c r="P600" s="85"/>
      <c r="Q600" s="85"/>
      <c r="R600" s="43"/>
      <c r="S600" s="43"/>
      <c r="T600" s="43"/>
      <c r="U600" s="43"/>
      <c r="V600" s="43"/>
      <c r="W600" s="43"/>
      <c r="X600" s="43"/>
      <c r="Y600" s="43"/>
      <c r="Z600" s="43"/>
    </row>
    <row r="601">
      <c r="A601" s="89"/>
      <c r="B601" s="89"/>
      <c r="C601" s="89"/>
      <c r="D601" s="90"/>
      <c r="E601" s="91"/>
      <c r="F601" s="91"/>
      <c r="G601" s="91"/>
      <c r="H601" s="91"/>
      <c r="I601" s="85"/>
      <c r="J601" s="85"/>
      <c r="K601" s="85"/>
      <c r="L601" s="85"/>
      <c r="M601" s="85"/>
      <c r="N601" s="85"/>
      <c r="O601" s="85"/>
      <c r="P601" s="85"/>
      <c r="Q601" s="85"/>
      <c r="R601" s="43"/>
      <c r="S601" s="43"/>
      <c r="T601" s="43"/>
      <c r="U601" s="43"/>
      <c r="V601" s="43"/>
      <c r="W601" s="43"/>
      <c r="X601" s="43"/>
      <c r="Y601" s="43"/>
      <c r="Z601" s="43"/>
    </row>
    <row r="602">
      <c r="A602" s="89"/>
      <c r="B602" s="89"/>
      <c r="C602" s="89"/>
      <c r="D602" s="90"/>
      <c r="E602" s="91"/>
      <c r="F602" s="91"/>
      <c r="G602" s="91"/>
      <c r="H602" s="91"/>
      <c r="I602" s="85"/>
      <c r="J602" s="85"/>
      <c r="K602" s="85"/>
      <c r="L602" s="85"/>
      <c r="M602" s="85"/>
      <c r="N602" s="85"/>
      <c r="O602" s="85"/>
      <c r="P602" s="85"/>
      <c r="Q602" s="85"/>
      <c r="R602" s="43"/>
      <c r="S602" s="43"/>
      <c r="T602" s="43"/>
      <c r="U602" s="43"/>
      <c r="V602" s="43"/>
      <c r="W602" s="43"/>
      <c r="X602" s="43"/>
      <c r="Y602" s="43"/>
      <c r="Z602" s="43"/>
    </row>
    <row r="603">
      <c r="A603" s="89"/>
      <c r="B603" s="89"/>
      <c r="C603" s="89"/>
      <c r="D603" s="90"/>
      <c r="E603" s="91"/>
      <c r="F603" s="91"/>
      <c r="G603" s="91"/>
      <c r="H603" s="91"/>
      <c r="I603" s="85"/>
      <c r="J603" s="85"/>
      <c r="K603" s="85"/>
      <c r="L603" s="85"/>
      <c r="M603" s="85"/>
      <c r="N603" s="85"/>
      <c r="O603" s="85"/>
      <c r="P603" s="85"/>
      <c r="Q603" s="85"/>
      <c r="R603" s="43"/>
      <c r="S603" s="43"/>
      <c r="T603" s="43"/>
      <c r="U603" s="43"/>
      <c r="V603" s="43"/>
      <c r="W603" s="43"/>
      <c r="X603" s="43"/>
      <c r="Y603" s="43"/>
      <c r="Z603" s="43"/>
    </row>
    <row r="604">
      <c r="A604" s="89"/>
      <c r="B604" s="89"/>
      <c r="C604" s="89"/>
      <c r="D604" s="90"/>
      <c r="E604" s="91"/>
      <c r="F604" s="91"/>
      <c r="G604" s="91"/>
      <c r="H604" s="91"/>
      <c r="I604" s="85"/>
      <c r="J604" s="85"/>
      <c r="K604" s="85"/>
      <c r="L604" s="85"/>
      <c r="M604" s="85"/>
      <c r="N604" s="85"/>
      <c r="O604" s="85"/>
      <c r="P604" s="85"/>
      <c r="Q604" s="85"/>
      <c r="R604" s="43"/>
      <c r="S604" s="43"/>
      <c r="T604" s="43"/>
      <c r="U604" s="43"/>
      <c r="V604" s="43"/>
      <c r="W604" s="43"/>
      <c r="X604" s="43"/>
      <c r="Y604" s="43"/>
      <c r="Z604" s="43"/>
    </row>
    <row r="605">
      <c r="A605" s="89"/>
      <c r="B605" s="89"/>
      <c r="C605" s="89"/>
      <c r="D605" s="90"/>
      <c r="E605" s="91"/>
      <c r="F605" s="91"/>
      <c r="G605" s="91"/>
      <c r="H605" s="91"/>
      <c r="I605" s="85"/>
      <c r="J605" s="85"/>
      <c r="K605" s="85"/>
      <c r="L605" s="85"/>
      <c r="M605" s="85"/>
      <c r="N605" s="85"/>
      <c r="O605" s="85"/>
      <c r="P605" s="85"/>
      <c r="Q605" s="85"/>
      <c r="R605" s="43"/>
      <c r="S605" s="43"/>
      <c r="T605" s="43"/>
      <c r="U605" s="43"/>
      <c r="V605" s="43"/>
      <c r="W605" s="43"/>
      <c r="X605" s="43"/>
      <c r="Y605" s="43"/>
      <c r="Z605" s="43"/>
    </row>
    <row r="606">
      <c r="A606" s="89"/>
      <c r="B606" s="89"/>
      <c r="C606" s="89"/>
      <c r="D606" s="90"/>
      <c r="E606" s="91"/>
      <c r="F606" s="91"/>
      <c r="G606" s="91"/>
      <c r="H606" s="91"/>
      <c r="I606" s="85"/>
      <c r="J606" s="85"/>
      <c r="K606" s="85"/>
      <c r="L606" s="85"/>
      <c r="M606" s="85"/>
      <c r="N606" s="85"/>
      <c r="O606" s="85"/>
      <c r="P606" s="85"/>
      <c r="Q606" s="85"/>
      <c r="R606" s="43"/>
      <c r="S606" s="43"/>
      <c r="T606" s="43"/>
      <c r="U606" s="43"/>
      <c r="V606" s="43"/>
      <c r="W606" s="43"/>
      <c r="X606" s="43"/>
      <c r="Y606" s="43"/>
      <c r="Z606" s="43"/>
    </row>
    <row r="607">
      <c r="A607" s="89"/>
      <c r="B607" s="89"/>
      <c r="C607" s="89"/>
      <c r="D607" s="90"/>
      <c r="E607" s="91"/>
      <c r="F607" s="91"/>
      <c r="G607" s="91"/>
      <c r="H607" s="91"/>
      <c r="I607" s="85"/>
      <c r="J607" s="85"/>
      <c r="K607" s="85"/>
      <c r="L607" s="85"/>
      <c r="M607" s="85"/>
      <c r="N607" s="85"/>
      <c r="O607" s="85"/>
      <c r="P607" s="85"/>
      <c r="Q607" s="85"/>
      <c r="R607" s="43"/>
      <c r="S607" s="43"/>
      <c r="T607" s="43"/>
      <c r="U607" s="43"/>
      <c r="V607" s="43"/>
      <c r="W607" s="43"/>
      <c r="X607" s="43"/>
      <c r="Y607" s="43"/>
      <c r="Z607" s="43"/>
    </row>
    <row r="608">
      <c r="A608" s="89"/>
      <c r="B608" s="89"/>
      <c r="C608" s="89"/>
      <c r="D608" s="90"/>
      <c r="E608" s="91"/>
      <c r="F608" s="91"/>
      <c r="G608" s="91"/>
      <c r="H608" s="91"/>
      <c r="I608" s="85"/>
      <c r="J608" s="85"/>
      <c r="K608" s="85"/>
      <c r="L608" s="85"/>
      <c r="M608" s="85"/>
      <c r="N608" s="85"/>
      <c r="O608" s="85"/>
      <c r="P608" s="85"/>
      <c r="Q608" s="85"/>
      <c r="R608" s="43"/>
      <c r="S608" s="43"/>
      <c r="T608" s="43"/>
      <c r="U608" s="43"/>
      <c r="V608" s="43"/>
      <c r="W608" s="43"/>
      <c r="X608" s="43"/>
      <c r="Y608" s="43"/>
      <c r="Z608" s="43"/>
    </row>
    <row r="609">
      <c r="A609" s="89"/>
      <c r="B609" s="89"/>
      <c r="C609" s="89"/>
      <c r="D609" s="90"/>
      <c r="E609" s="91"/>
      <c r="F609" s="91"/>
      <c r="G609" s="91"/>
      <c r="H609" s="91"/>
      <c r="I609" s="85"/>
      <c r="J609" s="85"/>
      <c r="K609" s="85"/>
      <c r="L609" s="85"/>
      <c r="M609" s="85"/>
      <c r="N609" s="85"/>
      <c r="O609" s="85"/>
      <c r="P609" s="85"/>
      <c r="Q609" s="85"/>
      <c r="R609" s="43"/>
      <c r="S609" s="43"/>
      <c r="T609" s="43"/>
      <c r="U609" s="43"/>
      <c r="V609" s="43"/>
      <c r="W609" s="43"/>
      <c r="X609" s="43"/>
      <c r="Y609" s="43"/>
      <c r="Z609" s="43"/>
    </row>
    <row r="610">
      <c r="A610" s="89"/>
      <c r="B610" s="89"/>
      <c r="C610" s="89"/>
      <c r="D610" s="90"/>
      <c r="E610" s="91"/>
      <c r="F610" s="91"/>
      <c r="G610" s="91"/>
      <c r="H610" s="91"/>
      <c r="I610" s="85"/>
      <c r="J610" s="85"/>
      <c r="K610" s="85"/>
      <c r="L610" s="85"/>
      <c r="M610" s="85"/>
      <c r="N610" s="85"/>
      <c r="O610" s="85"/>
      <c r="P610" s="85"/>
      <c r="Q610" s="85"/>
      <c r="R610" s="43"/>
      <c r="S610" s="43"/>
      <c r="T610" s="43"/>
      <c r="U610" s="43"/>
      <c r="V610" s="43"/>
      <c r="W610" s="43"/>
      <c r="X610" s="43"/>
      <c r="Y610" s="43"/>
      <c r="Z610" s="43"/>
    </row>
    <row r="611">
      <c r="A611" s="89"/>
      <c r="B611" s="89"/>
      <c r="C611" s="89"/>
      <c r="D611" s="90"/>
      <c r="E611" s="91"/>
      <c r="F611" s="91"/>
      <c r="G611" s="91"/>
      <c r="H611" s="91"/>
      <c r="I611" s="85"/>
      <c r="J611" s="85"/>
      <c r="K611" s="85"/>
      <c r="L611" s="85"/>
      <c r="M611" s="85"/>
      <c r="N611" s="85"/>
      <c r="O611" s="85"/>
      <c r="P611" s="85"/>
      <c r="Q611" s="85"/>
      <c r="R611" s="43"/>
      <c r="S611" s="43"/>
      <c r="T611" s="43"/>
      <c r="U611" s="43"/>
      <c r="V611" s="43"/>
      <c r="W611" s="43"/>
      <c r="X611" s="43"/>
      <c r="Y611" s="43"/>
      <c r="Z611" s="43"/>
    </row>
    <row r="612">
      <c r="A612" s="89"/>
      <c r="B612" s="89"/>
      <c r="C612" s="89"/>
      <c r="D612" s="90"/>
      <c r="E612" s="91"/>
      <c r="F612" s="91"/>
      <c r="G612" s="91"/>
      <c r="H612" s="91"/>
      <c r="I612" s="85"/>
      <c r="J612" s="85"/>
      <c r="K612" s="85"/>
      <c r="L612" s="85"/>
      <c r="M612" s="85"/>
      <c r="N612" s="85"/>
      <c r="O612" s="85"/>
      <c r="P612" s="85"/>
      <c r="Q612" s="85"/>
      <c r="R612" s="43"/>
      <c r="S612" s="43"/>
      <c r="T612" s="43"/>
      <c r="U612" s="43"/>
      <c r="V612" s="43"/>
      <c r="W612" s="43"/>
      <c r="X612" s="43"/>
      <c r="Y612" s="43"/>
      <c r="Z612" s="43"/>
    </row>
    <row r="613">
      <c r="A613" s="89"/>
      <c r="B613" s="89"/>
      <c r="C613" s="89"/>
      <c r="D613" s="90"/>
      <c r="E613" s="91"/>
      <c r="F613" s="91"/>
      <c r="G613" s="91"/>
      <c r="H613" s="91"/>
      <c r="I613" s="85"/>
      <c r="J613" s="85"/>
      <c r="K613" s="85"/>
      <c r="L613" s="85"/>
      <c r="M613" s="85"/>
      <c r="N613" s="85"/>
      <c r="O613" s="85"/>
      <c r="P613" s="85"/>
      <c r="Q613" s="85"/>
      <c r="R613" s="43"/>
      <c r="S613" s="43"/>
      <c r="T613" s="43"/>
      <c r="U613" s="43"/>
      <c r="V613" s="43"/>
      <c r="W613" s="43"/>
      <c r="X613" s="43"/>
      <c r="Y613" s="43"/>
      <c r="Z613" s="43"/>
    </row>
    <row r="614">
      <c r="A614" s="89"/>
      <c r="B614" s="89"/>
      <c r="C614" s="89"/>
      <c r="D614" s="90"/>
      <c r="E614" s="91"/>
      <c r="F614" s="91"/>
      <c r="G614" s="91"/>
      <c r="H614" s="91"/>
      <c r="I614" s="85"/>
      <c r="J614" s="85"/>
      <c r="K614" s="85"/>
      <c r="L614" s="85"/>
      <c r="M614" s="85"/>
      <c r="N614" s="85"/>
      <c r="O614" s="85"/>
      <c r="P614" s="85"/>
      <c r="Q614" s="85"/>
      <c r="R614" s="43"/>
      <c r="S614" s="43"/>
      <c r="T614" s="43"/>
      <c r="U614" s="43"/>
      <c r="V614" s="43"/>
      <c r="W614" s="43"/>
      <c r="X614" s="43"/>
      <c r="Y614" s="43"/>
      <c r="Z614" s="43"/>
    </row>
    <row r="615">
      <c r="A615" s="89"/>
      <c r="B615" s="89"/>
      <c r="C615" s="89"/>
      <c r="D615" s="90"/>
      <c r="E615" s="91"/>
      <c r="F615" s="91"/>
      <c r="G615" s="91"/>
      <c r="H615" s="91"/>
      <c r="I615" s="85"/>
      <c r="J615" s="85"/>
      <c r="K615" s="85"/>
      <c r="L615" s="85"/>
      <c r="M615" s="85"/>
      <c r="N615" s="85"/>
      <c r="O615" s="85"/>
      <c r="P615" s="85"/>
      <c r="Q615" s="85"/>
      <c r="R615" s="43"/>
      <c r="S615" s="43"/>
      <c r="T615" s="43"/>
      <c r="U615" s="43"/>
      <c r="V615" s="43"/>
      <c r="W615" s="43"/>
      <c r="X615" s="43"/>
      <c r="Y615" s="43"/>
      <c r="Z615" s="43"/>
    </row>
    <row r="616">
      <c r="A616" s="89"/>
      <c r="B616" s="89"/>
      <c r="C616" s="89"/>
      <c r="D616" s="90"/>
      <c r="E616" s="91"/>
      <c r="F616" s="91"/>
      <c r="G616" s="91"/>
      <c r="H616" s="91"/>
      <c r="I616" s="85"/>
      <c r="J616" s="85"/>
      <c r="K616" s="85"/>
      <c r="L616" s="85"/>
      <c r="M616" s="85"/>
      <c r="N616" s="85"/>
      <c r="O616" s="85"/>
      <c r="P616" s="85"/>
      <c r="Q616" s="85"/>
      <c r="R616" s="43"/>
      <c r="S616" s="43"/>
      <c r="T616" s="43"/>
      <c r="U616" s="43"/>
      <c r="V616" s="43"/>
      <c r="W616" s="43"/>
      <c r="X616" s="43"/>
      <c r="Y616" s="43"/>
      <c r="Z616" s="43"/>
    </row>
    <row r="617">
      <c r="A617" s="89"/>
      <c r="B617" s="89"/>
      <c r="C617" s="89"/>
      <c r="D617" s="90"/>
      <c r="E617" s="91"/>
      <c r="F617" s="91"/>
      <c r="G617" s="91"/>
      <c r="H617" s="91"/>
      <c r="I617" s="85"/>
      <c r="J617" s="85"/>
      <c r="K617" s="85"/>
      <c r="L617" s="85"/>
      <c r="M617" s="85"/>
      <c r="N617" s="85"/>
      <c r="O617" s="85"/>
      <c r="P617" s="85"/>
      <c r="Q617" s="85"/>
      <c r="R617" s="43"/>
      <c r="S617" s="43"/>
      <c r="T617" s="43"/>
      <c r="U617" s="43"/>
      <c r="V617" s="43"/>
      <c r="W617" s="43"/>
      <c r="X617" s="43"/>
      <c r="Y617" s="43"/>
      <c r="Z617" s="43"/>
    </row>
    <row r="618">
      <c r="A618" s="89"/>
      <c r="B618" s="89"/>
      <c r="C618" s="89"/>
      <c r="D618" s="90"/>
      <c r="E618" s="91"/>
      <c r="F618" s="91"/>
      <c r="G618" s="91"/>
      <c r="H618" s="91"/>
      <c r="I618" s="85"/>
      <c r="J618" s="85"/>
      <c r="K618" s="85"/>
      <c r="L618" s="85"/>
      <c r="M618" s="85"/>
      <c r="N618" s="85"/>
      <c r="O618" s="85"/>
      <c r="P618" s="85"/>
      <c r="Q618" s="85"/>
      <c r="R618" s="43"/>
      <c r="S618" s="43"/>
      <c r="T618" s="43"/>
      <c r="U618" s="43"/>
      <c r="V618" s="43"/>
      <c r="W618" s="43"/>
      <c r="X618" s="43"/>
      <c r="Y618" s="43"/>
      <c r="Z618" s="43"/>
    </row>
    <row r="619">
      <c r="A619" s="89"/>
      <c r="B619" s="89"/>
      <c r="C619" s="89"/>
      <c r="D619" s="90"/>
      <c r="E619" s="91"/>
      <c r="F619" s="91"/>
      <c r="G619" s="91"/>
      <c r="H619" s="91"/>
      <c r="I619" s="85"/>
      <c r="J619" s="85"/>
      <c r="K619" s="85"/>
      <c r="L619" s="85"/>
      <c r="M619" s="85"/>
      <c r="N619" s="85"/>
      <c r="O619" s="85"/>
      <c r="P619" s="85"/>
      <c r="Q619" s="85"/>
      <c r="R619" s="43"/>
      <c r="S619" s="43"/>
      <c r="T619" s="43"/>
      <c r="U619" s="43"/>
      <c r="V619" s="43"/>
      <c r="W619" s="43"/>
      <c r="X619" s="43"/>
      <c r="Y619" s="43"/>
      <c r="Z619" s="43"/>
    </row>
    <row r="620">
      <c r="A620" s="89"/>
      <c r="B620" s="89"/>
      <c r="C620" s="89"/>
      <c r="D620" s="90"/>
      <c r="E620" s="91"/>
      <c r="F620" s="91"/>
      <c r="G620" s="91"/>
      <c r="H620" s="91"/>
      <c r="I620" s="85"/>
      <c r="J620" s="85"/>
      <c r="K620" s="85"/>
      <c r="L620" s="85"/>
      <c r="M620" s="85"/>
      <c r="N620" s="85"/>
      <c r="O620" s="85"/>
      <c r="P620" s="85"/>
      <c r="Q620" s="85"/>
      <c r="R620" s="43"/>
      <c r="S620" s="43"/>
      <c r="T620" s="43"/>
      <c r="U620" s="43"/>
      <c r="V620" s="43"/>
      <c r="W620" s="43"/>
      <c r="X620" s="43"/>
      <c r="Y620" s="43"/>
      <c r="Z620" s="43"/>
    </row>
    <row r="621">
      <c r="A621" s="89"/>
      <c r="B621" s="89"/>
      <c r="C621" s="89"/>
      <c r="D621" s="90"/>
      <c r="E621" s="91"/>
      <c r="F621" s="91"/>
      <c r="G621" s="91"/>
      <c r="H621" s="91"/>
      <c r="I621" s="85"/>
      <c r="J621" s="85"/>
      <c r="K621" s="85"/>
      <c r="L621" s="85"/>
      <c r="M621" s="85"/>
      <c r="N621" s="85"/>
      <c r="O621" s="85"/>
      <c r="P621" s="85"/>
      <c r="Q621" s="85"/>
      <c r="R621" s="43"/>
      <c r="S621" s="43"/>
      <c r="T621" s="43"/>
      <c r="U621" s="43"/>
      <c r="V621" s="43"/>
      <c r="W621" s="43"/>
      <c r="X621" s="43"/>
      <c r="Y621" s="43"/>
      <c r="Z621" s="43"/>
    </row>
    <row r="622">
      <c r="A622" s="89"/>
      <c r="B622" s="89"/>
      <c r="C622" s="89"/>
      <c r="D622" s="90"/>
      <c r="E622" s="91"/>
      <c r="F622" s="91"/>
      <c r="G622" s="91"/>
      <c r="H622" s="91"/>
      <c r="I622" s="85"/>
      <c r="J622" s="85"/>
      <c r="K622" s="85"/>
      <c r="L622" s="85"/>
      <c r="M622" s="85"/>
      <c r="N622" s="85"/>
      <c r="O622" s="85"/>
      <c r="P622" s="85"/>
      <c r="Q622" s="85"/>
      <c r="R622" s="43"/>
      <c r="S622" s="43"/>
      <c r="T622" s="43"/>
      <c r="U622" s="43"/>
      <c r="V622" s="43"/>
      <c r="W622" s="43"/>
      <c r="X622" s="43"/>
      <c r="Y622" s="43"/>
      <c r="Z622" s="43"/>
    </row>
    <row r="623">
      <c r="A623" s="89"/>
      <c r="B623" s="89"/>
      <c r="C623" s="89"/>
      <c r="D623" s="90"/>
      <c r="E623" s="91"/>
      <c r="F623" s="91"/>
      <c r="G623" s="91"/>
      <c r="H623" s="91"/>
      <c r="I623" s="85"/>
      <c r="J623" s="85"/>
      <c r="K623" s="85"/>
      <c r="L623" s="85"/>
      <c r="M623" s="85"/>
      <c r="N623" s="85"/>
      <c r="O623" s="85"/>
      <c r="P623" s="85"/>
      <c r="Q623" s="85"/>
      <c r="R623" s="43"/>
      <c r="S623" s="43"/>
      <c r="T623" s="43"/>
      <c r="U623" s="43"/>
      <c r="V623" s="43"/>
      <c r="W623" s="43"/>
      <c r="X623" s="43"/>
      <c r="Y623" s="43"/>
      <c r="Z623" s="43"/>
    </row>
    <row r="624">
      <c r="A624" s="89"/>
      <c r="B624" s="89"/>
      <c r="C624" s="89"/>
      <c r="D624" s="90"/>
      <c r="E624" s="91"/>
      <c r="F624" s="91"/>
      <c r="G624" s="91"/>
      <c r="H624" s="91"/>
      <c r="I624" s="85"/>
      <c r="J624" s="85"/>
      <c r="K624" s="85"/>
      <c r="L624" s="85"/>
      <c r="M624" s="85"/>
      <c r="N624" s="85"/>
      <c r="O624" s="85"/>
      <c r="P624" s="85"/>
      <c r="Q624" s="85"/>
      <c r="R624" s="43"/>
      <c r="S624" s="43"/>
      <c r="T624" s="43"/>
      <c r="U624" s="43"/>
      <c r="V624" s="43"/>
      <c r="W624" s="43"/>
      <c r="X624" s="43"/>
      <c r="Y624" s="43"/>
      <c r="Z624" s="43"/>
    </row>
    <row r="625">
      <c r="A625" s="89"/>
      <c r="B625" s="89"/>
      <c r="C625" s="89"/>
      <c r="D625" s="90"/>
      <c r="E625" s="91"/>
      <c r="F625" s="91"/>
      <c r="G625" s="91"/>
      <c r="H625" s="91"/>
      <c r="I625" s="85"/>
      <c r="J625" s="85"/>
      <c r="K625" s="85"/>
      <c r="L625" s="85"/>
      <c r="M625" s="85"/>
      <c r="N625" s="85"/>
      <c r="O625" s="85"/>
      <c r="P625" s="85"/>
      <c r="Q625" s="85"/>
      <c r="R625" s="43"/>
      <c r="S625" s="43"/>
      <c r="T625" s="43"/>
      <c r="U625" s="43"/>
      <c r="V625" s="43"/>
      <c r="W625" s="43"/>
      <c r="X625" s="43"/>
      <c r="Y625" s="43"/>
      <c r="Z625" s="43"/>
    </row>
    <row r="626">
      <c r="A626" s="89"/>
      <c r="B626" s="89"/>
      <c r="C626" s="89"/>
      <c r="D626" s="90"/>
      <c r="E626" s="91"/>
      <c r="F626" s="91"/>
      <c r="G626" s="91"/>
      <c r="H626" s="91"/>
      <c r="I626" s="85"/>
      <c r="J626" s="85"/>
      <c r="K626" s="85"/>
      <c r="L626" s="85"/>
      <c r="M626" s="85"/>
      <c r="N626" s="85"/>
      <c r="O626" s="85"/>
      <c r="P626" s="85"/>
      <c r="Q626" s="85"/>
      <c r="R626" s="43"/>
      <c r="S626" s="43"/>
      <c r="T626" s="43"/>
      <c r="U626" s="43"/>
      <c r="V626" s="43"/>
      <c r="W626" s="43"/>
      <c r="X626" s="43"/>
      <c r="Y626" s="43"/>
      <c r="Z626" s="43"/>
    </row>
    <row r="627">
      <c r="A627" s="89"/>
      <c r="B627" s="89"/>
      <c r="C627" s="89"/>
      <c r="D627" s="90"/>
      <c r="E627" s="91"/>
      <c r="F627" s="91"/>
      <c r="G627" s="91"/>
      <c r="H627" s="91"/>
      <c r="I627" s="85"/>
      <c r="J627" s="85"/>
      <c r="K627" s="85"/>
      <c r="L627" s="85"/>
      <c r="M627" s="85"/>
      <c r="N627" s="85"/>
      <c r="O627" s="85"/>
      <c r="P627" s="85"/>
      <c r="Q627" s="85"/>
      <c r="R627" s="43"/>
      <c r="S627" s="43"/>
      <c r="T627" s="43"/>
      <c r="U627" s="43"/>
      <c r="V627" s="43"/>
      <c r="W627" s="43"/>
      <c r="X627" s="43"/>
      <c r="Y627" s="43"/>
      <c r="Z627" s="43"/>
    </row>
    <row r="628">
      <c r="A628" s="89"/>
      <c r="B628" s="89"/>
      <c r="C628" s="89"/>
      <c r="D628" s="90"/>
      <c r="E628" s="91"/>
      <c r="F628" s="91"/>
      <c r="G628" s="91"/>
      <c r="H628" s="91"/>
      <c r="I628" s="85"/>
      <c r="J628" s="85"/>
      <c r="K628" s="85"/>
      <c r="L628" s="85"/>
      <c r="M628" s="85"/>
      <c r="N628" s="85"/>
      <c r="O628" s="85"/>
      <c r="P628" s="85"/>
      <c r="Q628" s="85"/>
      <c r="R628" s="43"/>
      <c r="S628" s="43"/>
      <c r="T628" s="43"/>
      <c r="U628" s="43"/>
      <c r="V628" s="43"/>
      <c r="W628" s="43"/>
      <c r="X628" s="43"/>
      <c r="Y628" s="43"/>
      <c r="Z628" s="43"/>
    </row>
    <row r="629">
      <c r="A629" s="89"/>
      <c r="B629" s="89"/>
      <c r="C629" s="89"/>
      <c r="D629" s="90"/>
      <c r="E629" s="91"/>
      <c r="F629" s="91"/>
      <c r="G629" s="91"/>
      <c r="H629" s="91"/>
      <c r="I629" s="85"/>
      <c r="J629" s="85"/>
      <c r="K629" s="85"/>
      <c r="L629" s="85"/>
      <c r="M629" s="85"/>
      <c r="N629" s="85"/>
      <c r="O629" s="85"/>
      <c r="P629" s="85"/>
      <c r="Q629" s="85"/>
      <c r="R629" s="43"/>
      <c r="S629" s="43"/>
      <c r="T629" s="43"/>
      <c r="U629" s="43"/>
      <c r="V629" s="43"/>
      <c r="W629" s="43"/>
      <c r="X629" s="43"/>
      <c r="Y629" s="43"/>
      <c r="Z629" s="43"/>
    </row>
    <row r="630">
      <c r="A630" s="89"/>
      <c r="B630" s="89"/>
      <c r="C630" s="89"/>
      <c r="D630" s="90"/>
      <c r="E630" s="91"/>
      <c r="F630" s="91"/>
      <c r="G630" s="91"/>
      <c r="H630" s="91"/>
      <c r="I630" s="85"/>
      <c r="J630" s="85"/>
      <c r="K630" s="85"/>
      <c r="L630" s="85"/>
      <c r="M630" s="85"/>
      <c r="N630" s="85"/>
      <c r="O630" s="85"/>
      <c r="P630" s="85"/>
      <c r="Q630" s="85"/>
      <c r="R630" s="43"/>
      <c r="S630" s="43"/>
      <c r="T630" s="43"/>
      <c r="U630" s="43"/>
      <c r="V630" s="43"/>
      <c r="W630" s="43"/>
      <c r="X630" s="43"/>
      <c r="Y630" s="43"/>
      <c r="Z630" s="43"/>
    </row>
    <row r="631">
      <c r="A631" s="89"/>
      <c r="B631" s="89"/>
      <c r="C631" s="89"/>
      <c r="D631" s="90"/>
      <c r="E631" s="91"/>
      <c r="F631" s="91"/>
      <c r="G631" s="91"/>
      <c r="H631" s="91"/>
      <c r="I631" s="85"/>
      <c r="J631" s="85"/>
      <c r="K631" s="85"/>
      <c r="L631" s="85"/>
      <c r="M631" s="85"/>
      <c r="N631" s="85"/>
      <c r="O631" s="85"/>
      <c r="P631" s="85"/>
      <c r="Q631" s="85"/>
      <c r="R631" s="43"/>
      <c r="S631" s="43"/>
      <c r="T631" s="43"/>
      <c r="U631" s="43"/>
      <c r="V631" s="43"/>
      <c r="W631" s="43"/>
      <c r="X631" s="43"/>
      <c r="Y631" s="43"/>
      <c r="Z631" s="43"/>
    </row>
    <row r="632">
      <c r="A632" s="89"/>
      <c r="B632" s="89"/>
      <c r="C632" s="89"/>
      <c r="D632" s="90"/>
      <c r="E632" s="91"/>
      <c r="F632" s="91"/>
      <c r="G632" s="91"/>
      <c r="H632" s="91"/>
      <c r="I632" s="85"/>
      <c r="J632" s="85"/>
      <c r="K632" s="85"/>
      <c r="L632" s="85"/>
      <c r="M632" s="85"/>
      <c r="N632" s="85"/>
      <c r="O632" s="85"/>
      <c r="P632" s="85"/>
      <c r="Q632" s="85"/>
      <c r="R632" s="43"/>
      <c r="S632" s="43"/>
      <c r="T632" s="43"/>
      <c r="U632" s="43"/>
      <c r="V632" s="43"/>
      <c r="W632" s="43"/>
      <c r="X632" s="43"/>
      <c r="Y632" s="43"/>
      <c r="Z632" s="43"/>
    </row>
    <row r="633">
      <c r="A633" s="89"/>
      <c r="B633" s="89"/>
      <c r="C633" s="89"/>
      <c r="D633" s="90"/>
      <c r="E633" s="91"/>
      <c r="F633" s="91"/>
      <c r="G633" s="91"/>
      <c r="H633" s="91"/>
      <c r="I633" s="85"/>
      <c r="J633" s="85"/>
      <c r="K633" s="85"/>
      <c r="L633" s="85"/>
      <c r="M633" s="85"/>
      <c r="N633" s="85"/>
      <c r="O633" s="85"/>
      <c r="P633" s="85"/>
      <c r="Q633" s="85"/>
      <c r="R633" s="43"/>
      <c r="S633" s="43"/>
      <c r="T633" s="43"/>
      <c r="U633" s="43"/>
      <c r="V633" s="43"/>
      <c r="W633" s="43"/>
      <c r="X633" s="43"/>
      <c r="Y633" s="43"/>
      <c r="Z633" s="43"/>
    </row>
    <row r="634">
      <c r="A634" s="89"/>
      <c r="B634" s="89"/>
      <c r="C634" s="89"/>
      <c r="D634" s="90"/>
      <c r="E634" s="91"/>
      <c r="F634" s="91"/>
      <c r="G634" s="91"/>
      <c r="H634" s="91"/>
      <c r="I634" s="85"/>
      <c r="J634" s="85"/>
      <c r="K634" s="85"/>
      <c r="L634" s="85"/>
      <c r="M634" s="85"/>
      <c r="N634" s="85"/>
      <c r="O634" s="85"/>
      <c r="P634" s="85"/>
      <c r="Q634" s="85"/>
      <c r="R634" s="43"/>
      <c r="S634" s="43"/>
      <c r="T634" s="43"/>
      <c r="U634" s="43"/>
      <c r="V634" s="43"/>
      <c r="W634" s="43"/>
      <c r="X634" s="43"/>
      <c r="Y634" s="43"/>
      <c r="Z634" s="43"/>
    </row>
    <row r="635">
      <c r="A635" s="89"/>
      <c r="B635" s="89"/>
      <c r="C635" s="89"/>
      <c r="D635" s="90"/>
      <c r="E635" s="91"/>
      <c r="F635" s="91"/>
      <c r="G635" s="91"/>
      <c r="H635" s="91"/>
      <c r="I635" s="85"/>
      <c r="J635" s="85"/>
      <c r="K635" s="85"/>
      <c r="L635" s="85"/>
      <c r="M635" s="85"/>
      <c r="N635" s="85"/>
      <c r="O635" s="85"/>
      <c r="P635" s="85"/>
      <c r="Q635" s="85"/>
      <c r="R635" s="43"/>
      <c r="S635" s="43"/>
      <c r="T635" s="43"/>
      <c r="U635" s="43"/>
      <c r="V635" s="43"/>
      <c r="W635" s="43"/>
      <c r="X635" s="43"/>
      <c r="Y635" s="43"/>
      <c r="Z635" s="43"/>
    </row>
    <row r="636">
      <c r="A636" s="89"/>
      <c r="B636" s="89"/>
      <c r="C636" s="89"/>
      <c r="D636" s="90"/>
      <c r="E636" s="91"/>
      <c r="F636" s="91"/>
      <c r="G636" s="91"/>
      <c r="H636" s="91"/>
      <c r="I636" s="85"/>
      <c r="J636" s="85"/>
      <c r="K636" s="85"/>
      <c r="L636" s="85"/>
      <c r="M636" s="85"/>
      <c r="N636" s="85"/>
      <c r="O636" s="85"/>
      <c r="P636" s="85"/>
      <c r="Q636" s="85"/>
      <c r="R636" s="43"/>
      <c r="S636" s="43"/>
      <c r="T636" s="43"/>
      <c r="U636" s="43"/>
      <c r="V636" s="43"/>
      <c r="W636" s="43"/>
      <c r="X636" s="43"/>
      <c r="Y636" s="43"/>
      <c r="Z636" s="43"/>
    </row>
    <row r="637">
      <c r="A637" s="89"/>
      <c r="B637" s="89"/>
      <c r="C637" s="89"/>
      <c r="D637" s="90"/>
      <c r="E637" s="91"/>
      <c r="F637" s="91"/>
      <c r="G637" s="91"/>
      <c r="H637" s="91"/>
      <c r="I637" s="85"/>
      <c r="J637" s="85"/>
      <c r="K637" s="85"/>
      <c r="L637" s="85"/>
      <c r="M637" s="85"/>
      <c r="N637" s="85"/>
      <c r="O637" s="85"/>
      <c r="P637" s="85"/>
      <c r="Q637" s="85"/>
      <c r="R637" s="43"/>
      <c r="S637" s="43"/>
      <c r="T637" s="43"/>
      <c r="U637" s="43"/>
      <c r="V637" s="43"/>
      <c r="W637" s="43"/>
      <c r="X637" s="43"/>
      <c r="Y637" s="43"/>
      <c r="Z637" s="43"/>
    </row>
    <row r="638">
      <c r="A638" s="89"/>
      <c r="B638" s="89"/>
      <c r="C638" s="89"/>
      <c r="D638" s="90"/>
      <c r="E638" s="91"/>
      <c r="F638" s="91"/>
      <c r="G638" s="91"/>
      <c r="H638" s="91"/>
      <c r="I638" s="85"/>
      <c r="J638" s="85"/>
      <c r="K638" s="85"/>
      <c r="L638" s="85"/>
      <c r="M638" s="85"/>
      <c r="N638" s="85"/>
      <c r="O638" s="85"/>
      <c r="P638" s="85"/>
      <c r="Q638" s="85"/>
      <c r="R638" s="43"/>
      <c r="S638" s="43"/>
      <c r="T638" s="43"/>
      <c r="U638" s="43"/>
      <c r="V638" s="43"/>
      <c r="W638" s="43"/>
      <c r="X638" s="43"/>
      <c r="Y638" s="43"/>
      <c r="Z638" s="43"/>
    </row>
    <row r="639">
      <c r="A639" s="89"/>
      <c r="B639" s="89"/>
      <c r="C639" s="89"/>
      <c r="D639" s="90"/>
      <c r="E639" s="91"/>
      <c r="F639" s="91"/>
      <c r="G639" s="91"/>
      <c r="H639" s="91"/>
      <c r="I639" s="85"/>
      <c r="J639" s="85"/>
      <c r="K639" s="85"/>
      <c r="L639" s="85"/>
      <c r="M639" s="85"/>
      <c r="N639" s="85"/>
      <c r="O639" s="85"/>
      <c r="P639" s="85"/>
      <c r="Q639" s="85"/>
      <c r="R639" s="43"/>
      <c r="S639" s="43"/>
      <c r="T639" s="43"/>
      <c r="U639" s="43"/>
      <c r="V639" s="43"/>
      <c r="W639" s="43"/>
      <c r="X639" s="43"/>
      <c r="Y639" s="43"/>
      <c r="Z639" s="43"/>
    </row>
    <row r="640">
      <c r="A640" s="89"/>
      <c r="B640" s="89"/>
      <c r="C640" s="89"/>
      <c r="D640" s="90"/>
      <c r="E640" s="91"/>
      <c r="F640" s="91"/>
      <c r="G640" s="91"/>
      <c r="H640" s="91"/>
      <c r="I640" s="85"/>
      <c r="J640" s="85"/>
      <c r="K640" s="85"/>
      <c r="L640" s="85"/>
      <c r="M640" s="85"/>
      <c r="N640" s="85"/>
      <c r="O640" s="85"/>
      <c r="P640" s="85"/>
      <c r="Q640" s="85"/>
      <c r="R640" s="43"/>
      <c r="S640" s="43"/>
      <c r="T640" s="43"/>
      <c r="U640" s="43"/>
      <c r="V640" s="43"/>
      <c r="W640" s="43"/>
      <c r="X640" s="43"/>
      <c r="Y640" s="43"/>
      <c r="Z640" s="43"/>
    </row>
    <row r="641">
      <c r="A641" s="89"/>
      <c r="B641" s="89"/>
      <c r="C641" s="89"/>
      <c r="D641" s="90"/>
      <c r="E641" s="91"/>
      <c r="F641" s="91"/>
      <c r="G641" s="91"/>
      <c r="H641" s="91"/>
      <c r="I641" s="85"/>
      <c r="J641" s="85"/>
      <c r="K641" s="85"/>
      <c r="L641" s="85"/>
      <c r="M641" s="85"/>
      <c r="N641" s="85"/>
      <c r="O641" s="85"/>
      <c r="P641" s="85"/>
      <c r="Q641" s="85"/>
      <c r="R641" s="43"/>
      <c r="S641" s="43"/>
      <c r="T641" s="43"/>
      <c r="U641" s="43"/>
      <c r="V641" s="43"/>
      <c r="W641" s="43"/>
      <c r="X641" s="43"/>
      <c r="Y641" s="43"/>
      <c r="Z641" s="43"/>
    </row>
    <row r="642">
      <c r="A642" s="89"/>
      <c r="B642" s="89"/>
      <c r="C642" s="89"/>
      <c r="D642" s="90"/>
      <c r="E642" s="91"/>
      <c r="F642" s="91"/>
      <c r="G642" s="91"/>
      <c r="H642" s="91"/>
      <c r="I642" s="85"/>
      <c r="J642" s="85"/>
      <c r="K642" s="85"/>
      <c r="L642" s="85"/>
      <c r="M642" s="85"/>
      <c r="N642" s="85"/>
      <c r="O642" s="85"/>
      <c r="P642" s="85"/>
      <c r="Q642" s="85"/>
      <c r="R642" s="43"/>
      <c r="S642" s="43"/>
      <c r="T642" s="43"/>
      <c r="U642" s="43"/>
      <c r="V642" s="43"/>
      <c r="W642" s="43"/>
      <c r="X642" s="43"/>
      <c r="Y642" s="43"/>
      <c r="Z642" s="43"/>
    </row>
    <row r="643">
      <c r="A643" s="89"/>
      <c r="B643" s="89"/>
      <c r="C643" s="89"/>
      <c r="D643" s="90"/>
      <c r="E643" s="91"/>
      <c r="F643" s="91"/>
      <c r="G643" s="91"/>
      <c r="H643" s="91"/>
      <c r="I643" s="85"/>
      <c r="J643" s="85"/>
      <c r="K643" s="85"/>
      <c r="L643" s="85"/>
      <c r="M643" s="85"/>
      <c r="N643" s="85"/>
      <c r="O643" s="85"/>
      <c r="P643" s="85"/>
      <c r="Q643" s="85"/>
      <c r="R643" s="43"/>
      <c r="S643" s="43"/>
      <c r="T643" s="43"/>
      <c r="U643" s="43"/>
      <c r="V643" s="43"/>
      <c r="W643" s="43"/>
      <c r="X643" s="43"/>
      <c r="Y643" s="43"/>
      <c r="Z643" s="43"/>
    </row>
    <row r="644">
      <c r="A644" s="89"/>
      <c r="B644" s="89"/>
      <c r="C644" s="89"/>
      <c r="D644" s="90"/>
      <c r="E644" s="91"/>
      <c r="F644" s="91"/>
      <c r="G644" s="91"/>
      <c r="H644" s="91"/>
      <c r="I644" s="85"/>
      <c r="J644" s="85"/>
      <c r="K644" s="85"/>
      <c r="L644" s="85"/>
      <c r="M644" s="85"/>
      <c r="N644" s="85"/>
      <c r="O644" s="85"/>
      <c r="P644" s="85"/>
      <c r="Q644" s="85"/>
      <c r="R644" s="43"/>
      <c r="S644" s="43"/>
      <c r="T644" s="43"/>
      <c r="U644" s="43"/>
      <c r="V644" s="43"/>
      <c r="W644" s="43"/>
      <c r="X644" s="43"/>
      <c r="Y644" s="43"/>
      <c r="Z644" s="43"/>
    </row>
    <row r="645">
      <c r="A645" s="89"/>
      <c r="B645" s="89"/>
      <c r="C645" s="89"/>
      <c r="D645" s="90"/>
      <c r="E645" s="91"/>
      <c r="F645" s="91"/>
      <c r="G645" s="91"/>
      <c r="H645" s="91"/>
      <c r="I645" s="85"/>
      <c r="J645" s="85"/>
      <c r="K645" s="85"/>
      <c r="L645" s="85"/>
      <c r="M645" s="85"/>
      <c r="N645" s="85"/>
      <c r="O645" s="85"/>
      <c r="P645" s="85"/>
      <c r="Q645" s="85"/>
      <c r="R645" s="43"/>
      <c r="S645" s="43"/>
      <c r="T645" s="43"/>
      <c r="U645" s="43"/>
      <c r="V645" s="43"/>
      <c r="W645" s="43"/>
      <c r="X645" s="43"/>
      <c r="Y645" s="43"/>
      <c r="Z645" s="43"/>
    </row>
    <row r="646">
      <c r="A646" s="89"/>
      <c r="B646" s="89"/>
      <c r="C646" s="89"/>
      <c r="D646" s="90"/>
      <c r="E646" s="91"/>
      <c r="F646" s="91"/>
      <c r="G646" s="91"/>
      <c r="H646" s="91"/>
      <c r="I646" s="85"/>
      <c r="J646" s="85"/>
      <c r="K646" s="85"/>
      <c r="L646" s="85"/>
      <c r="M646" s="85"/>
      <c r="N646" s="85"/>
      <c r="O646" s="85"/>
      <c r="P646" s="85"/>
      <c r="Q646" s="85"/>
      <c r="R646" s="43"/>
      <c r="S646" s="43"/>
      <c r="T646" s="43"/>
      <c r="U646" s="43"/>
      <c r="V646" s="43"/>
      <c r="W646" s="43"/>
      <c r="X646" s="43"/>
      <c r="Y646" s="43"/>
      <c r="Z646" s="43"/>
    </row>
    <row r="647">
      <c r="A647" s="89"/>
      <c r="B647" s="89"/>
      <c r="C647" s="89"/>
      <c r="D647" s="90"/>
      <c r="E647" s="91"/>
      <c r="F647" s="91"/>
      <c r="G647" s="91"/>
      <c r="H647" s="91"/>
      <c r="I647" s="85"/>
      <c r="J647" s="85"/>
      <c r="K647" s="85"/>
      <c r="L647" s="85"/>
      <c r="M647" s="85"/>
      <c r="N647" s="85"/>
      <c r="O647" s="85"/>
      <c r="P647" s="85"/>
      <c r="Q647" s="85"/>
      <c r="R647" s="43"/>
      <c r="S647" s="43"/>
      <c r="T647" s="43"/>
      <c r="U647" s="43"/>
      <c r="V647" s="43"/>
      <c r="W647" s="43"/>
      <c r="X647" s="43"/>
      <c r="Y647" s="43"/>
      <c r="Z647" s="43"/>
    </row>
    <row r="648">
      <c r="A648" s="89"/>
      <c r="B648" s="89"/>
      <c r="C648" s="89"/>
      <c r="D648" s="90"/>
      <c r="E648" s="91"/>
      <c r="F648" s="91"/>
      <c r="G648" s="91"/>
      <c r="H648" s="91"/>
      <c r="I648" s="85"/>
      <c r="J648" s="85"/>
      <c r="K648" s="85"/>
      <c r="L648" s="85"/>
      <c r="M648" s="85"/>
      <c r="N648" s="85"/>
      <c r="O648" s="85"/>
      <c r="P648" s="85"/>
      <c r="Q648" s="85"/>
      <c r="R648" s="43"/>
      <c r="S648" s="43"/>
      <c r="T648" s="43"/>
      <c r="U648" s="43"/>
      <c r="V648" s="43"/>
      <c r="W648" s="43"/>
      <c r="X648" s="43"/>
      <c r="Y648" s="43"/>
      <c r="Z648" s="43"/>
    </row>
    <row r="649">
      <c r="A649" s="89"/>
      <c r="B649" s="89"/>
      <c r="C649" s="89"/>
      <c r="D649" s="90"/>
      <c r="E649" s="91"/>
      <c r="F649" s="91"/>
      <c r="G649" s="91"/>
      <c r="H649" s="91"/>
      <c r="I649" s="85"/>
      <c r="J649" s="85"/>
      <c r="K649" s="85"/>
      <c r="L649" s="85"/>
      <c r="M649" s="85"/>
      <c r="N649" s="85"/>
      <c r="O649" s="85"/>
      <c r="P649" s="85"/>
      <c r="Q649" s="85"/>
      <c r="R649" s="43"/>
      <c r="S649" s="43"/>
      <c r="T649" s="43"/>
      <c r="U649" s="43"/>
      <c r="V649" s="43"/>
      <c r="W649" s="43"/>
      <c r="X649" s="43"/>
      <c r="Y649" s="43"/>
      <c r="Z649" s="43"/>
    </row>
    <row r="650">
      <c r="A650" s="89"/>
      <c r="B650" s="89"/>
      <c r="C650" s="89"/>
      <c r="D650" s="90"/>
      <c r="E650" s="91"/>
      <c r="F650" s="91"/>
      <c r="G650" s="91"/>
      <c r="H650" s="91"/>
      <c r="I650" s="85"/>
      <c r="J650" s="85"/>
      <c r="K650" s="85"/>
      <c r="L650" s="85"/>
      <c r="M650" s="85"/>
      <c r="N650" s="85"/>
      <c r="O650" s="85"/>
      <c r="P650" s="85"/>
      <c r="Q650" s="85"/>
      <c r="R650" s="43"/>
      <c r="S650" s="43"/>
      <c r="T650" s="43"/>
      <c r="U650" s="43"/>
      <c r="V650" s="43"/>
      <c r="W650" s="43"/>
      <c r="X650" s="43"/>
      <c r="Y650" s="43"/>
      <c r="Z650" s="43"/>
    </row>
    <row r="651">
      <c r="A651" s="89"/>
      <c r="B651" s="89"/>
      <c r="C651" s="89"/>
      <c r="D651" s="90"/>
      <c r="E651" s="91"/>
      <c r="F651" s="91"/>
      <c r="G651" s="91"/>
      <c r="H651" s="91"/>
      <c r="I651" s="85"/>
      <c r="J651" s="85"/>
      <c r="K651" s="85"/>
      <c r="L651" s="85"/>
      <c r="M651" s="85"/>
      <c r="N651" s="85"/>
      <c r="O651" s="85"/>
      <c r="P651" s="85"/>
      <c r="Q651" s="85"/>
      <c r="R651" s="43"/>
      <c r="S651" s="43"/>
      <c r="T651" s="43"/>
      <c r="U651" s="43"/>
      <c r="V651" s="43"/>
      <c r="W651" s="43"/>
      <c r="X651" s="43"/>
      <c r="Y651" s="43"/>
      <c r="Z651" s="43"/>
    </row>
    <row r="652">
      <c r="A652" s="89"/>
      <c r="B652" s="89"/>
      <c r="C652" s="89"/>
      <c r="D652" s="90"/>
      <c r="E652" s="91"/>
      <c r="F652" s="91"/>
      <c r="G652" s="91"/>
      <c r="H652" s="91"/>
      <c r="I652" s="85"/>
      <c r="J652" s="85"/>
      <c r="K652" s="85"/>
      <c r="L652" s="85"/>
      <c r="M652" s="85"/>
      <c r="N652" s="85"/>
      <c r="O652" s="85"/>
      <c r="P652" s="85"/>
      <c r="Q652" s="85"/>
      <c r="R652" s="43"/>
      <c r="S652" s="43"/>
      <c r="T652" s="43"/>
      <c r="U652" s="43"/>
      <c r="V652" s="43"/>
      <c r="W652" s="43"/>
      <c r="X652" s="43"/>
      <c r="Y652" s="43"/>
      <c r="Z652" s="43"/>
    </row>
    <row r="653">
      <c r="A653" s="89"/>
      <c r="B653" s="89"/>
      <c r="C653" s="89"/>
      <c r="D653" s="90"/>
      <c r="E653" s="91"/>
      <c r="F653" s="91"/>
      <c r="G653" s="91"/>
      <c r="H653" s="91"/>
      <c r="I653" s="85"/>
      <c r="J653" s="85"/>
      <c r="K653" s="85"/>
      <c r="L653" s="85"/>
      <c r="M653" s="85"/>
      <c r="N653" s="85"/>
      <c r="O653" s="85"/>
      <c r="P653" s="85"/>
      <c r="Q653" s="85"/>
      <c r="R653" s="43"/>
      <c r="S653" s="43"/>
      <c r="T653" s="43"/>
      <c r="U653" s="43"/>
      <c r="V653" s="43"/>
      <c r="W653" s="43"/>
      <c r="X653" s="43"/>
      <c r="Y653" s="43"/>
      <c r="Z653" s="43"/>
    </row>
    <row r="654">
      <c r="A654" s="89"/>
      <c r="B654" s="89"/>
      <c r="C654" s="89"/>
      <c r="D654" s="90"/>
      <c r="E654" s="91"/>
      <c r="F654" s="91"/>
      <c r="G654" s="91"/>
      <c r="H654" s="91"/>
      <c r="I654" s="85"/>
      <c r="J654" s="85"/>
      <c r="K654" s="85"/>
      <c r="L654" s="85"/>
      <c r="M654" s="85"/>
      <c r="N654" s="85"/>
      <c r="O654" s="85"/>
      <c r="P654" s="85"/>
      <c r="Q654" s="85"/>
      <c r="R654" s="43"/>
      <c r="S654" s="43"/>
      <c r="T654" s="43"/>
      <c r="U654" s="43"/>
      <c r="V654" s="43"/>
      <c r="W654" s="43"/>
      <c r="X654" s="43"/>
      <c r="Y654" s="43"/>
      <c r="Z654" s="43"/>
    </row>
    <row r="655">
      <c r="A655" s="89"/>
      <c r="B655" s="89"/>
      <c r="C655" s="89"/>
      <c r="D655" s="90"/>
      <c r="E655" s="91"/>
      <c r="F655" s="91"/>
      <c r="G655" s="91"/>
      <c r="H655" s="91"/>
      <c r="I655" s="85"/>
      <c r="J655" s="85"/>
      <c r="K655" s="85"/>
      <c r="L655" s="85"/>
      <c r="M655" s="85"/>
      <c r="N655" s="85"/>
      <c r="O655" s="85"/>
      <c r="P655" s="85"/>
      <c r="Q655" s="85"/>
      <c r="R655" s="43"/>
      <c r="S655" s="43"/>
      <c r="T655" s="43"/>
      <c r="U655" s="43"/>
      <c r="V655" s="43"/>
      <c r="W655" s="43"/>
      <c r="X655" s="43"/>
      <c r="Y655" s="43"/>
      <c r="Z655" s="43"/>
    </row>
    <row r="656">
      <c r="A656" s="89"/>
      <c r="B656" s="89"/>
      <c r="C656" s="89"/>
      <c r="D656" s="90"/>
      <c r="E656" s="91"/>
      <c r="F656" s="91"/>
      <c r="G656" s="91"/>
      <c r="H656" s="91"/>
      <c r="I656" s="85"/>
      <c r="J656" s="85"/>
      <c r="K656" s="85"/>
      <c r="L656" s="85"/>
      <c r="M656" s="85"/>
      <c r="N656" s="85"/>
      <c r="O656" s="85"/>
      <c r="P656" s="85"/>
      <c r="Q656" s="85"/>
      <c r="R656" s="43"/>
      <c r="S656" s="43"/>
      <c r="T656" s="43"/>
      <c r="U656" s="43"/>
      <c r="V656" s="43"/>
      <c r="W656" s="43"/>
      <c r="X656" s="43"/>
      <c r="Y656" s="43"/>
      <c r="Z656" s="43"/>
    </row>
    <row r="657">
      <c r="A657" s="89"/>
      <c r="B657" s="89"/>
      <c r="C657" s="89"/>
      <c r="D657" s="90"/>
      <c r="E657" s="91"/>
      <c r="F657" s="91"/>
      <c r="G657" s="91"/>
      <c r="H657" s="91"/>
      <c r="I657" s="85"/>
      <c r="J657" s="85"/>
      <c r="K657" s="85"/>
      <c r="L657" s="85"/>
      <c r="M657" s="85"/>
      <c r="N657" s="85"/>
      <c r="O657" s="85"/>
      <c r="P657" s="85"/>
      <c r="Q657" s="85"/>
      <c r="R657" s="43"/>
      <c r="S657" s="43"/>
      <c r="T657" s="43"/>
      <c r="U657" s="43"/>
      <c r="V657" s="43"/>
      <c r="W657" s="43"/>
      <c r="X657" s="43"/>
      <c r="Y657" s="43"/>
      <c r="Z657" s="43"/>
    </row>
    <row r="658">
      <c r="A658" s="89"/>
      <c r="B658" s="89"/>
      <c r="C658" s="89"/>
      <c r="D658" s="90"/>
      <c r="E658" s="91"/>
      <c r="F658" s="91"/>
      <c r="G658" s="91"/>
      <c r="H658" s="91"/>
      <c r="I658" s="85"/>
      <c r="J658" s="85"/>
      <c r="K658" s="85"/>
      <c r="L658" s="85"/>
      <c r="M658" s="85"/>
      <c r="N658" s="85"/>
      <c r="O658" s="85"/>
      <c r="P658" s="85"/>
      <c r="Q658" s="85"/>
      <c r="R658" s="43"/>
      <c r="S658" s="43"/>
      <c r="T658" s="43"/>
      <c r="U658" s="43"/>
      <c r="V658" s="43"/>
      <c r="W658" s="43"/>
      <c r="X658" s="43"/>
      <c r="Y658" s="43"/>
      <c r="Z658" s="43"/>
    </row>
    <row r="659">
      <c r="A659" s="89"/>
      <c r="B659" s="89"/>
      <c r="C659" s="89"/>
      <c r="D659" s="90"/>
      <c r="E659" s="91"/>
      <c r="F659" s="91"/>
      <c r="G659" s="91"/>
      <c r="H659" s="91"/>
      <c r="I659" s="85"/>
      <c r="J659" s="85"/>
      <c r="K659" s="85"/>
      <c r="L659" s="85"/>
      <c r="M659" s="85"/>
      <c r="N659" s="85"/>
      <c r="O659" s="85"/>
      <c r="P659" s="85"/>
      <c r="Q659" s="85"/>
      <c r="R659" s="43"/>
      <c r="S659" s="43"/>
      <c r="T659" s="43"/>
      <c r="U659" s="43"/>
      <c r="V659" s="43"/>
      <c r="W659" s="43"/>
      <c r="X659" s="43"/>
      <c r="Y659" s="43"/>
      <c r="Z659" s="43"/>
    </row>
    <row r="660">
      <c r="A660" s="89"/>
      <c r="B660" s="89"/>
      <c r="C660" s="89"/>
      <c r="D660" s="90"/>
      <c r="E660" s="91"/>
      <c r="F660" s="91"/>
      <c r="G660" s="91"/>
      <c r="H660" s="91"/>
      <c r="I660" s="85"/>
      <c r="J660" s="85"/>
      <c r="K660" s="85"/>
      <c r="L660" s="85"/>
      <c r="M660" s="85"/>
      <c r="N660" s="85"/>
      <c r="O660" s="85"/>
      <c r="P660" s="85"/>
      <c r="Q660" s="85"/>
      <c r="R660" s="43"/>
      <c r="S660" s="43"/>
      <c r="T660" s="43"/>
      <c r="U660" s="43"/>
      <c r="V660" s="43"/>
      <c r="W660" s="43"/>
      <c r="X660" s="43"/>
      <c r="Y660" s="43"/>
      <c r="Z660" s="43"/>
    </row>
    <row r="661">
      <c r="A661" s="89"/>
      <c r="B661" s="89"/>
      <c r="C661" s="89"/>
      <c r="D661" s="90"/>
      <c r="E661" s="91"/>
      <c r="F661" s="91"/>
      <c r="G661" s="91"/>
      <c r="H661" s="91"/>
      <c r="I661" s="85"/>
      <c r="J661" s="85"/>
      <c r="K661" s="85"/>
      <c r="L661" s="85"/>
      <c r="M661" s="85"/>
      <c r="N661" s="85"/>
      <c r="O661" s="85"/>
      <c r="P661" s="85"/>
      <c r="Q661" s="85"/>
      <c r="R661" s="43"/>
      <c r="S661" s="43"/>
      <c r="T661" s="43"/>
      <c r="U661" s="43"/>
      <c r="V661" s="43"/>
      <c r="W661" s="43"/>
      <c r="X661" s="43"/>
      <c r="Y661" s="43"/>
      <c r="Z661" s="43"/>
    </row>
    <row r="662">
      <c r="A662" s="89"/>
      <c r="B662" s="89"/>
      <c r="C662" s="89"/>
      <c r="D662" s="90"/>
      <c r="E662" s="91"/>
      <c r="F662" s="91"/>
      <c r="G662" s="91"/>
      <c r="H662" s="91"/>
      <c r="I662" s="85"/>
      <c r="J662" s="85"/>
      <c r="K662" s="85"/>
      <c r="L662" s="85"/>
      <c r="M662" s="85"/>
      <c r="N662" s="85"/>
      <c r="O662" s="85"/>
      <c r="P662" s="85"/>
      <c r="Q662" s="85"/>
      <c r="R662" s="43"/>
      <c r="S662" s="43"/>
      <c r="T662" s="43"/>
      <c r="U662" s="43"/>
      <c r="V662" s="43"/>
      <c r="W662" s="43"/>
      <c r="X662" s="43"/>
      <c r="Y662" s="43"/>
      <c r="Z662" s="43"/>
    </row>
    <row r="663">
      <c r="A663" s="89"/>
      <c r="B663" s="89"/>
      <c r="C663" s="89"/>
      <c r="D663" s="90"/>
      <c r="E663" s="91"/>
      <c r="F663" s="91"/>
      <c r="G663" s="91"/>
      <c r="H663" s="91"/>
      <c r="I663" s="85"/>
      <c r="J663" s="85"/>
      <c r="K663" s="85"/>
      <c r="L663" s="85"/>
      <c r="M663" s="85"/>
      <c r="N663" s="85"/>
      <c r="O663" s="85"/>
      <c r="P663" s="85"/>
      <c r="Q663" s="85"/>
      <c r="R663" s="43"/>
      <c r="S663" s="43"/>
      <c r="T663" s="43"/>
      <c r="U663" s="43"/>
      <c r="V663" s="43"/>
      <c r="W663" s="43"/>
      <c r="X663" s="43"/>
      <c r="Y663" s="43"/>
      <c r="Z663" s="43"/>
    </row>
    <row r="664">
      <c r="A664" s="89"/>
      <c r="B664" s="89"/>
      <c r="C664" s="89"/>
      <c r="D664" s="90"/>
      <c r="E664" s="91"/>
      <c r="F664" s="91"/>
      <c r="G664" s="91"/>
      <c r="H664" s="91"/>
      <c r="I664" s="85"/>
      <c r="J664" s="85"/>
      <c r="K664" s="85"/>
      <c r="L664" s="85"/>
      <c r="M664" s="85"/>
      <c r="N664" s="85"/>
      <c r="O664" s="85"/>
      <c r="P664" s="85"/>
      <c r="Q664" s="85"/>
      <c r="R664" s="43"/>
      <c r="S664" s="43"/>
      <c r="T664" s="43"/>
      <c r="U664" s="43"/>
      <c r="V664" s="43"/>
      <c r="W664" s="43"/>
      <c r="X664" s="43"/>
      <c r="Y664" s="43"/>
      <c r="Z664" s="43"/>
    </row>
    <row r="665">
      <c r="A665" s="89"/>
      <c r="B665" s="89"/>
      <c r="C665" s="89"/>
      <c r="D665" s="90"/>
      <c r="E665" s="91"/>
      <c r="F665" s="91"/>
      <c r="G665" s="91"/>
      <c r="H665" s="91"/>
      <c r="I665" s="85"/>
      <c r="J665" s="85"/>
      <c r="K665" s="85"/>
      <c r="L665" s="85"/>
      <c r="M665" s="85"/>
      <c r="N665" s="85"/>
      <c r="O665" s="85"/>
      <c r="P665" s="85"/>
      <c r="Q665" s="85"/>
      <c r="R665" s="43"/>
      <c r="S665" s="43"/>
      <c r="T665" s="43"/>
      <c r="U665" s="43"/>
      <c r="V665" s="43"/>
      <c r="W665" s="43"/>
      <c r="X665" s="43"/>
      <c r="Y665" s="43"/>
      <c r="Z665" s="43"/>
    </row>
    <row r="666">
      <c r="A666" s="89"/>
      <c r="B666" s="89"/>
      <c r="C666" s="89"/>
      <c r="D666" s="90"/>
      <c r="E666" s="91"/>
      <c r="F666" s="91"/>
      <c r="G666" s="91"/>
      <c r="H666" s="91"/>
      <c r="I666" s="85"/>
      <c r="J666" s="85"/>
      <c r="K666" s="85"/>
      <c r="L666" s="85"/>
      <c r="M666" s="85"/>
      <c r="N666" s="85"/>
      <c r="O666" s="85"/>
      <c r="P666" s="85"/>
      <c r="Q666" s="85"/>
      <c r="R666" s="43"/>
      <c r="S666" s="43"/>
      <c r="T666" s="43"/>
      <c r="U666" s="43"/>
      <c r="V666" s="43"/>
      <c r="W666" s="43"/>
      <c r="X666" s="43"/>
      <c r="Y666" s="43"/>
      <c r="Z666" s="43"/>
    </row>
    <row r="667">
      <c r="A667" s="89"/>
      <c r="B667" s="89"/>
      <c r="C667" s="89"/>
      <c r="D667" s="90"/>
      <c r="E667" s="91"/>
      <c r="F667" s="91"/>
      <c r="G667" s="91"/>
      <c r="H667" s="91"/>
      <c r="I667" s="85"/>
      <c r="J667" s="85"/>
      <c r="K667" s="85"/>
      <c r="L667" s="85"/>
      <c r="M667" s="85"/>
      <c r="N667" s="85"/>
      <c r="O667" s="85"/>
      <c r="P667" s="85"/>
      <c r="Q667" s="85"/>
      <c r="R667" s="43"/>
      <c r="S667" s="43"/>
      <c r="T667" s="43"/>
      <c r="U667" s="43"/>
      <c r="V667" s="43"/>
      <c r="W667" s="43"/>
      <c r="X667" s="43"/>
      <c r="Y667" s="43"/>
      <c r="Z667" s="43"/>
    </row>
    <row r="668">
      <c r="A668" s="89"/>
      <c r="B668" s="89"/>
      <c r="C668" s="89"/>
      <c r="D668" s="90"/>
      <c r="E668" s="91"/>
      <c r="F668" s="91"/>
      <c r="G668" s="91"/>
      <c r="H668" s="91"/>
      <c r="I668" s="85"/>
      <c r="J668" s="85"/>
      <c r="K668" s="85"/>
      <c r="L668" s="85"/>
      <c r="M668" s="85"/>
      <c r="N668" s="85"/>
      <c r="O668" s="85"/>
      <c r="P668" s="85"/>
      <c r="Q668" s="85"/>
      <c r="R668" s="43"/>
      <c r="S668" s="43"/>
      <c r="T668" s="43"/>
      <c r="U668" s="43"/>
      <c r="V668" s="43"/>
      <c r="W668" s="43"/>
      <c r="X668" s="43"/>
      <c r="Y668" s="43"/>
      <c r="Z668" s="43"/>
    </row>
    <row r="669">
      <c r="A669" s="89"/>
      <c r="B669" s="89"/>
      <c r="C669" s="89"/>
      <c r="D669" s="90"/>
      <c r="E669" s="91"/>
      <c r="F669" s="91"/>
      <c r="G669" s="91"/>
      <c r="H669" s="91"/>
      <c r="I669" s="85"/>
      <c r="J669" s="85"/>
      <c r="K669" s="85"/>
      <c r="L669" s="85"/>
      <c r="M669" s="85"/>
      <c r="N669" s="85"/>
      <c r="O669" s="85"/>
      <c r="P669" s="85"/>
      <c r="Q669" s="85"/>
      <c r="R669" s="43"/>
      <c r="S669" s="43"/>
      <c r="T669" s="43"/>
      <c r="U669" s="43"/>
      <c r="V669" s="43"/>
      <c r="W669" s="43"/>
      <c r="X669" s="43"/>
      <c r="Y669" s="43"/>
      <c r="Z669" s="43"/>
    </row>
    <row r="670">
      <c r="A670" s="89"/>
      <c r="B670" s="89"/>
      <c r="C670" s="89"/>
      <c r="D670" s="90"/>
      <c r="E670" s="91"/>
      <c r="F670" s="91"/>
      <c r="G670" s="91"/>
      <c r="H670" s="91"/>
      <c r="I670" s="85"/>
      <c r="J670" s="85"/>
      <c r="K670" s="85"/>
      <c r="L670" s="85"/>
      <c r="M670" s="85"/>
      <c r="N670" s="85"/>
      <c r="O670" s="85"/>
      <c r="P670" s="85"/>
      <c r="Q670" s="85"/>
      <c r="R670" s="43"/>
      <c r="S670" s="43"/>
      <c r="T670" s="43"/>
      <c r="U670" s="43"/>
      <c r="V670" s="43"/>
      <c r="W670" s="43"/>
      <c r="X670" s="43"/>
      <c r="Y670" s="43"/>
      <c r="Z670" s="43"/>
    </row>
    <row r="671">
      <c r="A671" s="89"/>
      <c r="B671" s="89"/>
      <c r="C671" s="89"/>
      <c r="D671" s="90"/>
      <c r="E671" s="91"/>
      <c r="F671" s="91"/>
      <c r="G671" s="91"/>
      <c r="H671" s="91"/>
      <c r="I671" s="85"/>
      <c r="J671" s="85"/>
      <c r="K671" s="85"/>
      <c r="L671" s="85"/>
      <c r="M671" s="85"/>
      <c r="N671" s="85"/>
      <c r="O671" s="85"/>
      <c r="P671" s="85"/>
      <c r="Q671" s="85"/>
      <c r="R671" s="43"/>
      <c r="S671" s="43"/>
      <c r="T671" s="43"/>
      <c r="U671" s="43"/>
      <c r="V671" s="43"/>
      <c r="W671" s="43"/>
      <c r="X671" s="43"/>
      <c r="Y671" s="43"/>
      <c r="Z671" s="43"/>
    </row>
    <row r="672">
      <c r="A672" s="89"/>
      <c r="B672" s="89"/>
      <c r="C672" s="89"/>
      <c r="D672" s="90"/>
      <c r="E672" s="91"/>
      <c r="F672" s="91"/>
      <c r="G672" s="91"/>
      <c r="H672" s="91"/>
      <c r="I672" s="85"/>
      <c r="J672" s="85"/>
      <c r="K672" s="85"/>
      <c r="L672" s="85"/>
      <c r="M672" s="85"/>
      <c r="N672" s="85"/>
      <c r="O672" s="85"/>
      <c r="P672" s="85"/>
      <c r="Q672" s="85"/>
      <c r="R672" s="43"/>
      <c r="S672" s="43"/>
      <c r="T672" s="43"/>
      <c r="U672" s="43"/>
      <c r="V672" s="43"/>
      <c r="W672" s="43"/>
      <c r="X672" s="43"/>
      <c r="Y672" s="43"/>
      <c r="Z672" s="43"/>
    </row>
    <row r="673">
      <c r="A673" s="89"/>
      <c r="B673" s="89"/>
      <c r="C673" s="89"/>
      <c r="D673" s="90"/>
      <c r="E673" s="91"/>
      <c r="F673" s="91"/>
      <c r="G673" s="91"/>
      <c r="H673" s="91"/>
      <c r="I673" s="85"/>
      <c r="J673" s="85"/>
      <c r="K673" s="85"/>
      <c r="L673" s="85"/>
      <c r="M673" s="85"/>
      <c r="N673" s="85"/>
      <c r="O673" s="85"/>
      <c r="P673" s="85"/>
      <c r="Q673" s="85"/>
      <c r="R673" s="43"/>
      <c r="S673" s="43"/>
      <c r="T673" s="43"/>
      <c r="U673" s="43"/>
      <c r="V673" s="43"/>
      <c r="W673" s="43"/>
      <c r="X673" s="43"/>
      <c r="Y673" s="43"/>
      <c r="Z673" s="43"/>
    </row>
    <row r="674">
      <c r="A674" s="89"/>
      <c r="B674" s="89"/>
      <c r="C674" s="89"/>
      <c r="D674" s="90"/>
      <c r="E674" s="91"/>
      <c r="F674" s="91"/>
      <c r="G674" s="91"/>
      <c r="H674" s="91"/>
      <c r="I674" s="85"/>
      <c r="J674" s="85"/>
      <c r="K674" s="85"/>
      <c r="L674" s="85"/>
      <c r="M674" s="85"/>
      <c r="N674" s="85"/>
      <c r="O674" s="85"/>
      <c r="P674" s="85"/>
      <c r="Q674" s="85"/>
      <c r="R674" s="43"/>
      <c r="S674" s="43"/>
      <c r="T674" s="43"/>
      <c r="U674" s="43"/>
      <c r="V674" s="43"/>
      <c r="W674" s="43"/>
      <c r="X674" s="43"/>
      <c r="Y674" s="43"/>
      <c r="Z674" s="43"/>
    </row>
    <row r="675">
      <c r="A675" s="89"/>
      <c r="B675" s="89"/>
      <c r="C675" s="89"/>
      <c r="D675" s="90"/>
      <c r="E675" s="91"/>
      <c r="F675" s="91"/>
      <c r="G675" s="91"/>
      <c r="H675" s="91"/>
      <c r="I675" s="85"/>
      <c r="J675" s="85"/>
      <c r="K675" s="85"/>
      <c r="L675" s="85"/>
      <c r="M675" s="85"/>
      <c r="N675" s="85"/>
      <c r="O675" s="85"/>
      <c r="P675" s="85"/>
      <c r="Q675" s="85"/>
      <c r="R675" s="43"/>
      <c r="S675" s="43"/>
      <c r="T675" s="43"/>
      <c r="U675" s="43"/>
      <c r="V675" s="43"/>
      <c r="W675" s="43"/>
      <c r="X675" s="43"/>
      <c r="Y675" s="43"/>
      <c r="Z675" s="43"/>
    </row>
    <row r="676">
      <c r="A676" s="89"/>
      <c r="B676" s="89"/>
      <c r="C676" s="89"/>
      <c r="D676" s="90"/>
      <c r="E676" s="91"/>
      <c r="F676" s="91"/>
      <c r="G676" s="91"/>
      <c r="H676" s="91"/>
      <c r="I676" s="85"/>
      <c r="J676" s="85"/>
      <c r="K676" s="85"/>
      <c r="L676" s="85"/>
      <c r="M676" s="85"/>
      <c r="N676" s="85"/>
      <c r="O676" s="85"/>
      <c r="P676" s="85"/>
      <c r="Q676" s="85"/>
      <c r="R676" s="43"/>
      <c r="S676" s="43"/>
      <c r="T676" s="43"/>
      <c r="U676" s="43"/>
      <c r="V676" s="43"/>
      <c r="W676" s="43"/>
      <c r="X676" s="43"/>
      <c r="Y676" s="43"/>
      <c r="Z676" s="43"/>
    </row>
    <row r="677">
      <c r="A677" s="89"/>
      <c r="B677" s="89"/>
      <c r="C677" s="89"/>
      <c r="D677" s="90"/>
      <c r="E677" s="91"/>
      <c r="F677" s="91"/>
      <c r="G677" s="91"/>
      <c r="H677" s="91"/>
      <c r="I677" s="85"/>
      <c r="J677" s="85"/>
      <c r="K677" s="85"/>
      <c r="L677" s="85"/>
      <c r="M677" s="85"/>
      <c r="N677" s="85"/>
      <c r="O677" s="85"/>
      <c r="P677" s="85"/>
      <c r="Q677" s="85"/>
      <c r="R677" s="43"/>
      <c r="S677" s="43"/>
      <c r="T677" s="43"/>
      <c r="U677" s="43"/>
      <c r="V677" s="43"/>
      <c r="W677" s="43"/>
      <c r="X677" s="43"/>
      <c r="Y677" s="43"/>
      <c r="Z677" s="43"/>
    </row>
    <row r="678">
      <c r="A678" s="89"/>
      <c r="B678" s="89"/>
      <c r="C678" s="89"/>
      <c r="D678" s="90"/>
      <c r="E678" s="91"/>
      <c r="F678" s="91"/>
      <c r="G678" s="91"/>
      <c r="H678" s="91"/>
      <c r="I678" s="85"/>
      <c r="J678" s="85"/>
      <c r="K678" s="85"/>
      <c r="L678" s="85"/>
      <c r="M678" s="85"/>
      <c r="N678" s="85"/>
      <c r="O678" s="85"/>
      <c r="P678" s="85"/>
      <c r="Q678" s="85"/>
      <c r="R678" s="43"/>
      <c r="S678" s="43"/>
      <c r="T678" s="43"/>
      <c r="U678" s="43"/>
      <c r="V678" s="43"/>
      <c r="W678" s="43"/>
      <c r="X678" s="43"/>
      <c r="Y678" s="43"/>
      <c r="Z678" s="43"/>
    </row>
    <row r="679">
      <c r="A679" s="89"/>
      <c r="B679" s="89"/>
      <c r="C679" s="89"/>
      <c r="D679" s="90"/>
      <c r="E679" s="91"/>
      <c r="F679" s="91"/>
      <c r="G679" s="91"/>
      <c r="H679" s="91"/>
      <c r="I679" s="85"/>
      <c r="J679" s="85"/>
      <c r="K679" s="85"/>
      <c r="L679" s="85"/>
      <c r="M679" s="85"/>
      <c r="N679" s="85"/>
      <c r="O679" s="85"/>
      <c r="P679" s="85"/>
      <c r="Q679" s="85"/>
      <c r="R679" s="43"/>
      <c r="S679" s="43"/>
      <c r="T679" s="43"/>
      <c r="U679" s="43"/>
      <c r="V679" s="43"/>
      <c r="W679" s="43"/>
      <c r="X679" s="43"/>
      <c r="Y679" s="43"/>
      <c r="Z679" s="43"/>
    </row>
    <row r="680">
      <c r="A680" s="89"/>
      <c r="B680" s="89"/>
      <c r="C680" s="89"/>
      <c r="D680" s="90"/>
      <c r="E680" s="91"/>
      <c r="F680" s="91"/>
      <c r="G680" s="91"/>
      <c r="H680" s="91"/>
      <c r="I680" s="85"/>
      <c r="J680" s="85"/>
      <c r="K680" s="85"/>
      <c r="L680" s="85"/>
      <c r="M680" s="85"/>
      <c r="N680" s="85"/>
      <c r="O680" s="85"/>
      <c r="P680" s="85"/>
      <c r="Q680" s="85"/>
      <c r="R680" s="43"/>
      <c r="S680" s="43"/>
      <c r="T680" s="43"/>
      <c r="U680" s="43"/>
      <c r="V680" s="43"/>
      <c r="W680" s="43"/>
      <c r="X680" s="43"/>
      <c r="Y680" s="43"/>
      <c r="Z680" s="43"/>
    </row>
    <row r="681">
      <c r="A681" s="89"/>
      <c r="B681" s="89"/>
      <c r="C681" s="89"/>
      <c r="D681" s="90"/>
      <c r="E681" s="91"/>
      <c r="F681" s="91"/>
      <c r="G681" s="91"/>
      <c r="H681" s="91"/>
      <c r="I681" s="85"/>
      <c r="J681" s="85"/>
      <c r="K681" s="85"/>
      <c r="L681" s="85"/>
      <c r="M681" s="85"/>
      <c r="N681" s="85"/>
      <c r="O681" s="85"/>
      <c r="P681" s="85"/>
      <c r="Q681" s="85"/>
      <c r="R681" s="43"/>
      <c r="S681" s="43"/>
      <c r="T681" s="43"/>
      <c r="U681" s="43"/>
      <c r="V681" s="43"/>
      <c r="W681" s="43"/>
      <c r="X681" s="43"/>
      <c r="Y681" s="43"/>
      <c r="Z681" s="43"/>
    </row>
    <row r="682">
      <c r="A682" s="89"/>
      <c r="B682" s="89"/>
      <c r="C682" s="89"/>
      <c r="D682" s="90"/>
      <c r="E682" s="91"/>
      <c r="F682" s="91"/>
      <c r="G682" s="91"/>
      <c r="H682" s="91"/>
      <c r="I682" s="85"/>
      <c r="J682" s="85"/>
      <c r="K682" s="85"/>
      <c r="L682" s="85"/>
      <c r="M682" s="85"/>
      <c r="N682" s="85"/>
      <c r="O682" s="85"/>
      <c r="P682" s="85"/>
      <c r="Q682" s="85"/>
      <c r="R682" s="43"/>
      <c r="S682" s="43"/>
      <c r="T682" s="43"/>
      <c r="U682" s="43"/>
      <c r="V682" s="43"/>
      <c r="W682" s="43"/>
      <c r="X682" s="43"/>
      <c r="Y682" s="43"/>
      <c r="Z682" s="43"/>
    </row>
    <row r="683">
      <c r="A683" s="89"/>
      <c r="B683" s="89"/>
      <c r="C683" s="89"/>
      <c r="D683" s="90"/>
      <c r="E683" s="91"/>
      <c r="F683" s="91"/>
      <c r="G683" s="91"/>
      <c r="H683" s="91"/>
      <c r="I683" s="85"/>
      <c r="J683" s="85"/>
      <c r="K683" s="85"/>
      <c r="L683" s="85"/>
      <c r="M683" s="85"/>
      <c r="N683" s="85"/>
      <c r="O683" s="85"/>
      <c r="P683" s="85"/>
      <c r="Q683" s="85"/>
      <c r="R683" s="43"/>
      <c r="S683" s="43"/>
      <c r="T683" s="43"/>
      <c r="U683" s="43"/>
      <c r="V683" s="43"/>
      <c r="W683" s="43"/>
      <c r="X683" s="43"/>
      <c r="Y683" s="43"/>
      <c r="Z683" s="43"/>
    </row>
    <row r="684">
      <c r="A684" s="89"/>
      <c r="B684" s="89"/>
      <c r="C684" s="89"/>
      <c r="D684" s="90"/>
      <c r="E684" s="91"/>
      <c r="F684" s="91"/>
      <c r="G684" s="91"/>
      <c r="H684" s="91"/>
      <c r="I684" s="85"/>
      <c r="J684" s="85"/>
      <c r="K684" s="85"/>
      <c r="L684" s="85"/>
      <c r="M684" s="85"/>
      <c r="N684" s="85"/>
      <c r="O684" s="85"/>
      <c r="P684" s="85"/>
      <c r="Q684" s="85"/>
      <c r="R684" s="43"/>
      <c r="S684" s="43"/>
      <c r="T684" s="43"/>
      <c r="U684" s="43"/>
      <c r="V684" s="43"/>
      <c r="W684" s="43"/>
      <c r="X684" s="43"/>
      <c r="Y684" s="43"/>
      <c r="Z684" s="43"/>
    </row>
    <row r="685">
      <c r="A685" s="89"/>
      <c r="B685" s="89"/>
      <c r="C685" s="89"/>
      <c r="D685" s="90"/>
      <c r="E685" s="91"/>
      <c r="F685" s="91"/>
      <c r="G685" s="91"/>
      <c r="H685" s="91"/>
      <c r="I685" s="85"/>
      <c r="J685" s="85"/>
      <c r="K685" s="85"/>
      <c r="L685" s="85"/>
      <c r="M685" s="85"/>
      <c r="N685" s="85"/>
      <c r="O685" s="85"/>
      <c r="P685" s="85"/>
      <c r="Q685" s="85"/>
      <c r="R685" s="43"/>
      <c r="S685" s="43"/>
      <c r="T685" s="43"/>
      <c r="U685" s="43"/>
      <c r="V685" s="43"/>
      <c r="W685" s="43"/>
      <c r="X685" s="43"/>
      <c r="Y685" s="43"/>
      <c r="Z685" s="43"/>
    </row>
    <row r="686">
      <c r="A686" s="89"/>
      <c r="B686" s="89"/>
      <c r="C686" s="89"/>
      <c r="D686" s="90"/>
      <c r="E686" s="91"/>
      <c r="F686" s="91"/>
      <c r="G686" s="91"/>
      <c r="H686" s="91"/>
      <c r="I686" s="85"/>
      <c r="J686" s="85"/>
      <c r="K686" s="85"/>
      <c r="L686" s="85"/>
      <c r="M686" s="85"/>
      <c r="N686" s="85"/>
      <c r="O686" s="85"/>
      <c r="P686" s="85"/>
      <c r="Q686" s="85"/>
      <c r="R686" s="43"/>
      <c r="S686" s="43"/>
      <c r="T686" s="43"/>
      <c r="U686" s="43"/>
      <c r="V686" s="43"/>
      <c r="W686" s="43"/>
      <c r="X686" s="43"/>
      <c r="Y686" s="43"/>
      <c r="Z686" s="43"/>
    </row>
    <row r="687">
      <c r="A687" s="89"/>
      <c r="B687" s="89"/>
      <c r="C687" s="89"/>
      <c r="D687" s="90"/>
      <c r="E687" s="91"/>
      <c r="F687" s="91"/>
      <c r="G687" s="91"/>
      <c r="H687" s="91"/>
      <c r="I687" s="85"/>
      <c r="J687" s="85"/>
      <c r="K687" s="85"/>
      <c r="L687" s="85"/>
      <c r="M687" s="85"/>
      <c r="N687" s="85"/>
      <c r="O687" s="85"/>
      <c r="P687" s="85"/>
      <c r="Q687" s="85"/>
      <c r="R687" s="43"/>
      <c r="S687" s="43"/>
      <c r="T687" s="43"/>
      <c r="U687" s="43"/>
      <c r="V687" s="43"/>
      <c r="W687" s="43"/>
      <c r="X687" s="43"/>
      <c r="Y687" s="43"/>
      <c r="Z687" s="43"/>
    </row>
    <row r="688">
      <c r="A688" s="89"/>
      <c r="B688" s="89"/>
      <c r="C688" s="89"/>
      <c r="D688" s="90"/>
      <c r="E688" s="91"/>
      <c r="F688" s="91"/>
      <c r="G688" s="91"/>
      <c r="H688" s="91"/>
      <c r="I688" s="85"/>
      <c r="J688" s="85"/>
      <c r="K688" s="85"/>
      <c r="L688" s="85"/>
      <c r="M688" s="85"/>
      <c r="N688" s="85"/>
      <c r="O688" s="85"/>
      <c r="P688" s="85"/>
      <c r="Q688" s="85"/>
      <c r="R688" s="43"/>
      <c r="S688" s="43"/>
      <c r="T688" s="43"/>
      <c r="U688" s="43"/>
      <c r="V688" s="43"/>
      <c r="W688" s="43"/>
      <c r="X688" s="43"/>
      <c r="Y688" s="43"/>
      <c r="Z688" s="43"/>
    </row>
    <row r="689">
      <c r="A689" s="89"/>
      <c r="B689" s="89"/>
      <c r="C689" s="89"/>
      <c r="D689" s="90"/>
      <c r="E689" s="91"/>
      <c r="F689" s="91"/>
      <c r="G689" s="91"/>
      <c r="H689" s="91"/>
      <c r="I689" s="85"/>
      <c r="J689" s="85"/>
      <c r="K689" s="85"/>
      <c r="L689" s="85"/>
      <c r="M689" s="85"/>
      <c r="N689" s="85"/>
      <c r="O689" s="85"/>
      <c r="P689" s="85"/>
      <c r="Q689" s="85"/>
      <c r="R689" s="43"/>
      <c r="S689" s="43"/>
      <c r="T689" s="43"/>
      <c r="U689" s="43"/>
      <c r="V689" s="43"/>
      <c r="W689" s="43"/>
      <c r="X689" s="43"/>
      <c r="Y689" s="43"/>
      <c r="Z689" s="43"/>
    </row>
    <row r="690">
      <c r="A690" s="89"/>
      <c r="B690" s="89"/>
      <c r="C690" s="89"/>
      <c r="D690" s="90"/>
      <c r="E690" s="91"/>
      <c r="F690" s="91"/>
      <c r="G690" s="91"/>
      <c r="H690" s="91"/>
      <c r="I690" s="85"/>
      <c r="J690" s="85"/>
      <c r="K690" s="85"/>
      <c r="L690" s="85"/>
      <c r="M690" s="85"/>
      <c r="N690" s="85"/>
      <c r="O690" s="85"/>
      <c r="P690" s="85"/>
      <c r="Q690" s="85"/>
      <c r="R690" s="43"/>
      <c r="S690" s="43"/>
      <c r="T690" s="43"/>
      <c r="U690" s="43"/>
      <c r="V690" s="43"/>
      <c r="W690" s="43"/>
      <c r="X690" s="43"/>
      <c r="Y690" s="43"/>
      <c r="Z690" s="43"/>
    </row>
    <row r="691">
      <c r="A691" s="89"/>
      <c r="B691" s="89"/>
      <c r="C691" s="89"/>
      <c r="D691" s="90"/>
      <c r="E691" s="91"/>
      <c r="F691" s="91"/>
      <c r="G691" s="91"/>
      <c r="H691" s="91"/>
      <c r="I691" s="85"/>
      <c r="J691" s="85"/>
      <c r="K691" s="85"/>
      <c r="L691" s="85"/>
      <c r="M691" s="85"/>
      <c r="N691" s="85"/>
      <c r="O691" s="85"/>
      <c r="P691" s="85"/>
      <c r="Q691" s="85"/>
      <c r="R691" s="43"/>
      <c r="S691" s="43"/>
      <c r="T691" s="43"/>
      <c r="U691" s="43"/>
      <c r="V691" s="43"/>
      <c r="W691" s="43"/>
      <c r="X691" s="43"/>
      <c r="Y691" s="43"/>
      <c r="Z691" s="43"/>
    </row>
    <row r="692">
      <c r="A692" s="89"/>
      <c r="B692" s="89"/>
      <c r="C692" s="89"/>
      <c r="D692" s="90"/>
      <c r="E692" s="91"/>
      <c r="F692" s="91"/>
      <c r="G692" s="91"/>
      <c r="H692" s="91"/>
      <c r="I692" s="85"/>
      <c r="J692" s="85"/>
      <c r="K692" s="85"/>
      <c r="L692" s="85"/>
      <c r="M692" s="85"/>
      <c r="N692" s="85"/>
      <c r="O692" s="85"/>
      <c r="P692" s="85"/>
      <c r="Q692" s="85"/>
      <c r="R692" s="43"/>
      <c r="S692" s="43"/>
      <c r="T692" s="43"/>
      <c r="U692" s="43"/>
      <c r="V692" s="43"/>
      <c r="W692" s="43"/>
      <c r="X692" s="43"/>
      <c r="Y692" s="43"/>
      <c r="Z692" s="43"/>
    </row>
    <row r="693">
      <c r="A693" s="89"/>
      <c r="B693" s="89"/>
      <c r="C693" s="89"/>
      <c r="D693" s="90"/>
      <c r="E693" s="91"/>
      <c r="F693" s="91"/>
      <c r="G693" s="91"/>
      <c r="H693" s="91"/>
      <c r="I693" s="85"/>
      <c r="J693" s="85"/>
      <c r="K693" s="85"/>
      <c r="L693" s="85"/>
      <c r="M693" s="85"/>
      <c r="N693" s="85"/>
      <c r="O693" s="85"/>
      <c r="P693" s="85"/>
      <c r="Q693" s="85"/>
      <c r="R693" s="43"/>
      <c r="S693" s="43"/>
      <c r="T693" s="43"/>
      <c r="U693" s="43"/>
      <c r="V693" s="43"/>
      <c r="W693" s="43"/>
      <c r="X693" s="43"/>
      <c r="Y693" s="43"/>
      <c r="Z693" s="43"/>
    </row>
    <row r="694">
      <c r="A694" s="89"/>
      <c r="B694" s="89"/>
      <c r="C694" s="89"/>
      <c r="D694" s="90"/>
      <c r="E694" s="91"/>
      <c r="F694" s="91"/>
      <c r="G694" s="91"/>
      <c r="H694" s="91"/>
      <c r="I694" s="85"/>
      <c r="J694" s="85"/>
      <c r="K694" s="85"/>
      <c r="L694" s="85"/>
      <c r="M694" s="85"/>
      <c r="N694" s="85"/>
      <c r="O694" s="85"/>
      <c r="P694" s="85"/>
      <c r="Q694" s="85"/>
      <c r="R694" s="43"/>
      <c r="S694" s="43"/>
      <c r="T694" s="43"/>
      <c r="U694" s="43"/>
      <c r="V694" s="43"/>
      <c r="W694" s="43"/>
      <c r="X694" s="43"/>
      <c r="Y694" s="43"/>
      <c r="Z694" s="43"/>
    </row>
    <row r="695">
      <c r="A695" s="89"/>
      <c r="B695" s="89"/>
      <c r="C695" s="89"/>
      <c r="D695" s="90"/>
      <c r="E695" s="91"/>
      <c r="F695" s="91"/>
      <c r="G695" s="91"/>
      <c r="H695" s="91"/>
      <c r="I695" s="85"/>
      <c r="J695" s="85"/>
      <c r="K695" s="85"/>
      <c r="L695" s="85"/>
      <c r="M695" s="85"/>
      <c r="N695" s="85"/>
      <c r="O695" s="85"/>
      <c r="P695" s="85"/>
      <c r="Q695" s="85"/>
      <c r="R695" s="43"/>
      <c r="S695" s="43"/>
      <c r="T695" s="43"/>
      <c r="U695" s="43"/>
      <c r="V695" s="43"/>
      <c r="W695" s="43"/>
      <c r="X695" s="43"/>
      <c r="Y695" s="43"/>
      <c r="Z695" s="43"/>
    </row>
    <row r="696">
      <c r="A696" s="89"/>
      <c r="B696" s="89"/>
      <c r="C696" s="89"/>
      <c r="D696" s="90"/>
      <c r="E696" s="91"/>
      <c r="F696" s="91"/>
      <c r="G696" s="91"/>
      <c r="H696" s="91"/>
      <c r="I696" s="85"/>
      <c r="J696" s="85"/>
      <c r="K696" s="85"/>
      <c r="L696" s="85"/>
      <c r="M696" s="85"/>
      <c r="N696" s="85"/>
      <c r="O696" s="85"/>
      <c r="P696" s="85"/>
      <c r="Q696" s="85"/>
      <c r="R696" s="43"/>
      <c r="S696" s="43"/>
      <c r="T696" s="43"/>
      <c r="U696" s="43"/>
      <c r="V696" s="43"/>
      <c r="W696" s="43"/>
      <c r="X696" s="43"/>
      <c r="Y696" s="43"/>
      <c r="Z696" s="43"/>
    </row>
    <row r="697">
      <c r="A697" s="89"/>
      <c r="B697" s="89"/>
      <c r="C697" s="89"/>
      <c r="D697" s="90"/>
      <c r="E697" s="91"/>
      <c r="F697" s="91"/>
      <c r="G697" s="91"/>
      <c r="H697" s="91"/>
      <c r="I697" s="85"/>
      <c r="J697" s="85"/>
      <c r="K697" s="85"/>
      <c r="L697" s="85"/>
      <c r="M697" s="85"/>
      <c r="N697" s="85"/>
      <c r="O697" s="85"/>
      <c r="P697" s="85"/>
      <c r="Q697" s="85"/>
      <c r="R697" s="43"/>
      <c r="S697" s="43"/>
      <c r="T697" s="43"/>
      <c r="U697" s="43"/>
      <c r="V697" s="43"/>
      <c r="W697" s="43"/>
      <c r="X697" s="43"/>
      <c r="Y697" s="43"/>
      <c r="Z697" s="43"/>
    </row>
    <row r="698">
      <c r="A698" s="89"/>
      <c r="B698" s="89"/>
      <c r="C698" s="89"/>
      <c r="D698" s="90"/>
      <c r="E698" s="91"/>
      <c r="F698" s="91"/>
      <c r="G698" s="91"/>
      <c r="H698" s="91"/>
      <c r="I698" s="85"/>
      <c r="J698" s="85"/>
      <c r="K698" s="85"/>
      <c r="L698" s="85"/>
      <c r="M698" s="85"/>
      <c r="N698" s="85"/>
      <c r="O698" s="85"/>
      <c r="P698" s="85"/>
      <c r="Q698" s="85"/>
      <c r="R698" s="43"/>
      <c r="S698" s="43"/>
      <c r="T698" s="43"/>
      <c r="U698" s="43"/>
      <c r="V698" s="43"/>
      <c r="W698" s="43"/>
      <c r="X698" s="43"/>
      <c r="Y698" s="43"/>
      <c r="Z698" s="43"/>
    </row>
    <row r="699">
      <c r="A699" s="89"/>
      <c r="B699" s="89"/>
      <c r="C699" s="89"/>
      <c r="D699" s="90"/>
      <c r="E699" s="91"/>
      <c r="F699" s="91"/>
      <c r="G699" s="91"/>
      <c r="H699" s="91"/>
      <c r="I699" s="85"/>
      <c r="J699" s="85"/>
      <c r="K699" s="85"/>
      <c r="L699" s="85"/>
      <c r="M699" s="85"/>
      <c r="N699" s="85"/>
      <c r="O699" s="85"/>
      <c r="P699" s="85"/>
      <c r="Q699" s="85"/>
      <c r="R699" s="43"/>
      <c r="S699" s="43"/>
      <c r="T699" s="43"/>
      <c r="U699" s="43"/>
      <c r="V699" s="43"/>
      <c r="W699" s="43"/>
      <c r="X699" s="43"/>
      <c r="Y699" s="43"/>
      <c r="Z699" s="43"/>
    </row>
    <row r="700">
      <c r="A700" s="89"/>
      <c r="B700" s="89"/>
      <c r="C700" s="89"/>
      <c r="D700" s="90"/>
      <c r="E700" s="91"/>
      <c r="F700" s="91"/>
      <c r="G700" s="91"/>
      <c r="H700" s="91"/>
      <c r="I700" s="85"/>
      <c r="J700" s="85"/>
      <c r="K700" s="85"/>
      <c r="L700" s="85"/>
      <c r="M700" s="85"/>
      <c r="N700" s="85"/>
      <c r="O700" s="85"/>
      <c r="P700" s="85"/>
      <c r="Q700" s="85"/>
      <c r="R700" s="43"/>
      <c r="S700" s="43"/>
      <c r="T700" s="43"/>
      <c r="U700" s="43"/>
      <c r="V700" s="43"/>
      <c r="W700" s="43"/>
      <c r="X700" s="43"/>
      <c r="Y700" s="43"/>
      <c r="Z700" s="43"/>
    </row>
    <row r="701">
      <c r="A701" s="89"/>
      <c r="B701" s="89"/>
      <c r="C701" s="89"/>
      <c r="D701" s="90"/>
      <c r="E701" s="91"/>
      <c r="F701" s="91"/>
      <c r="G701" s="91"/>
      <c r="H701" s="91"/>
      <c r="I701" s="85"/>
      <c r="J701" s="85"/>
      <c r="K701" s="85"/>
      <c r="L701" s="85"/>
      <c r="M701" s="85"/>
      <c r="N701" s="85"/>
      <c r="O701" s="85"/>
      <c r="P701" s="85"/>
      <c r="Q701" s="85"/>
      <c r="R701" s="43"/>
      <c r="S701" s="43"/>
      <c r="T701" s="43"/>
      <c r="U701" s="43"/>
      <c r="V701" s="43"/>
      <c r="W701" s="43"/>
      <c r="X701" s="43"/>
      <c r="Y701" s="43"/>
      <c r="Z701" s="43"/>
    </row>
    <row r="702">
      <c r="A702" s="89"/>
      <c r="B702" s="89"/>
      <c r="C702" s="89"/>
      <c r="D702" s="90"/>
      <c r="E702" s="91"/>
      <c r="F702" s="91"/>
      <c r="G702" s="91"/>
      <c r="H702" s="91"/>
      <c r="I702" s="85"/>
      <c r="J702" s="85"/>
      <c r="K702" s="85"/>
      <c r="L702" s="85"/>
      <c r="M702" s="85"/>
      <c r="N702" s="85"/>
      <c r="O702" s="85"/>
      <c r="P702" s="85"/>
      <c r="Q702" s="85"/>
      <c r="R702" s="43"/>
      <c r="S702" s="43"/>
      <c r="T702" s="43"/>
      <c r="U702" s="43"/>
      <c r="V702" s="43"/>
      <c r="W702" s="43"/>
      <c r="X702" s="43"/>
      <c r="Y702" s="43"/>
      <c r="Z702" s="43"/>
    </row>
    <row r="703">
      <c r="A703" s="89"/>
      <c r="B703" s="89"/>
      <c r="C703" s="89"/>
      <c r="D703" s="90"/>
      <c r="E703" s="91"/>
      <c r="F703" s="91"/>
      <c r="G703" s="91"/>
      <c r="H703" s="91"/>
      <c r="I703" s="85"/>
      <c r="J703" s="85"/>
      <c r="K703" s="85"/>
      <c r="L703" s="85"/>
      <c r="M703" s="85"/>
      <c r="N703" s="85"/>
      <c r="O703" s="85"/>
      <c r="P703" s="85"/>
      <c r="Q703" s="85"/>
      <c r="R703" s="43"/>
      <c r="S703" s="43"/>
      <c r="T703" s="43"/>
      <c r="U703" s="43"/>
      <c r="V703" s="43"/>
      <c r="W703" s="43"/>
      <c r="X703" s="43"/>
      <c r="Y703" s="43"/>
      <c r="Z703" s="43"/>
    </row>
    <row r="704">
      <c r="A704" s="89"/>
      <c r="B704" s="89"/>
      <c r="C704" s="89"/>
      <c r="D704" s="90"/>
      <c r="E704" s="91"/>
      <c r="F704" s="91"/>
      <c r="G704" s="91"/>
      <c r="H704" s="91"/>
      <c r="I704" s="85"/>
      <c r="J704" s="85"/>
      <c r="K704" s="85"/>
      <c r="L704" s="85"/>
      <c r="M704" s="85"/>
      <c r="N704" s="85"/>
      <c r="O704" s="85"/>
      <c r="P704" s="85"/>
      <c r="Q704" s="85"/>
      <c r="R704" s="43"/>
      <c r="S704" s="43"/>
      <c r="T704" s="43"/>
      <c r="U704" s="43"/>
      <c r="V704" s="43"/>
      <c r="W704" s="43"/>
      <c r="X704" s="43"/>
      <c r="Y704" s="43"/>
      <c r="Z704" s="43"/>
    </row>
    <row r="705">
      <c r="A705" s="89"/>
      <c r="B705" s="89"/>
      <c r="C705" s="89"/>
      <c r="D705" s="90"/>
      <c r="E705" s="91"/>
      <c r="F705" s="91"/>
      <c r="G705" s="91"/>
      <c r="H705" s="91"/>
      <c r="I705" s="85"/>
      <c r="J705" s="85"/>
      <c r="K705" s="85"/>
      <c r="L705" s="85"/>
      <c r="M705" s="85"/>
      <c r="N705" s="85"/>
      <c r="O705" s="85"/>
      <c r="P705" s="85"/>
      <c r="Q705" s="85"/>
      <c r="R705" s="43"/>
      <c r="S705" s="43"/>
      <c r="T705" s="43"/>
      <c r="U705" s="43"/>
      <c r="V705" s="43"/>
      <c r="W705" s="43"/>
      <c r="X705" s="43"/>
      <c r="Y705" s="43"/>
      <c r="Z705" s="43"/>
    </row>
    <row r="706">
      <c r="A706" s="89"/>
      <c r="B706" s="89"/>
      <c r="C706" s="89"/>
      <c r="D706" s="90"/>
      <c r="E706" s="91"/>
      <c r="F706" s="91"/>
      <c r="G706" s="91"/>
      <c r="H706" s="91"/>
      <c r="I706" s="85"/>
      <c r="J706" s="85"/>
      <c r="K706" s="85"/>
      <c r="L706" s="85"/>
      <c r="M706" s="85"/>
      <c r="N706" s="85"/>
      <c r="O706" s="85"/>
      <c r="P706" s="85"/>
      <c r="Q706" s="85"/>
      <c r="R706" s="43"/>
      <c r="S706" s="43"/>
      <c r="T706" s="43"/>
      <c r="U706" s="43"/>
      <c r="V706" s="43"/>
      <c r="W706" s="43"/>
      <c r="X706" s="43"/>
      <c r="Y706" s="43"/>
      <c r="Z706" s="43"/>
    </row>
    <row r="707">
      <c r="A707" s="89"/>
      <c r="B707" s="89"/>
      <c r="C707" s="89"/>
      <c r="D707" s="90"/>
      <c r="E707" s="91"/>
      <c r="F707" s="91"/>
      <c r="G707" s="91"/>
      <c r="H707" s="91"/>
      <c r="I707" s="85"/>
      <c r="J707" s="85"/>
      <c r="K707" s="85"/>
      <c r="L707" s="85"/>
      <c r="M707" s="85"/>
      <c r="N707" s="85"/>
      <c r="O707" s="85"/>
      <c r="P707" s="85"/>
      <c r="Q707" s="85"/>
      <c r="R707" s="43"/>
      <c r="S707" s="43"/>
      <c r="T707" s="43"/>
      <c r="U707" s="43"/>
      <c r="V707" s="43"/>
      <c r="W707" s="43"/>
      <c r="X707" s="43"/>
      <c r="Y707" s="43"/>
      <c r="Z707" s="43"/>
    </row>
    <row r="708">
      <c r="A708" s="89"/>
      <c r="B708" s="89"/>
      <c r="C708" s="89"/>
      <c r="D708" s="90"/>
      <c r="E708" s="91"/>
      <c r="F708" s="91"/>
      <c r="G708" s="91"/>
      <c r="H708" s="91"/>
      <c r="I708" s="85"/>
      <c r="J708" s="85"/>
      <c r="K708" s="85"/>
      <c r="L708" s="85"/>
      <c r="M708" s="85"/>
      <c r="N708" s="85"/>
      <c r="O708" s="85"/>
      <c r="P708" s="85"/>
      <c r="Q708" s="85"/>
      <c r="R708" s="43"/>
      <c r="S708" s="43"/>
      <c r="T708" s="43"/>
      <c r="U708" s="43"/>
      <c r="V708" s="43"/>
      <c r="W708" s="43"/>
      <c r="X708" s="43"/>
      <c r="Y708" s="43"/>
      <c r="Z708" s="43"/>
    </row>
    <row r="709">
      <c r="A709" s="89"/>
      <c r="B709" s="89"/>
      <c r="C709" s="89"/>
      <c r="D709" s="90"/>
      <c r="E709" s="91"/>
      <c r="F709" s="91"/>
      <c r="G709" s="91"/>
      <c r="H709" s="91"/>
      <c r="I709" s="85"/>
      <c r="J709" s="85"/>
      <c r="K709" s="85"/>
      <c r="L709" s="85"/>
      <c r="M709" s="85"/>
      <c r="N709" s="85"/>
      <c r="O709" s="85"/>
      <c r="P709" s="85"/>
      <c r="Q709" s="85"/>
      <c r="R709" s="43"/>
      <c r="S709" s="43"/>
      <c r="T709" s="43"/>
      <c r="U709" s="43"/>
      <c r="V709" s="43"/>
      <c r="W709" s="43"/>
      <c r="X709" s="43"/>
      <c r="Y709" s="43"/>
      <c r="Z709" s="43"/>
    </row>
    <row r="710">
      <c r="A710" s="89"/>
      <c r="B710" s="89"/>
      <c r="C710" s="89"/>
      <c r="D710" s="90"/>
      <c r="E710" s="91"/>
      <c r="F710" s="91"/>
      <c r="G710" s="91"/>
      <c r="H710" s="91"/>
      <c r="I710" s="85"/>
      <c r="J710" s="85"/>
      <c r="K710" s="85"/>
      <c r="L710" s="85"/>
      <c r="M710" s="85"/>
      <c r="N710" s="85"/>
      <c r="O710" s="85"/>
      <c r="P710" s="85"/>
      <c r="Q710" s="85"/>
      <c r="R710" s="43"/>
      <c r="S710" s="43"/>
      <c r="T710" s="43"/>
      <c r="U710" s="43"/>
      <c r="V710" s="43"/>
      <c r="W710" s="43"/>
      <c r="X710" s="43"/>
      <c r="Y710" s="43"/>
      <c r="Z710" s="43"/>
    </row>
    <row r="711">
      <c r="A711" s="89"/>
      <c r="B711" s="89"/>
      <c r="C711" s="89"/>
      <c r="D711" s="90"/>
      <c r="E711" s="91"/>
      <c r="F711" s="91"/>
      <c r="G711" s="91"/>
      <c r="H711" s="91"/>
      <c r="I711" s="85"/>
      <c r="J711" s="85"/>
      <c r="K711" s="85"/>
      <c r="L711" s="85"/>
      <c r="M711" s="85"/>
      <c r="N711" s="85"/>
      <c r="O711" s="85"/>
      <c r="P711" s="85"/>
      <c r="Q711" s="85"/>
      <c r="R711" s="43"/>
      <c r="S711" s="43"/>
      <c r="T711" s="43"/>
      <c r="U711" s="43"/>
      <c r="V711" s="43"/>
      <c r="W711" s="43"/>
      <c r="X711" s="43"/>
      <c r="Y711" s="43"/>
      <c r="Z711" s="43"/>
    </row>
    <row r="712">
      <c r="A712" s="89"/>
      <c r="B712" s="89"/>
      <c r="C712" s="89"/>
      <c r="D712" s="90"/>
      <c r="E712" s="91"/>
      <c r="F712" s="91"/>
      <c r="G712" s="91"/>
      <c r="H712" s="91"/>
      <c r="I712" s="85"/>
      <c r="J712" s="85"/>
      <c r="K712" s="85"/>
      <c r="L712" s="85"/>
      <c r="M712" s="85"/>
      <c r="N712" s="85"/>
      <c r="O712" s="85"/>
      <c r="P712" s="85"/>
      <c r="Q712" s="85"/>
      <c r="R712" s="43"/>
      <c r="S712" s="43"/>
      <c r="T712" s="43"/>
      <c r="U712" s="43"/>
      <c r="V712" s="43"/>
      <c r="W712" s="43"/>
      <c r="X712" s="43"/>
      <c r="Y712" s="43"/>
      <c r="Z712" s="43"/>
    </row>
    <row r="713">
      <c r="A713" s="89"/>
      <c r="B713" s="89"/>
      <c r="C713" s="89"/>
      <c r="D713" s="90"/>
      <c r="E713" s="91"/>
      <c r="F713" s="91"/>
      <c r="G713" s="91"/>
      <c r="H713" s="91"/>
      <c r="I713" s="85"/>
      <c r="J713" s="85"/>
      <c r="K713" s="85"/>
      <c r="L713" s="85"/>
      <c r="M713" s="85"/>
      <c r="N713" s="85"/>
      <c r="O713" s="85"/>
      <c r="P713" s="85"/>
      <c r="Q713" s="85"/>
      <c r="R713" s="43"/>
      <c r="S713" s="43"/>
      <c r="T713" s="43"/>
      <c r="U713" s="43"/>
      <c r="V713" s="43"/>
      <c r="W713" s="43"/>
      <c r="X713" s="43"/>
      <c r="Y713" s="43"/>
      <c r="Z713" s="43"/>
    </row>
    <row r="714">
      <c r="A714" s="89"/>
      <c r="B714" s="89"/>
      <c r="C714" s="89"/>
      <c r="D714" s="90"/>
      <c r="E714" s="91"/>
      <c r="F714" s="91"/>
      <c r="G714" s="91"/>
      <c r="H714" s="91"/>
      <c r="I714" s="85"/>
      <c r="J714" s="85"/>
      <c r="K714" s="85"/>
      <c r="L714" s="85"/>
      <c r="M714" s="85"/>
      <c r="N714" s="85"/>
      <c r="O714" s="85"/>
      <c r="P714" s="85"/>
      <c r="Q714" s="85"/>
      <c r="R714" s="43"/>
      <c r="S714" s="43"/>
      <c r="T714" s="43"/>
      <c r="U714" s="43"/>
      <c r="V714" s="43"/>
      <c r="W714" s="43"/>
      <c r="X714" s="43"/>
      <c r="Y714" s="43"/>
      <c r="Z714" s="43"/>
    </row>
    <row r="715">
      <c r="A715" s="89"/>
      <c r="B715" s="89"/>
      <c r="C715" s="89"/>
      <c r="D715" s="90"/>
      <c r="E715" s="91"/>
      <c r="F715" s="91"/>
      <c r="G715" s="91"/>
      <c r="H715" s="91"/>
      <c r="I715" s="85"/>
      <c r="J715" s="85"/>
      <c r="K715" s="85"/>
      <c r="L715" s="85"/>
      <c r="M715" s="85"/>
      <c r="N715" s="85"/>
      <c r="O715" s="85"/>
      <c r="P715" s="85"/>
      <c r="Q715" s="85"/>
      <c r="R715" s="43"/>
      <c r="S715" s="43"/>
      <c r="T715" s="43"/>
      <c r="U715" s="43"/>
      <c r="V715" s="43"/>
      <c r="W715" s="43"/>
      <c r="X715" s="43"/>
      <c r="Y715" s="43"/>
      <c r="Z715" s="43"/>
    </row>
    <row r="716">
      <c r="A716" s="89"/>
      <c r="B716" s="89"/>
      <c r="C716" s="89"/>
      <c r="D716" s="90"/>
      <c r="E716" s="91"/>
      <c r="F716" s="91"/>
      <c r="G716" s="91"/>
      <c r="H716" s="91"/>
      <c r="I716" s="85"/>
      <c r="J716" s="85"/>
      <c r="K716" s="85"/>
      <c r="L716" s="85"/>
      <c r="M716" s="85"/>
      <c r="N716" s="85"/>
      <c r="O716" s="85"/>
      <c r="P716" s="85"/>
      <c r="Q716" s="85"/>
      <c r="R716" s="43"/>
      <c r="S716" s="43"/>
      <c r="T716" s="43"/>
      <c r="U716" s="43"/>
      <c r="V716" s="43"/>
      <c r="W716" s="43"/>
      <c r="X716" s="43"/>
      <c r="Y716" s="43"/>
      <c r="Z716" s="43"/>
    </row>
    <row r="717">
      <c r="A717" s="89"/>
      <c r="B717" s="89"/>
      <c r="C717" s="89"/>
      <c r="D717" s="90"/>
      <c r="E717" s="91"/>
      <c r="F717" s="91"/>
      <c r="G717" s="91"/>
      <c r="H717" s="91"/>
      <c r="I717" s="85"/>
      <c r="J717" s="85"/>
      <c r="K717" s="85"/>
      <c r="L717" s="85"/>
      <c r="M717" s="85"/>
      <c r="N717" s="85"/>
      <c r="O717" s="85"/>
      <c r="P717" s="85"/>
      <c r="Q717" s="85"/>
      <c r="R717" s="43"/>
      <c r="S717" s="43"/>
      <c r="T717" s="43"/>
      <c r="U717" s="43"/>
      <c r="V717" s="43"/>
      <c r="W717" s="43"/>
      <c r="X717" s="43"/>
      <c r="Y717" s="43"/>
      <c r="Z717" s="43"/>
    </row>
    <row r="718">
      <c r="A718" s="89"/>
      <c r="B718" s="89"/>
      <c r="C718" s="89"/>
      <c r="D718" s="90"/>
      <c r="E718" s="91"/>
      <c r="F718" s="91"/>
      <c r="G718" s="91"/>
      <c r="H718" s="91"/>
      <c r="I718" s="85"/>
      <c r="J718" s="85"/>
      <c r="K718" s="85"/>
      <c r="L718" s="85"/>
      <c r="M718" s="85"/>
      <c r="N718" s="85"/>
      <c r="O718" s="85"/>
      <c r="P718" s="85"/>
      <c r="Q718" s="85"/>
      <c r="R718" s="43"/>
      <c r="S718" s="43"/>
      <c r="T718" s="43"/>
      <c r="U718" s="43"/>
      <c r="V718" s="43"/>
      <c r="W718" s="43"/>
      <c r="X718" s="43"/>
      <c r="Y718" s="43"/>
      <c r="Z718" s="43"/>
    </row>
    <row r="719">
      <c r="A719" s="89"/>
      <c r="B719" s="89"/>
      <c r="C719" s="89"/>
      <c r="D719" s="90"/>
      <c r="E719" s="91"/>
      <c r="F719" s="91"/>
      <c r="G719" s="91"/>
      <c r="H719" s="91"/>
      <c r="I719" s="85"/>
      <c r="J719" s="85"/>
      <c r="K719" s="85"/>
      <c r="L719" s="85"/>
      <c r="M719" s="85"/>
      <c r="N719" s="85"/>
      <c r="O719" s="85"/>
      <c r="P719" s="85"/>
      <c r="Q719" s="85"/>
      <c r="R719" s="43"/>
      <c r="S719" s="43"/>
      <c r="T719" s="43"/>
      <c r="U719" s="43"/>
      <c r="V719" s="43"/>
      <c r="W719" s="43"/>
      <c r="X719" s="43"/>
      <c r="Y719" s="43"/>
      <c r="Z719" s="43"/>
    </row>
    <row r="720">
      <c r="A720" s="89"/>
      <c r="B720" s="89"/>
      <c r="C720" s="89"/>
      <c r="D720" s="90"/>
      <c r="E720" s="91"/>
      <c r="F720" s="91"/>
      <c r="G720" s="91"/>
      <c r="H720" s="91"/>
      <c r="I720" s="85"/>
      <c r="J720" s="85"/>
      <c r="K720" s="85"/>
      <c r="L720" s="85"/>
      <c r="M720" s="85"/>
      <c r="N720" s="85"/>
      <c r="O720" s="85"/>
      <c r="P720" s="85"/>
      <c r="Q720" s="85"/>
      <c r="R720" s="43"/>
      <c r="S720" s="43"/>
      <c r="T720" s="43"/>
      <c r="U720" s="43"/>
      <c r="V720" s="43"/>
      <c r="W720" s="43"/>
      <c r="X720" s="43"/>
      <c r="Y720" s="43"/>
      <c r="Z720" s="43"/>
    </row>
    <row r="721">
      <c r="A721" s="89"/>
      <c r="B721" s="89"/>
      <c r="C721" s="89"/>
      <c r="D721" s="90"/>
      <c r="E721" s="91"/>
      <c r="F721" s="91"/>
      <c r="G721" s="91"/>
      <c r="H721" s="91"/>
      <c r="I721" s="85"/>
      <c r="J721" s="85"/>
      <c r="K721" s="85"/>
      <c r="L721" s="85"/>
      <c r="M721" s="85"/>
      <c r="N721" s="85"/>
      <c r="O721" s="85"/>
      <c r="P721" s="85"/>
      <c r="Q721" s="85"/>
      <c r="R721" s="43"/>
      <c r="S721" s="43"/>
      <c r="T721" s="43"/>
      <c r="U721" s="43"/>
      <c r="V721" s="43"/>
      <c r="W721" s="43"/>
      <c r="X721" s="43"/>
      <c r="Y721" s="43"/>
      <c r="Z721" s="43"/>
    </row>
    <row r="722">
      <c r="A722" s="89"/>
      <c r="B722" s="89"/>
      <c r="C722" s="89"/>
      <c r="D722" s="90"/>
      <c r="E722" s="91"/>
      <c r="F722" s="91"/>
      <c r="G722" s="91"/>
      <c r="H722" s="91"/>
      <c r="I722" s="85"/>
      <c r="J722" s="85"/>
      <c r="K722" s="85"/>
      <c r="L722" s="85"/>
      <c r="M722" s="85"/>
      <c r="N722" s="85"/>
      <c r="O722" s="85"/>
      <c r="P722" s="85"/>
      <c r="Q722" s="85"/>
      <c r="R722" s="43"/>
      <c r="S722" s="43"/>
      <c r="T722" s="43"/>
      <c r="U722" s="43"/>
      <c r="V722" s="43"/>
      <c r="W722" s="43"/>
      <c r="X722" s="43"/>
      <c r="Y722" s="43"/>
      <c r="Z722" s="43"/>
    </row>
    <row r="723">
      <c r="A723" s="89"/>
      <c r="B723" s="89"/>
      <c r="C723" s="89"/>
      <c r="D723" s="90"/>
      <c r="E723" s="91"/>
      <c r="F723" s="91"/>
      <c r="G723" s="91"/>
      <c r="H723" s="91"/>
      <c r="I723" s="85"/>
      <c r="J723" s="85"/>
      <c r="K723" s="85"/>
      <c r="L723" s="85"/>
      <c r="M723" s="85"/>
      <c r="N723" s="85"/>
      <c r="O723" s="85"/>
      <c r="P723" s="85"/>
      <c r="Q723" s="85"/>
      <c r="R723" s="43"/>
      <c r="S723" s="43"/>
      <c r="T723" s="43"/>
      <c r="U723" s="43"/>
      <c r="V723" s="43"/>
      <c r="W723" s="43"/>
      <c r="X723" s="43"/>
      <c r="Y723" s="43"/>
      <c r="Z723" s="43"/>
    </row>
    <row r="724">
      <c r="A724" s="89"/>
      <c r="B724" s="89"/>
      <c r="C724" s="89"/>
      <c r="D724" s="90"/>
      <c r="E724" s="91"/>
      <c r="F724" s="91"/>
      <c r="G724" s="91"/>
      <c r="H724" s="91"/>
      <c r="I724" s="85"/>
      <c r="J724" s="85"/>
      <c r="K724" s="85"/>
      <c r="L724" s="85"/>
      <c r="M724" s="85"/>
      <c r="N724" s="85"/>
      <c r="O724" s="85"/>
      <c r="P724" s="85"/>
      <c r="Q724" s="85"/>
      <c r="R724" s="43"/>
      <c r="S724" s="43"/>
      <c r="T724" s="43"/>
      <c r="U724" s="43"/>
      <c r="V724" s="43"/>
      <c r="W724" s="43"/>
      <c r="X724" s="43"/>
      <c r="Y724" s="43"/>
      <c r="Z724" s="43"/>
    </row>
    <row r="725">
      <c r="A725" s="89"/>
      <c r="B725" s="89"/>
      <c r="C725" s="89"/>
      <c r="D725" s="90"/>
      <c r="E725" s="91"/>
      <c r="F725" s="91"/>
      <c r="G725" s="91"/>
      <c r="H725" s="91"/>
      <c r="I725" s="85"/>
      <c r="J725" s="85"/>
      <c r="K725" s="85"/>
      <c r="L725" s="85"/>
      <c r="M725" s="85"/>
      <c r="N725" s="85"/>
      <c r="O725" s="85"/>
      <c r="P725" s="85"/>
      <c r="Q725" s="85"/>
      <c r="R725" s="43"/>
      <c r="S725" s="43"/>
      <c r="T725" s="43"/>
      <c r="U725" s="43"/>
      <c r="V725" s="43"/>
      <c r="W725" s="43"/>
      <c r="X725" s="43"/>
      <c r="Y725" s="43"/>
      <c r="Z725" s="43"/>
    </row>
    <row r="726">
      <c r="A726" s="89"/>
      <c r="B726" s="89"/>
      <c r="C726" s="89"/>
      <c r="D726" s="90"/>
      <c r="E726" s="91"/>
      <c r="F726" s="91"/>
      <c r="G726" s="91"/>
      <c r="H726" s="91"/>
      <c r="I726" s="85"/>
      <c r="J726" s="85"/>
      <c r="K726" s="85"/>
      <c r="L726" s="85"/>
      <c r="M726" s="85"/>
      <c r="N726" s="85"/>
      <c r="O726" s="85"/>
      <c r="P726" s="85"/>
      <c r="Q726" s="85"/>
      <c r="R726" s="43"/>
      <c r="S726" s="43"/>
      <c r="T726" s="43"/>
      <c r="U726" s="43"/>
      <c r="V726" s="43"/>
      <c r="W726" s="43"/>
      <c r="X726" s="43"/>
      <c r="Y726" s="43"/>
      <c r="Z726" s="43"/>
    </row>
    <row r="727">
      <c r="A727" s="89"/>
      <c r="B727" s="89"/>
      <c r="C727" s="89"/>
      <c r="D727" s="90"/>
      <c r="E727" s="91"/>
      <c r="F727" s="91"/>
      <c r="G727" s="91"/>
      <c r="H727" s="91"/>
      <c r="I727" s="85"/>
      <c r="J727" s="85"/>
      <c r="K727" s="85"/>
      <c r="L727" s="85"/>
      <c r="M727" s="85"/>
      <c r="N727" s="85"/>
      <c r="O727" s="85"/>
      <c r="P727" s="85"/>
      <c r="Q727" s="85"/>
      <c r="R727" s="43"/>
      <c r="S727" s="43"/>
      <c r="T727" s="43"/>
      <c r="U727" s="43"/>
      <c r="V727" s="43"/>
      <c r="W727" s="43"/>
      <c r="X727" s="43"/>
      <c r="Y727" s="43"/>
      <c r="Z727" s="43"/>
    </row>
    <row r="728">
      <c r="A728" s="89"/>
      <c r="B728" s="89"/>
      <c r="C728" s="89"/>
      <c r="D728" s="90"/>
      <c r="E728" s="91"/>
      <c r="F728" s="91"/>
      <c r="G728" s="91"/>
      <c r="H728" s="91"/>
      <c r="I728" s="85"/>
      <c r="J728" s="85"/>
      <c r="K728" s="85"/>
      <c r="L728" s="85"/>
      <c r="M728" s="85"/>
      <c r="N728" s="85"/>
      <c r="O728" s="85"/>
      <c r="P728" s="85"/>
      <c r="Q728" s="85"/>
      <c r="R728" s="43"/>
      <c r="S728" s="43"/>
      <c r="T728" s="43"/>
      <c r="U728" s="43"/>
      <c r="V728" s="43"/>
      <c r="W728" s="43"/>
      <c r="X728" s="43"/>
      <c r="Y728" s="43"/>
      <c r="Z728" s="43"/>
    </row>
    <row r="729">
      <c r="A729" s="89"/>
      <c r="B729" s="89"/>
      <c r="C729" s="89"/>
      <c r="D729" s="90"/>
      <c r="E729" s="91"/>
      <c r="F729" s="91"/>
      <c r="G729" s="91"/>
      <c r="H729" s="91"/>
      <c r="I729" s="85"/>
      <c r="J729" s="85"/>
      <c r="K729" s="85"/>
      <c r="L729" s="85"/>
      <c r="M729" s="85"/>
      <c r="N729" s="85"/>
      <c r="O729" s="85"/>
      <c r="P729" s="85"/>
      <c r="Q729" s="85"/>
      <c r="R729" s="43"/>
      <c r="S729" s="43"/>
      <c r="T729" s="43"/>
      <c r="U729" s="43"/>
      <c r="V729" s="43"/>
      <c r="W729" s="43"/>
      <c r="X729" s="43"/>
      <c r="Y729" s="43"/>
      <c r="Z729" s="43"/>
    </row>
    <row r="730">
      <c r="A730" s="89"/>
      <c r="B730" s="89"/>
      <c r="C730" s="89"/>
      <c r="D730" s="90"/>
      <c r="E730" s="91"/>
      <c r="F730" s="91"/>
      <c r="G730" s="91"/>
      <c r="H730" s="91"/>
      <c r="I730" s="85"/>
      <c r="J730" s="85"/>
      <c r="K730" s="85"/>
      <c r="L730" s="85"/>
      <c r="M730" s="85"/>
      <c r="N730" s="85"/>
      <c r="O730" s="85"/>
      <c r="P730" s="85"/>
      <c r="Q730" s="85"/>
      <c r="R730" s="43"/>
      <c r="S730" s="43"/>
      <c r="T730" s="43"/>
      <c r="U730" s="43"/>
      <c r="V730" s="43"/>
      <c r="W730" s="43"/>
      <c r="X730" s="43"/>
      <c r="Y730" s="43"/>
      <c r="Z730" s="43"/>
    </row>
    <row r="731">
      <c r="A731" s="89"/>
      <c r="B731" s="89"/>
      <c r="C731" s="89"/>
      <c r="D731" s="90"/>
      <c r="E731" s="91"/>
      <c r="F731" s="91"/>
      <c r="G731" s="91"/>
      <c r="H731" s="91"/>
      <c r="I731" s="85"/>
      <c r="J731" s="85"/>
      <c r="K731" s="85"/>
      <c r="L731" s="85"/>
      <c r="M731" s="85"/>
      <c r="N731" s="85"/>
      <c r="O731" s="85"/>
      <c r="P731" s="85"/>
      <c r="Q731" s="85"/>
      <c r="R731" s="43"/>
      <c r="S731" s="43"/>
      <c r="T731" s="43"/>
      <c r="U731" s="43"/>
      <c r="V731" s="43"/>
      <c r="W731" s="43"/>
      <c r="X731" s="43"/>
      <c r="Y731" s="43"/>
      <c r="Z731" s="43"/>
    </row>
    <row r="732">
      <c r="A732" s="89"/>
      <c r="B732" s="89"/>
      <c r="C732" s="89"/>
      <c r="D732" s="90"/>
      <c r="E732" s="91"/>
      <c r="F732" s="91"/>
      <c r="G732" s="91"/>
      <c r="H732" s="91"/>
      <c r="I732" s="85"/>
      <c r="J732" s="85"/>
      <c r="K732" s="85"/>
      <c r="L732" s="85"/>
      <c r="M732" s="85"/>
      <c r="N732" s="85"/>
      <c r="O732" s="85"/>
      <c r="P732" s="85"/>
      <c r="Q732" s="85"/>
      <c r="R732" s="43"/>
      <c r="S732" s="43"/>
      <c r="T732" s="43"/>
      <c r="U732" s="43"/>
      <c r="V732" s="43"/>
      <c r="W732" s="43"/>
      <c r="X732" s="43"/>
      <c r="Y732" s="43"/>
      <c r="Z732" s="43"/>
    </row>
    <row r="733">
      <c r="A733" s="89"/>
      <c r="B733" s="89"/>
      <c r="C733" s="89"/>
      <c r="D733" s="90"/>
      <c r="E733" s="91"/>
      <c r="F733" s="91"/>
      <c r="G733" s="91"/>
      <c r="H733" s="91"/>
      <c r="I733" s="85"/>
      <c r="J733" s="85"/>
      <c r="K733" s="85"/>
      <c r="L733" s="85"/>
      <c r="M733" s="85"/>
      <c r="N733" s="85"/>
      <c r="O733" s="85"/>
      <c r="P733" s="85"/>
      <c r="Q733" s="85"/>
      <c r="R733" s="43"/>
      <c r="S733" s="43"/>
      <c r="T733" s="43"/>
      <c r="U733" s="43"/>
      <c r="V733" s="43"/>
      <c r="W733" s="43"/>
      <c r="X733" s="43"/>
      <c r="Y733" s="43"/>
      <c r="Z733" s="43"/>
    </row>
    <row r="734">
      <c r="A734" s="89"/>
      <c r="B734" s="89"/>
      <c r="C734" s="89"/>
      <c r="D734" s="90"/>
      <c r="E734" s="91"/>
      <c r="F734" s="91"/>
      <c r="G734" s="91"/>
      <c r="H734" s="91"/>
      <c r="I734" s="85"/>
      <c r="J734" s="85"/>
      <c r="K734" s="85"/>
      <c r="L734" s="85"/>
      <c r="M734" s="85"/>
      <c r="N734" s="85"/>
      <c r="O734" s="85"/>
      <c r="P734" s="85"/>
      <c r="Q734" s="85"/>
      <c r="R734" s="43"/>
      <c r="S734" s="43"/>
      <c r="T734" s="43"/>
      <c r="U734" s="43"/>
      <c r="V734" s="43"/>
      <c r="W734" s="43"/>
      <c r="X734" s="43"/>
      <c r="Y734" s="43"/>
      <c r="Z734" s="43"/>
    </row>
    <row r="735">
      <c r="A735" s="89"/>
      <c r="B735" s="89"/>
      <c r="C735" s="89"/>
      <c r="D735" s="90"/>
      <c r="E735" s="91"/>
      <c r="F735" s="91"/>
      <c r="G735" s="91"/>
      <c r="H735" s="91"/>
      <c r="I735" s="85"/>
      <c r="J735" s="85"/>
      <c r="K735" s="85"/>
      <c r="L735" s="85"/>
      <c r="M735" s="85"/>
      <c r="N735" s="85"/>
      <c r="O735" s="85"/>
      <c r="P735" s="85"/>
      <c r="Q735" s="85"/>
      <c r="R735" s="43"/>
      <c r="S735" s="43"/>
      <c r="T735" s="43"/>
      <c r="U735" s="43"/>
      <c r="V735" s="43"/>
      <c r="W735" s="43"/>
      <c r="X735" s="43"/>
      <c r="Y735" s="43"/>
      <c r="Z735" s="43"/>
    </row>
    <row r="736">
      <c r="A736" s="89"/>
      <c r="B736" s="89"/>
      <c r="C736" s="89"/>
      <c r="D736" s="90"/>
      <c r="E736" s="91"/>
      <c r="F736" s="91"/>
      <c r="G736" s="91"/>
      <c r="H736" s="91"/>
      <c r="I736" s="85"/>
      <c r="J736" s="85"/>
      <c r="K736" s="85"/>
      <c r="L736" s="85"/>
      <c r="M736" s="85"/>
      <c r="N736" s="85"/>
      <c r="O736" s="85"/>
      <c r="P736" s="85"/>
      <c r="Q736" s="85"/>
      <c r="R736" s="43"/>
      <c r="S736" s="43"/>
      <c r="T736" s="43"/>
      <c r="U736" s="43"/>
      <c r="V736" s="43"/>
      <c r="W736" s="43"/>
      <c r="X736" s="43"/>
      <c r="Y736" s="43"/>
      <c r="Z736" s="43"/>
    </row>
    <row r="737">
      <c r="A737" s="89"/>
      <c r="B737" s="89"/>
      <c r="C737" s="89"/>
      <c r="D737" s="90"/>
      <c r="E737" s="91"/>
      <c r="F737" s="91"/>
      <c r="G737" s="91"/>
      <c r="H737" s="91"/>
      <c r="I737" s="85"/>
      <c r="J737" s="85"/>
      <c r="K737" s="85"/>
      <c r="L737" s="85"/>
      <c r="M737" s="85"/>
      <c r="N737" s="85"/>
      <c r="O737" s="85"/>
      <c r="P737" s="85"/>
      <c r="Q737" s="85"/>
      <c r="R737" s="43"/>
      <c r="S737" s="43"/>
      <c r="T737" s="43"/>
      <c r="U737" s="43"/>
      <c r="V737" s="43"/>
      <c r="W737" s="43"/>
      <c r="X737" s="43"/>
      <c r="Y737" s="43"/>
      <c r="Z737" s="43"/>
    </row>
    <row r="738">
      <c r="A738" s="89"/>
      <c r="B738" s="89"/>
      <c r="C738" s="89"/>
      <c r="D738" s="90"/>
      <c r="E738" s="91"/>
      <c r="F738" s="91"/>
      <c r="G738" s="91"/>
      <c r="H738" s="91"/>
      <c r="I738" s="85"/>
      <c r="J738" s="85"/>
      <c r="K738" s="85"/>
      <c r="L738" s="85"/>
      <c r="M738" s="85"/>
      <c r="N738" s="85"/>
      <c r="O738" s="85"/>
      <c r="P738" s="85"/>
      <c r="Q738" s="85"/>
      <c r="R738" s="43"/>
      <c r="S738" s="43"/>
      <c r="T738" s="43"/>
      <c r="U738" s="43"/>
      <c r="V738" s="43"/>
      <c r="W738" s="43"/>
      <c r="X738" s="43"/>
      <c r="Y738" s="43"/>
      <c r="Z738" s="43"/>
    </row>
    <row r="739">
      <c r="A739" s="89"/>
      <c r="B739" s="89"/>
      <c r="C739" s="89"/>
      <c r="D739" s="90"/>
      <c r="E739" s="91"/>
      <c r="F739" s="91"/>
      <c r="G739" s="91"/>
      <c r="H739" s="91"/>
      <c r="I739" s="85"/>
      <c r="J739" s="85"/>
      <c r="K739" s="85"/>
      <c r="L739" s="85"/>
      <c r="M739" s="85"/>
      <c r="N739" s="85"/>
      <c r="O739" s="85"/>
      <c r="P739" s="85"/>
      <c r="Q739" s="85"/>
      <c r="R739" s="43"/>
      <c r="S739" s="43"/>
      <c r="T739" s="43"/>
      <c r="U739" s="43"/>
      <c r="V739" s="43"/>
      <c r="W739" s="43"/>
      <c r="X739" s="43"/>
      <c r="Y739" s="43"/>
      <c r="Z739" s="43"/>
    </row>
    <row r="740">
      <c r="A740" s="89"/>
      <c r="B740" s="89"/>
      <c r="C740" s="89"/>
      <c r="D740" s="90"/>
      <c r="E740" s="91"/>
      <c r="F740" s="91"/>
      <c r="G740" s="91"/>
      <c r="H740" s="91"/>
      <c r="I740" s="85"/>
      <c r="J740" s="85"/>
      <c r="K740" s="85"/>
      <c r="L740" s="85"/>
      <c r="M740" s="85"/>
      <c r="N740" s="85"/>
      <c r="O740" s="85"/>
      <c r="P740" s="85"/>
      <c r="Q740" s="85"/>
      <c r="R740" s="43"/>
      <c r="S740" s="43"/>
      <c r="T740" s="43"/>
      <c r="U740" s="43"/>
      <c r="V740" s="43"/>
      <c r="W740" s="43"/>
      <c r="X740" s="43"/>
      <c r="Y740" s="43"/>
      <c r="Z740" s="43"/>
    </row>
    <row r="741">
      <c r="A741" s="89"/>
      <c r="B741" s="89"/>
      <c r="C741" s="89"/>
      <c r="D741" s="90"/>
      <c r="E741" s="91"/>
      <c r="F741" s="91"/>
      <c r="G741" s="91"/>
      <c r="H741" s="91"/>
      <c r="I741" s="85"/>
      <c r="J741" s="85"/>
      <c r="K741" s="85"/>
      <c r="L741" s="85"/>
      <c r="M741" s="85"/>
      <c r="N741" s="85"/>
      <c r="O741" s="85"/>
      <c r="P741" s="85"/>
      <c r="Q741" s="85"/>
      <c r="R741" s="43"/>
      <c r="S741" s="43"/>
      <c r="T741" s="43"/>
      <c r="U741" s="43"/>
      <c r="V741" s="43"/>
      <c r="W741" s="43"/>
      <c r="X741" s="43"/>
      <c r="Y741" s="43"/>
      <c r="Z741" s="43"/>
    </row>
    <row r="742">
      <c r="A742" s="89"/>
      <c r="B742" s="89"/>
      <c r="C742" s="89"/>
      <c r="D742" s="90"/>
      <c r="E742" s="91"/>
      <c r="F742" s="91"/>
      <c r="G742" s="91"/>
      <c r="H742" s="91"/>
      <c r="I742" s="85"/>
      <c r="J742" s="85"/>
      <c r="K742" s="85"/>
      <c r="L742" s="85"/>
      <c r="M742" s="85"/>
      <c r="N742" s="85"/>
      <c r="O742" s="85"/>
      <c r="P742" s="85"/>
      <c r="Q742" s="85"/>
      <c r="R742" s="43"/>
      <c r="S742" s="43"/>
      <c r="T742" s="43"/>
      <c r="U742" s="43"/>
      <c r="V742" s="43"/>
      <c r="W742" s="43"/>
      <c r="X742" s="43"/>
      <c r="Y742" s="43"/>
      <c r="Z742" s="43"/>
    </row>
    <row r="743">
      <c r="A743" s="89"/>
      <c r="B743" s="89"/>
      <c r="C743" s="89"/>
      <c r="D743" s="90"/>
      <c r="E743" s="91"/>
      <c r="F743" s="91"/>
      <c r="G743" s="91"/>
      <c r="H743" s="91"/>
      <c r="I743" s="85"/>
      <c r="J743" s="85"/>
      <c r="K743" s="85"/>
      <c r="L743" s="85"/>
      <c r="M743" s="85"/>
      <c r="N743" s="85"/>
      <c r="O743" s="85"/>
      <c r="P743" s="85"/>
      <c r="Q743" s="85"/>
      <c r="R743" s="43"/>
      <c r="S743" s="43"/>
      <c r="T743" s="43"/>
      <c r="U743" s="43"/>
      <c r="V743" s="43"/>
      <c r="W743" s="43"/>
      <c r="X743" s="43"/>
      <c r="Y743" s="43"/>
      <c r="Z743" s="43"/>
    </row>
    <row r="744">
      <c r="A744" s="89"/>
      <c r="B744" s="89"/>
      <c r="C744" s="89"/>
      <c r="D744" s="90"/>
      <c r="E744" s="91"/>
      <c r="F744" s="91"/>
      <c r="G744" s="91"/>
      <c r="H744" s="91"/>
      <c r="I744" s="85"/>
      <c r="J744" s="85"/>
      <c r="K744" s="85"/>
      <c r="L744" s="85"/>
      <c r="M744" s="85"/>
      <c r="N744" s="85"/>
      <c r="O744" s="85"/>
      <c r="P744" s="85"/>
      <c r="Q744" s="85"/>
      <c r="R744" s="43"/>
      <c r="S744" s="43"/>
      <c r="T744" s="43"/>
      <c r="U744" s="43"/>
      <c r="V744" s="43"/>
      <c r="W744" s="43"/>
      <c r="X744" s="43"/>
      <c r="Y744" s="43"/>
      <c r="Z744" s="43"/>
    </row>
    <row r="745">
      <c r="A745" s="89"/>
      <c r="B745" s="89"/>
      <c r="C745" s="89"/>
      <c r="D745" s="90"/>
      <c r="E745" s="91"/>
      <c r="F745" s="91"/>
      <c r="G745" s="91"/>
      <c r="H745" s="91"/>
      <c r="I745" s="85"/>
      <c r="J745" s="85"/>
      <c r="K745" s="85"/>
      <c r="L745" s="85"/>
      <c r="M745" s="85"/>
      <c r="N745" s="85"/>
      <c r="O745" s="85"/>
      <c r="P745" s="85"/>
      <c r="Q745" s="85"/>
      <c r="R745" s="43"/>
      <c r="S745" s="43"/>
      <c r="T745" s="43"/>
      <c r="U745" s="43"/>
      <c r="V745" s="43"/>
      <c r="W745" s="43"/>
      <c r="X745" s="43"/>
      <c r="Y745" s="43"/>
      <c r="Z745" s="43"/>
    </row>
    <row r="746">
      <c r="A746" s="89"/>
      <c r="B746" s="89"/>
      <c r="C746" s="89"/>
      <c r="D746" s="90"/>
      <c r="E746" s="91"/>
      <c r="F746" s="91"/>
      <c r="G746" s="91"/>
      <c r="H746" s="91"/>
      <c r="I746" s="85"/>
      <c r="J746" s="85"/>
      <c r="K746" s="85"/>
      <c r="L746" s="85"/>
      <c r="M746" s="85"/>
      <c r="N746" s="85"/>
      <c r="O746" s="85"/>
      <c r="P746" s="85"/>
      <c r="Q746" s="85"/>
      <c r="R746" s="43"/>
      <c r="S746" s="43"/>
      <c r="T746" s="43"/>
      <c r="U746" s="43"/>
      <c r="V746" s="43"/>
      <c r="W746" s="43"/>
      <c r="X746" s="43"/>
      <c r="Y746" s="43"/>
      <c r="Z746" s="43"/>
    </row>
    <row r="747">
      <c r="A747" s="89"/>
      <c r="B747" s="89"/>
      <c r="C747" s="89"/>
      <c r="D747" s="90"/>
      <c r="E747" s="91"/>
      <c r="F747" s="91"/>
      <c r="G747" s="91"/>
      <c r="H747" s="91"/>
      <c r="I747" s="85"/>
      <c r="J747" s="85"/>
      <c r="K747" s="85"/>
      <c r="L747" s="85"/>
      <c r="M747" s="85"/>
      <c r="N747" s="85"/>
      <c r="O747" s="85"/>
      <c r="P747" s="85"/>
      <c r="Q747" s="85"/>
      <c r="R747" s="43"/>
      <c r="S747" s="43"/>
      <c r="T747" s="43"/>
      <c r="U747" s="43"/>
      <c r="V747" s="43"/>
      <c r="W747" s="43"/>
      <c r="X747" s="43"/>
      <c r="Y747" s="43"/>
      <c r="Z747" s="43"/>
    </row>
    <row r="748">
      <c r="A748" s="89"/>
      <c r="B748" s="89"/>
      <c r="C748" s="89"/>
      <c r="D748" s="90"/>
      <c r="E748" s="91"/>
      <c r="F748" s="91"/>
      <c r="G748" s="91"/>
      <c r="H748" s="91"/>
      <c r="I748" s="85"/>
      <c r="J748" s="85"/>
      <c r="K748" s="85"/>
      <c r="L748" s="85"/>
      <c r="M748" s="85"/>
      <c r="N748" s="85"/>
      <c r="O748" s="85"/>
      <c r="P748" s="85"/>
      <c r="Q748" s="85"/>
      <c r="R748" s="43"/>
      <c r="S748" s="43"/>
      <c r="T748" s="43"/>
      <c r="U748" s="43"/>
      <c r="V748" s="43"/>
      <c r="W748" s="43"/>
      <c r="X748" s="43"/>
      <c r="Y748" s="43"/>
      <c r="Z748" s="43"/>
    </row>
    <row r="749">
      <c r="A749" s="89"/>
      <c r="B749" s="89"/>
      <c r="C749" s="89"/>
      <c r="D749" s="90"/>
      <c r="E749" s="91"/>
      <c r="F749" s="91"/>
      <c r="G749" s="91"/>
      <c r="H749" s="91"/>
      <c r="I749" s="85"/>
      <c r="J749" s="85"/>
      <c r="K749" s="85"/>
      <c r="L749" s="85"/>
      <c r="M749" s="85"/>
      <c r="N749" s="85"/>
      <c r="O749" s="85"/>
      <c r="P749" s="85"/>
      <c r="Q749" s="85"/>
      <c r="R749" s="43"/>
      <c r="S749" s="43"/>
      <c r="T749" s="43"/>
      <c r="U749" s="43"/>
      <c r="V749" s="43"/>
      <c r="W749" s="43"/>
      <c r="X749" s="43"/>
      <c r="Y749" s="43"/>
      <c r="Z749" s="43"/>
    </row>
    <row r="750">
      <c r="A750" s="89"/>
      <c r="B750" s="89"/>
      <c r="C750" s="89"/>
      <c r="D750" s="90"/>
      <c r="E750" s="91"/>
      <c r="F750" s="91"/>
      <c r="G750" s="91"/>
      <c r="H750" s="91"/>
      <c r="I750" s="85"/>
      <c r="J750" s="85"/>
      <c r="K750" s="85"/>
      <c r="L750" s="85"/>
      <c r="M750" s="85"/>
      <c r="N750" s="85"/>
      <c r="O750" s="85"/>
      <c r="P750" s="85"/>
      <c r="Q750" s="85"/>
      <c r="R750" s="43"/>
      <c r="S750" s="43"/>
      <c r="T750" s="43"/>
      <c r="U750" s="43"/>
      <c r="V750" s="43"/>
      <c r="W750" s="43"/>
      <c r="X750" s="43"/>
      <c r="Y750" s="43"/>
      <c r="Z750" s="43"/>
    </row>
    <row r="751">
      <c r="A751" s="89"/>
      <c r="B751" s="89"/>
      <c r="C751" s="89"/>
      <c r="D751" s="90"/>
      <c r="E751" s="91"/>
      <c r="F751" s="91"/>
      <c r="G751" s="91"/>
      <c r="H751" s="91"/>
      <c r="I751" s="85"/>
      <c r="J751" s="85"/>
      <c r="K751" s="85"/>
      <c r="L751" s="85"/>
      <c r="M751" s="85"/>
      <c r="N751" s="85"/>
      <c r="O751" s="85"/>
      <c r="P751" s="85"/>
      <c r="Q751" s="85"/>
      <c r="R751" s="43"/>
      <c r="S751" s="43"/>
      <c r="T751" s="43"/>
      <c r="U751" s="43"/>
      <c r="V751" s="43"/>
      <c r="W751" s="43"/>
      <c r="X751" s="43"/>
      <c r="Y751" s="43"/>
      <c r="Z751" s="43"/>
    </row>
    <row r="752">
      <c r="A752" s="89"/>
      <c r="B752" s="89"/>
      <c r="C752" s="89"/>
      <c r="D752" s="90"/>
      <c r="E752" s="91"/>
      <c r="F752" s="91"/>
      <c r="G752" s="91"/>
      <c r="H752" s="91"/>
      <c r="I752" s="85"/>
      <c r="J752" s="85"/>
      <c r="K752" s="85"/>
      <c r="L752" s="85"/>
      <c r="M752" s="85"/>
      <c r="N752" s="85"/>
      <c r="O752" s="85"/>
      <c r="P752" s="85"/>
      <c r="Q752" s="85"/>
      <c r="R752" s="43"/>
      <c r="S752" s="43"/>
      <c r="T752" s="43"/>
      <c r="U752" s="43"/>
      <c r="V752" s="43"/>
      <c r="W752" s="43"/>
      <c r="X752" s="43"/>
      <c r="Y752" s="43"/>
      <c r="Z752" s="43"/>
    </row>
    <row r="753">
      <c r="A753" s="89"/>
      <c r="B753" s="89"/>
      <c r="C753" s="89"/>
      <c r="D753" s="90"/>
      <c r="E753" s="91"/>
      <c r="F753" s="91"/>
      <c r="G753" s="91"/>
      <c r="H753" s="91"/>
      <c r="I753" s="85"/>
      <c r="J753" s="85"/>
      <c r="K753" s="85"/>
      <c r="L753" s="85"/>
      <c r="M753" s="85"/>
      <c r="N753" s="85"/>
      <c r="O753" s="85"/>
      <c r="P753" s="85"/>
      <c r="Q753" s="85"/>
      <c r="R753" s="43"/>
      <c r="S753" s="43"/>
      <c r="T753" s="43"/>
      <c r="U753" s="43"/>
      <c r="V753" s="43"/>
      <c r="W753" s="43"/>
      <c r="X753" s="43"/>
      <c r="Y753" s="43"/>
      <c r="Z753" s="43"/>
    </row>
    <row r="754">
      <c r="A754" s="89"/>
      <c r="B754" s="89"/>
      <c r="C754" s="89"/>
      <c r="D754" s="90"/>
      <c r="E754" s="91"/>
      <c r="F754" s="91"/>
      <c r="G754" s="91"/>
      <c r="H754" s="91"/>
      <c r="I754" s="85"/>
      <c r="J754" s="85"/>
      <c r="K754" s="85"/>
      <c r="L754" s="85"/>
      <c r="M754" s="85"/>
      <c r="N754" s="85"/>
      <c r="O754" s="85"/>
      <c r="P754" s="85"/>
      <c r="Q754" s="85"/>
      <c r="R754" s="43"/>
      <c r="S754" s="43"/>
      <c r="T754" s="43"/>
      <c r="U754" s="43"/>
      <c r="V754" s="43"/>
      <c r="W754" s="43"/>
      <c r="X754" s="43"/>
      <c r="Y754" s="43"/>
      <c r="Z754" s="43"/>
    </row>
    <row r="755">
      <c r="A755" s="89"/>
      <c r="B755" s="89"/>
      <c r="C755" s="89"/>
      <c r="D755" s="90"/>
      <c r="E755" s="91"/>
      <c r="F755" s="91"/>
      <c r="G755" s="91"/>
      <c r="H755" s="91"/>
      <c r="I755" s="85"/>
      <c r="J755" s="85"/>
      <c r="K755" s="85"/>
      <c r="L755" s="85"/>
      <c r="M755" s="85"/>
      <c r="N755" s="85"/>
      <c r="O755" s="85"/>
      <c r="P755" s="85"/>
      <c r="Q755" s="85"/>
      <c r="R755" s="43"/>
      <c r="S755" s="43"/>
      <c r="T755" s="43"/>
      <c r="U755" s="43"/>
      <c r="V755" s="43"/>
      <c r="W755" s="43"/>
      <c r="X755" s="43"/>
      <c r="Y755" s="43"/>
      <c r="Z755" s="43"/>
    </row>
    <row r="756">
      <c r="A756" s="89"/>
      <c r="B756" s="89"/>
      <c r="C756" s="89"/>
      <c r="D756" s="90"/>
      <c r="E756" s="91"/>
      <c r="F756" s="91"/>
      <c r="G756" s="91"/>
      <c r="H756" s="91"/>
      <c r="I756" s="85"/>
      <c r="J756" s="85"/>
      <c r="K756" s="85"/>
      <c r="L756" s="85"/>
      <c r="M756" s="85"/>
      <c r="N756" s="85"/>
      <c r="O756" s="85"/>
      <c r="P756" s="85"/>
      <c r="Q756" s="85"/>
      <c r="R756" s="43"/>
      <c r="S756" s="43"/>
      <c r="T756" s="43"/>
      <c r="U756" s="43"/>
      <c r="V756" s="43"/>
      <c r="W756" s="43"/>
      <c r="X756" s="43"/>
      <c r="Y756" s="43"/>
      <c r="Z756" s="43"/>
    </row>
    <row r="757">
      <c r="A757" s="89"/>
      <c r="B757" s="89"/>
      <c r="C757" s="89"/>
      <c r="D757" s="90"/>
      <c r="E757" s="91"/>
      <c r="F757" s="91"/>
      <c r="G757" s="91"/>
      <c r="H757" s="91"/>
      <c r="I757" s="85"/>
      <c r="J757" s="85"/>
      <c r="K757" s="85"/>
      <c r="L757" s="85"/>
      <c r="M757" s="85"/>
      <c r="N757" s="85"/>
      <c r="O757" s="85"/>
      <c r="P757" s="85"/>
      <c r="Q757" s="85"/>
      <c r="R757" s="43"/>
      <c r="S757" s="43"/>
      <c r="T757" s="43"/>
      <c r="U757" s="43"/>
      <c r="V757" s="43"/>
      <c r="W757" s="43"/>
      <c r="X757" s="43"/>
      <c r="Y757" s="43"/>
      <c r="Z757" s="43"/>
    </row>
    <row r="758">
      <c r="A758" s="89"/>
      <c r="B758" s="89"/>
      <c r="C758" s="89"/>
      <c r="D758" s="90"/>
      <c r="E758" s="91"/>
      <c r="F758" s="91"/>
      <c r="G758" s="91"/>
      <c r="H758" s="91"/>
      <c r="I758" s="85"/>
      <c r="J758" s="85"/>
      <c r="K758" s="85"/>
      <c r="L758" s="85"/>
      <c r="M758" s="85"/>
      <c r="N758" s="85"/>
      <c r="O758" s="85"/>
      <c r="P758" s="85"/>
      <c r="Q758" s="85"/>
      <c r="R758" s="43"/>
      <c r="S758" s="43"/>
      <c r="T758" s="43"/>
      <c r="U758" s="43"/>
      <c r="V758" s="43"/>
      <c r="W758" s="43"/>
      <c r="X758" s="43"/>
      <c r="Y758" s="43"/>
      <c r="Z758" s="43"/>
    </row>
    <row r="759">
      <c r="A759" s="89"/>
      <c r="B759" s="89"/>
      <c r="C759" s="89"/>
      <c r="D759" s="90"/>
      <c r="E759" s="91"/>
      <c r="F759" s="91"/>
      <c r="G759" s="91"/>
      <c r="H759" s="91"/>
      <c r="I759" s="85"/>
      <c r="J759" s="85"/>
      <c r="K759" s="85"/>
      <c r="L759" s="85"/>
      <c r="M759" s="85"/>
      <c r="N759" s="85"/>
      <c r="O759" s="85"/>
      <c r="P759" s="85"/>
      <c r="Q759" s="85"/>
      <c r="R759" s="43"/>
      <c r="S759" s="43"/>
      <c r="T759" s="43"/>
      <c r="U759" s="43"/>
      <c r="V759" s="43"/>
      <c r="W759" s="43"/>
      <c r="X759" s="43"/>
      <c r="Y759" s="43"/>
      <c r="Z759" s="43"/>
    </row>
    <row r="760">
      <c r="A760" s="89"/>
      <c r="B760" s="89"/>
      <c r="C760" s="89"/>
      <c r="D760" s="90"/>
      <c r="E760" s="91"/>
      <c r="F760" s="91"/>
      <c r="G760" s="91"/>
      <c r="H760" s="91"/>
      <c r="I760" s="85"/>
      <c r="J760" s="85"/>
      <c r="K760" s="85"/>
      <c r="L760" s="85"/>
      <c r="M760" s="85"/>
      <c r="N760" s="85"/>
      <c r="O760" s="85"/>
      <c r="P760" s="85"/>
      <c r="Q760" s="85"/>
      <c r="R760" s="43"/>
      <c r="S760" s="43"/>
      <c r="T760" s="43"/>
      <c r="U760" s="43"/>
      <c r="V760" s="43"/>
      <c r="W760" s="43"/>
      <c r="X760" s="43"/>
      <c r="Y760" s="43"/>
      <c r="Z760" s="43"/>
    </row>
    <row r="761">
      <c r="A761" s="89"/>
      <c r="B761" s="89"/>
      <c r="C761" s="89"/>
      <c r="D761" s="90"/>
      <c r="E761" s="91"/>
      <c r="F761" s="91"/>
      <c r="G761" s="91"/>
      <c r="H761" s="91"/>
      <c r="I761" s="85"/>
      <c r="J761" s="85"/>
      <c r="K761" s="85"/>
      <c r="L761" s="85"/>
      <c r="M761" s="85"/>
      <c r="N761" s="85"/>
      <c r="O761" s="85"/>
      <c r="P761" s="85"/>
      <c r="Q761" s="85"/>
      <c r="R761" s="43"/>
      <c r="S761" s="43"/>
      <c r="T761" s="43"/>
      <c r="U761" s="43"/>
      <c r="V761" s="43"/>
      <c r="W761" s="43"/>
      <c r="X761" s="43"/>
      <c r="Y761" s="43"/>
      <c r="Z761" s="43"/>
    </row>
    <row r="762">
      <c r="A762" s="89"/>
      <c r="B762" s="89"/>
      <c r="C762" s="89"/>
      <c r="D762" s="90"/>
      <c r="E762" s="91"/>
      <c r="F762" s="91"/>
      <c r="G762" s="91"/>
      <c r="H762" s="91"/>
      <c r="I762" s="85"/>
      <c r="J762" s="85"/>
      <c r="K762" s="85"/>
      <c r="L762" s="85"/>
      <c r="M762" s="85"/>
      <c r="N762" s="85"/>
      <c r="O762" s="85"/>
      <c r="P762" s="85"/>
      <c r="Q762" s="85"/>
      <c r="R762" s="43"/>
      <c r="S762" s="43"/>
      <c r="T762" s="43"/>
      <c r="U762" s="43"/>
      <c r="V762" s="43"/>
      <c r="W762" s="43"/>
      <c r="X762" s="43"/>
      <c r="Y762" s="43"/>
      <c r="Z762" s="43"/>
    </row>
    <row r="763">
      <c r="A763" s="89"/>
      <c r="B763" s="89"/>
      <c r="C763" s="89"/>
      <c r="D763" s="90"/>
      <c r="E763" s="91"/>
      <c r="F763" s="91"/>
      <c r="G763" s="91"/>
      <c r="H763" s="91"/>
      <c r="I763" s="85"/>
      <c r="J763" s="85"/>
      <c r="K763" s="85"/>
      <c r="L763" s="85"/>
      <c r="M763" s="85"/>
      <c r="N763" s="85"/>
      <c r="O763" s="85"/>
      <c r="P763" s="85"/>
      <c r="Q763" s="85"/>
      <c r="R763" s="43"/>
      <c r="S763" s="43"/>
      <c r="T763" s="43"/>
      <c r="U763" s="43"/>
      <c r="V763" s="43"/>
      <c r="W763" s="43"/>
      <c r="X763" s="43"/>
      <c r="Y763" s="43"/>
      <c r="Z763" s="43"/>
    </row>
    <row r="764">
      <c r="A764" s="89"/>
      <c r="B764" s="89"/>
      <c r="C764" s="89"/>
      <c r="D764" s="90"/>
      <c r="E764" s="91"/>
      <c r="F764" s="91"/>
      <c r="G764" s="91"/>
      <c r="H764" s="91"/>
      <c r="I764" s="85"/>
      <c r="J764" s="85"/>
      <c r="K764" s="85"/>
      <c r="L764" s="85"/>
      <c r="M764" s="85"/>
      <c r="N764" s="85"/>
      <c r="O764" s="85"/>
      <c r="P764" s="85"/>
      <c r="Q764" s="85"/>
      <c r="R764" s="43"/>
      <c r="S764" s="43"/>
      <c r="T764" s="43"/>
      <c r="U764" s="43"/>
      <c r="V764" s="43"/>
      <c r="W764" s="43"/>
      <c r="X764" s="43"/>
      <c r="Y764" s="43"/>
      <c r="Z764" s="43"/>
    </row>
    <row r="765">
      <c r="A765" s="89"/>
      <c r="B765" s="89"/>
      <c r="C765" s="89"/>
      <c r="D765" s="90"/>
      <c r="E765" s="91"/>
      <c r="F765" s="91"/>
      <c r="G765" s="91"/>
      <c r="H765" s="91"/>
      <c r="I765" s="85"/>
      <c r="J765" s="85"/>
      <c r="K765" s="85"/>
      <c r="L765" s="85"/>
      <c r="M765" s="85"/>
      <c r="N765" s="85"/>
      <c r="O765" s="85"/>
      <c r="P765" s="85"/>
      <c r="Q765" s="85"/>
      <c r="R765" s="43"/>
      <c r="S765" s="43"/>
      <c r="T765" s="43"/>
      <c r="U765" s="43"/>
      <c r="V765" s="43"/>
      <c r="W765" s="43"/>
      <c r="X765" s="43"/>
      <c r="Y765" s="43"/>
      <c r="Z765" s="43"/>
    </row>
    <row r="766">
      <c r="A766" s="89"/>
      <c r="B766" s="89"/>
      <c r="C766" s="89"/>
      <c r="D766" s="90"/>
      <c r="E766" s="91"/>
      <c r="F766" s="91"/>
      <c r="G766" s="91"/>
      <c r="H766" s="91"/>
      <c r="I766" s="85"/>
      <c r="J766" s="85"/>
      <c r="K766" s="85"/>
      <c r="L766" s="85"/>
      <c r="M766" s="85"/>
      <c r="N766" s="85"/>
      <c r="O766" s="85"/>
      <c r="P766" s="85"/>
      <c r="Q766" s="85"/>
      <c r="R766" s="43"/>
      <c r="S766" s="43"/>
      <c r="T766" s="43"/>
      <c r="U766" s="43"/>
      <c r="V766" s="43"/>
      <c r="W766" s="43"/>
      <c r="X766" s="43"/>
      <c r="Y766" s="43"/>
      <c r="Z766" s="43"/>
    </row>
    <row r="767">
      <c r="A767" s="89"/>
      <c r="B767" s="89"/>
      <c r="C767" s="89"/>
      <c r="D767" s="90"/>
      <c r="E767" s="91"/>
      <c r="F767" s="91"/>
      <c r="G767" s="91"/>
      <c r="H767" s="91"/>
      <c r="I767" s="85"/>
      <c r="J767" s="85"/>
      <c r="K767" s="85"/>
      <c r="L767" s="85"/>
      <c r="M767" s="85"/>
      <c r="N767" s="85"/>
      <c r="O767" s="85"/>
      <c r="P767" s="85"/>
      <c r="Q767" s="85"/>
      <c r="R767" s="43"/>
      <c r="S767" s="43"/>
      <c r="T767" s="43"/>
      <c r="U767" s="43"/>
      <c r="V767" s="43"/>
      <c r="W767" s="43"/>
      <c r="X767" s="43"/>
      <c r="Y767" s="43"/>
      <c r="Z767" s="43"/>
    </row>
    <row r="768">
      <c r="A768" s="89"/>
      <c r="B768" s="89"/>
      <c r="C768" s="89"/>
      <c r="D768" s="90"/>
      <c r="E768" s="91"/>
      <c r="F768" s="91"/>
      <c r="G768" s="91"/>
      <c r="H768" s="91"/>
      <c r="I768" s="85"/>
      <c r="J768" s="85"/>
      <c r="K768" s="85"/>
      <c r="L768" s="85"/>
      <c r="M768" s="85"/>
      <c r="N768" s="85"/>
      <c r="O768" s="85"/>
      <c r="P768" s="85"/>
      <c r="Q768" s="85"/>
      <c r="R768" s="43"/>
      <c r="S768" s="43"/>
      <c r="T768" s="43"/>
      <c r="U768" s="43"/>
      <c r="V768" s="43"/>
      <c r="W768" s="43"/>
      <c r="X768" s="43"/>
      <c r="Y768" s="43"/>
      <c r="Z768" s="43"/>
    </row>
    <row r="769">
      <c r="A769" s="89"/>
      <c r="B769" s="89"/>
      <c r="C769" s="89"/>
      <c r="D769" s="90"/>
      <c r="E769" s="91"/>
      <c r="F769" s="91"/>
      <c r="G769" s="91"/>
      <c r="H769" s="91"/>
      <c r="I769" s="85"/>
      <c r="J769" s="85"/>
      <c r="K769" s="85"/>
      <c r="L769" s="85"/>
      <c r="M769" s="85"/>
      <c r="N769" s="85"/>
      <c r="O769" s="85"/>
      <c r="P769" s="85"/>
      <c r="Q769" s="85"/>
      <c r="R769" s="43"/>
      <c r="S769" s="43"/>
      <c r="T769" s="43"/>
      <c r="U769" s="43"/>
      <c r="V769" s="43"/>
      <c r="W769" s="43"/>
      <c r="X769" s="43"/>
      <c r="Y769" s="43"/>
      <c r="Z769" s="43"/>
    </row>
    <row r="770">
      <c r="A770" s="89"/>
      <c r="B770" s="89"/>
      <c r="C770" s="89"/>
      <c r="D770" s="90"/>
      <c r="E770" s="91"/>
      <c r="F770" s="91"/>
      <c r="G770" s="91"/>
      <c r="H770" s="91"/>
      <c r="I770" s="85"/>
      <c r="J770" s="85"/>
      <c r="K770" s="85"/>
      <c r="L770" s="85"/>
      <c r="M770" s="85"/>
      <c r="N770" s="85"/>
      <c r="O770" s="85"/>
      <c r="P770" s="85"/>
      <c r="Q770" s="85"/>
      <c r="R770" s="43"/>
      <c r="S770" s="43"/>
      <c r="T770" s="43"/>
      <c r="U770" s="43"/>
      <c r="V770" s="43"/>
      <c r="W770" s="43"/>
      <c r="X770" s="43"/>
      <c r="Y770" s="43"/>
      <c r="Z770" s="43"/>
    </row>
    <row r="771">
      <c r="A771" s="89"/>
      <c r="B771" s="89"/>
      <c r="C771" s="89"/>
      <c r="D771" s="90"/>
      <c r="E771" s="91"/>
      <c r="F771" s="91"/>
      <c r="G771" s="91"/>
      <c r="H771" s="91"/>
      <c r="I771" s="85"/>
      <c r="J771" s="85"/>
      <c r="K771" s="85"/>
      <c r="L771" s="85"/>
      <c r="M771" s="85"/>
      <c r="N771" s="85"/>
      <c r="O771" s="85"/>
      <c r="P771" s="85"/>
      <c r="Q771" s="85"/>
      <c r="R771" s="43"/>
      <c r="S771" s="43"/>
      <c r="T771" s="43"/>
      <c r="U771" s="43"/>
      <c r="V771" s="43"/>
      <c r="W771" s="43"/>
      <c r="X771" s="43"/>
      <c r="Y771" s="43"/>
      <c r="Z771" s="43"/>
    </row>
    <row r="772">
      <c r="A772" s="89"/>
      <c r="B772" s="89"/>
      <c r="C772" s="89"/>
      <c r="D772" s="90"/>
      <c r="E772" s="91"/>
      <c r="F772" s="91"/>
      <c r="G772" s="91"/>
      <c r="H772" s="91"/>
      <c r="I772" s="85"/>
      <c r="J772" s="85"/>
      <c r="K772" s="85"/>
      <c r="L772" s="85"/>
      <c r="M772" s="85"/>
      <c r="N772" s="85"/>
      <c r="O772" s="85"/>
      <c r="P772" s="85"/>
      <c r="Q772" s="85"/>
      <c r="R772" s="43"/>
      <c r="S772" s="43"/>
      <c r="T772" s="43"/>
      <c r="U772" s="43"/>
      <c r="V772" s="43"/>
      <c r="W772" s="43"/>
      <c r="X772" s="43"/>
      <c r="Y772" s="43"/>
      <c r="Z772" s="43"/>
    </row>
    <row r="773">
      <c r="A773" s="89"/>
      <c r="B773" s="89"/>
      <c r="C773" s="89"/>
      <c r="D773" s="90"/>
      <c r="E773" s="91"/>
      <c r="F773" s="91"/>
      <c r="G773" s="91"/>
      <c r="H773" s="91"/>
      <c r="I773" s="85"/>
      <c r="J773" s="85"/>
      <c r="K773" s="85"/>
      <c r="L773" s="85"/>
      <c r="M773" s="85"/>
      <c r="N773" s="85"/>
      <c r="O773" s="85"/>
      <c r="P773" s="85"/>
      <c r="Q773" s="85"/>
      <c r="R773" s="43"/>
      <c r="S773" s="43"/>
      <c r="T773" s="43"/>
      <c r="U773" s="43"/>
      <c r="V773" s="43"/>
      <c r="W773" s="43"/>
      <c r="X773" s="43"/>
      <c r="Y773" s="43"/>
      <c r="Z773" s="43"/>
    </row>
    <row r="774">
      <c r="A774" s="89"/>
      <c r="B774" s="89"/>
      <c r="C774" s="89"/>
      <c r="D774" s="90"/>
      <c r="E774" s="91"/>
      <c r="F774" s="91"/>
      <c r="G774" s="91"/>
      <c r="H774" s="91"/>
      <c r="I774" s="85"/>
      <c r="J774" s="85"/>
      <c r="K774" s="85"/>
      <c r="L774" s="85"/>
      <c r="M774" s="85"/>
      <c r="N774" s="85"/>
      <c r="O774" s="85"/>
      <c r="P774" s="85"/>
      <c r="Q774" s="85"/>
      <c r="R774" s="43"/>
      <c r="S774" s="43"/>
      <c r="T774" s="43"/>
      <c r="U774" s="43"/>
      <c r="V774" s="43"/>
      <c r="W774" s="43"/>
      <c r="X774" s="43"/>
      <c r="Y774" s="43"/>
      <c r="Z774" s="43"/>
    </row>
    <row r="775">
      <c r="A775" s="89"/>
      <c r="B775" s="89"/>
      <c r="C775" s="89"/>
      <c r="D775" s="90"/>
      <c r="E775" s="91"/>
      <c r="F775" s="91"/>
      <c r="G775" s="91"/>
      <c r="H775" s="91"/>
      <c r="I775" s="85"/>
      <c r="J775" s="85"/>
      <c r="K775" s="85"/>
      <c r="L775" s="85"/>
      <c r="M775" s="85"/>
      <c r="N775" s="85"/>
      <c r="O775" s="85"/>
      <c r="P775" s="85"/>
      <c r="Q775" s="85"/>
      <c r="R775" s="43"/>
      <c r="S775" s="43"/>
      <c r="T775" s="43"/>
      <c r="U775" s="43"/>
      <c r="V775" s="43"/>
      <c r="W775" s="43"/>
      <c r="X775" s="43"/>
      <c r="Y775" s="43"/>
      <c r="Z775" s="43"/>
    </row>
    <row r="776">
      <c r="A776" s="89"/>
      <c r="B776" s="89"/>
      <c r="C776" s="89"/>
      <c r="D776" s="90"/>
      <c r="E776" s="91"/>
      <c r="F776" s="91"/>
      <c r="G776" s="91"/>
      <c r="H776" s="91"/>
      <c r="I776" s="85"/>
      <c r="J776" s="85"/>
      <c r="K776" s="85"/>
      <c r="L776" s="85"/>
      <c r="M776" s="85"/>
      <c r="N776" s="85"/>
      <c r="O776" s="85"/>
      <c r="P776" s="85"/>
      <c r="Q776" s="85"/>
      <c r="R776" s="43"/>
      <c r="S776" s="43"/>
      <c r="T776" s="43"/>
      <c r="U776" s="43"/>
      <c r="V776" s="43"/>
      <c r="W776" s="43"/>
      <c r="X776" s="43"/>
      <c r="Y776" s="43"/>
      <c r="Z776" s="43"/>
    </row>
    <row r="777">
      <c r="A777" s="89"/>
      <c r="B777" s="89"/>
      <c r="C777" s="89"/>
      <c r="D777" s="90"/>
      <c r="E777" s="91"/>
      <c r="F777" s="91"/>
      <c r="G777" s="91"/>
      <c r="H777" s="91"/>
      <c r="I777" s="85"/>
      <c r="J777" s="85"/>
      <c r="K777" s="85"/>
      <c r="L777" s="85"/>
      <c r="M777" s="85"/>
      <c r="N777" s="85"/>
      <c r="O777" s="85"/>
      <c r="P777" s="85"/>
      <c r="Q777" s="85"/>
      <c r="R777" s="43"/>
      <c r="S777" s="43"/>
      <c r="T777" s="43"/>
      <c r="U777" s="43"/>
      <c r="V777" s="43"/>
      <c r="W777" s="43"/>
      <c r="X777" s="43"/>
      <c r="Y777" s="43"/>
      <c r="Z777" s="43"/>
    </row>
    <row r="778">
      <c r="A778" s="89"/>
      <c r="B778" s="89"/>
      <c r="C778" s="89"/>
      <c r="D778" s="90"/>
      <c r="E778" s="91"/>
      <c r="F778" s="91"/>
      <c r="G778" s="91"/>
      <c r="H778" s="91"/>
      <c r="I778" s="85"/>
      <c r="J778" s="85"/>
      <c r="K778" s="85"/>
      <c r="L778" s="85"/>
      <c r="M778" s="85"/>
      <c r="N778" s="85"/>
      <c r="O778" s="85"/>
      <c r="P778" s="85"/>
      <c r="Q778" s="85"/>
      <c r="R778" s="43"/>
      <c r="S778" s="43"/>
      <c r="T778" s="43"/>
      <c r="U778" s="43"/>
      <c r="V778" s="43"/>
      <c r="W778" s="43"/>
      <c r="X778" s="43"/>
      <c r="Y778" s="43"/>
      <c r="Z778" s="43"/>
    </row>
    <row r="779">
      <c r="A779" s="89"/>
      <c r="B779" s="89"/>
      <c r="C779" s="89"/>
      <c r="D779" s="90"/>
      <c r="E779" s="91"/>
      <c r="F779" s="91"/>
      <c r="G779" s="91"/>
      <c r="H779" s="91"/>
      <c r="I779" s="85"/>
      <c r="J779" s="85"/>
      <c r="K779" s="85"/>
      <c r="L779" s="85"/>
      <c r="M779" s="85"/>
      <c r="N779" s="85"/>
      <c r="O779" s="85"/>
      <c r="P779" s="85"/>
      <c r="Q779" s="85"/>
      <c r="R779" s="43"/>
      <c r="S779" s="43"/>
      <c r="T779" s="43"/>
      <c r="U779" s="43"/>
      <c r="V779" s="43"/>
      <c r="W779" s="43"/>
      <c r="X779" s="43"/>
      <c r="Y779" s="43"/>
      <c r="Z779" s="43"/>
    </row>
    <row r="780">
      <c r="A780" s="89"/>
      <c r="B780" s="89"/>
      <c r="C780" s="89"/>
      <c r="D780" s="90"/>
      <c r="E780" s="91"/>
      <c r="F780" s="91"/>
      <c r="G780" s="91"/>
      <c r="H780" s="91"/>
      <c r="I780" s="85"/>
      <c r="J780" s="85"/>
      <c r="K780" s="85"/>
      <c r="L780" s="85"/>
      <c r="M780" s="85"/>
      <c r="N780" s="85"/>
      <c r="O780" s="85"/>
      <c r="P780" s="85"/>
      <c r="Q780" s="85"/>
      <c r="R780" s="43"/>
      <c r="S780" s="43"/>
      <c r="T780" s="43"/>
      <c r="U780" s="43"/>
      <c r="V780" s="43"/>
      <c r="W780" s="43"/>
      <c r="X780" s="43"/>
      <c r="Y780" s="43"/>
      <c r="Z780" s="43"/>
    </row>
    <row r="781">
      <c r="A781" s="89"/>
      <c r="B781" s="89"/>
      <c r="C781" s="89"/>
      <c r="D781" s="90"/>
      <c r="E781" s="91"/>
      <c r="F781" s="91"/>
      <c r="G781" s="91"/>
      <c r="H781" s="91"/>
      <c r="I781" s="85"/>
      <c r="J781" s="85"/>
      <c r="K781" s="85"/>
      <c r="L781" s="85"/>
      <c r="M781" s="85"/>
      <c r="N781" s="85"/>
      <c r="O781" s="85"/>
      <c r="P781" s="85"/>
      <c r="Q781" s="85"/>
      <c r="R781" s="43"/>
      <c r="S781" s="43"/>
      <c r="T781" s="43"/>
      <c r="U781" s="43"/>
      <c r="V781" s="43"/>
      <c r="W781" s="43"/>
      <c r="X781" s="43"/>
      <c r="Y781" s="43"/>
      <c r="Z781" s="43"/>
    </row>
    <row r="782">
      <c r="A782" s="89"/>
      <c r="B782" s="89"/>
      <c r="C782" s="89"/>
      <c r="D782" s="90"/>
      <c r="E782" s="91"/>
      <c r="F782" s="91"/>
      <c r="G782" s="91"/>
      <c r="H782" s="91"/>
      <c r="I782" s="85"/>
      <c r="J782" s="85"/>
      <c r="K782" s="85"/>
      <c r="L782" s="85"/>
      <c r="M782" s="85"/>
      <c r="N782" s="85"/>
      <c r="O782" s="85"/>
      <c r="P782" s="85"/>
      <c r="Q782" s="85"/>
      <c r="R782" s="43"/>
      <c r="S782" s="43"/>
      <c r="T782" s="43"/>
      <c r="U782" s="43"/>
      <c r="V782" s="43"/>
      <c r="W782" s="43"/>
      <c r="X782" s="43"/>
      <c r="Y782" s="43"/>
      <c r="Z782" s="43"/>
    </row>
    <row r="783">
      <c r="A783" s="89"/>
      <c r="B783" s="89"/>
      <c r="C783" s="89"/>
      <c r="D783" s="90"/>
      <c r="E783" s="91"/>
      <c r="F783" s="91"/>
      <c r="G783" s="91"/>
      <c r="H783" s="91"/>
      <c r="I783" s="85"/>
      <c r="J783" s="85"/>
      <c r="K783" s="85"/>
      <c r="L783" s="85"/>
      <c r="M783" s="85"/>
      <c r="N783" s="85"/>
      <c r="O783" s="85"/>
      <c r="P783" s="85"/>
      <c r="Q783" s="85"/>
      <c r="R783" s="43"/>
      <c r="S783" s="43"/>
      <c r="T783" s="43"/>
      <c r="U783" s="43"/>
      <c r="V783" s="43"/>
      <c r="W783" s="43"/>
      <c r="X783" s="43"/>
      <c r="Y783" s="43"/>
      <c r="Z783" s="43"/>
    </row>
    <row r="784">
      <c r="A784" s="89"/>
      <c r="B784" s="89"/>
      <c r="C784" s="89"/>
      <c r="D784" s="90"/>
      <c r="E784" s="91"/>
      <c r="F784" s="91"/>
      <c r="G784" s="91"/>
      <c r="H784" s="91"/>
      <c r="I784" s="85"/>
      <c r="J784" s="85"/>
      <c r="K784" s="85"/>
      <c r="L784" s="85"/>
      <c r="M784" s="85"/>
      <c r="N784" s="85"/>
      <c r="O784" s="85"/>
      <c r="P784" s="85"/>
      <c r="Q784" s="85"/>
      <c r="R784" s="43"/>
      <c r="S784" s="43"/>
      <c r="T784" s="43"/>
      <c r="U784" s="43"/>
      <c r="V784" s="43"/>
      <c r="W784" s="43"/>
      <c r="X784" s="43"/>
      <c r="Y784" s="43"/>
      <c r="Z784" s="43"/>
    </row>
    <row r="785">
      <c r="A785" s="89"/>
      <c r="B785" s="89"/>
      <c r="C785" s="89"/>
      <c r="D785" s="90"/>
      <c r="E785" s="91"/>
      <c r="F785" s="91"/>
      <c r="G785" s="91"/>
      <c r="H785" s="91"/>
      <c r="I785" s="85"/>
      <c r="J785" s="85"/>
      <c r="K785" s="85"/>
      <c r="L785" s="85"/>
      <c r="M785" s="85"/>
      <c r="N785" s="85"/>
      <c r="O785" s="85"/>
      <c r="P785" s="85"/>
      <c r="Q785" s="85"/>
      <c r="R785" s="43"/>
      <c r="S785" s="43"/>
      <c r="T785" s="43"/>
      <c r="U785" s="43"/>
      <c r="V785" s="43"/>
      <c r="W785" s="43"/>
      <c r="X785" s="43"/>
      <c r="Y785" s="43"/>
      <c r="Z785" s="43"/>
    </row>
    <row r="786">
      <c r="A786" s="89"/>
      <c r="B786" s="89"/>
      <c r="C786" s="89"/>
      <c r="D786" s="90"/>
      <c r="E786" s="91"/>
      <c r="F786" s="91"/>
      <c r="G786" s="91"/>
      <c r="H786" s="91"/>
      <c r="I786" s="85"/>
      <c r="J786" s="85"/>
      <c r="K786" s="85"/>
      <c r="L786" s="85"/>
      <c r="M786" s="85"/>
      <c r="N786" s="85"/>
      <c r="O786" s="85"/>
      <c r="P786" s="85"/>
      <c r="Q786" s="85"/>
      <c r="R786" s="43"/>
      <c r="S786" s="43"/>
      <c r="T786" s="43"/>
      <c r="U786" s="43"/>
      <c r="V786" s="43"/>
      <c r="W786" s="43"/>
      <c r="X786" s="43"/>
      <c r="Y786" s="43"/>
      <c r="Z786" s="43"/>
    </row>
    <row r="787">
      <c r="A787" s="89"/>
      <c r="B787" s="89"/>
      <c r="C787" s="89"/>
      <c r="D787" s="90"/>
      <c r="E787" s="91"/>
      <c r="F787" s="91"/>
      <c r="G787" s="91"/>
      <c r="H787" s="91"/>
      <c r="I787" s="85"/>
      <c r="J787" s="85"/>
      <c r="K787" s="85"/>
      <c r="L787" s="85"/>
      <c r="M787" s="85"/>
      <c r="N787" s="85"/>
      <c r="O787" s="85"/>
      <c r="P787" s="85"/>
      <c r="Q787" s="85"/>
      <c r="R787" s="43"/>
      <c r="S787" s="43"/>
      <c r="T787" s="43"/>
      <c r="U787" s="43"/>
      <c r="V787" s="43"/>
      <c r="W787" s="43"/>
      <c r="X787" s="43"/>
      <c r="Y787" s="43"/>
      <c r="Z787" s="43"/>
    </row>
    <row r="788">
      <c r="A788" s="89"/>
      <c r="B788" s="89"/>
      <c r="C788" s="89"/>
      <c r="D788" s="90"/>
      <c r="E788" s="91"/>
      <c r="F788" s="91"/>
      <c r="G788" s="91"/>
      <c r="H788" s="91"/>
      <c r="I788" s="85"/>
      <c r="J788" s="85"/>
      <c r="K788" s="85"/>
      <c r="L788" s="85"/>
      <c r="M788" s="85"/>
      <c r="N788" s="85"/>
      <c r="O788" s="85"/>
      <c r="P788" s="85"/>
      <c r="Q788" s="85"/>
      <c r="R788" s="43"/>
      <c r="S788" s="43"/>
      <c r="T788" s="43"/>
      <c r="U788" s="43"/>
      <c r="V788" s="43"/>
      <c r="W788" s="43"/>
      <c r="X788" s="43"/>
      <c r="Y788" s="43"/>
      <c r="Z788" s="43"/>
    </row>
    <row r="789">
      <c r="A789" s="89"/>
      <c r="B789" s="89"/>
      <c r="C789" s="89"/>
      <c r="D789" s="90"/>
      <c r="E789" s="91"/>
      <c r="F789" s="91"/>
      <c r="G789" s="91"/>
      <c r="H789" s="91"/>
      <c r="I789" s="85"/>
      <c r="J789" s="85"/>
      <c r="K789" s="85"/>
      <c r="L789" s="85"/>
      <c r="M789" s="85"/>
      <c r="N789" s="85"/>
      <c r="O789" s="85"/>
      <c r="P789" s="85"/>
      <c r="Q789" s="85"/>
      <c r="R789" s="43"/>
      <c r="S789" s="43"/>
      <c r="T789" s="43"/>
      <c r="U789" s="43"/>
      <c r="V789" s="43"/>
      <c r="W789" s="43"/>
      <c r="X789" s="43"/>
      <c r="Y789" s="43"/>
      <c r="Z789" s="43"/>
    </row>
    <row r="790">
      <c r="A790" s="89"/>
      <c r="B790" s="89"/>
      <c r="C790" s="89"/>
      <c r="D790" s="90"/>
      <c r="E790" s="91"/>
      <c r="F790" s="91"/>
      <c r="G790" s="91"/>
      <c r="H790" s="91"/>
      <c r="I790" s="85"/>
      <c r="J790" s="85"/>
      <c r="K790" s="85"/>
      <c r="L790" s="85"/>
      <c r="M790" s="85"/>
      <c r="N790" s="85"/>
      <c r="O790" s="85"/>
      <c r="P790" s="85"/>
      <c r="Q790" s="85"/>
      <c r="R790" s="43"/>
      <c r="S790" s="43"/>
      <c r="T790" s="43"/>
      <c r="U790" s="43"/>
      <c r="V790" s="43"/>
      <c r="W790" s="43"/>
      <c r="X790" s="43"/>
      <c r="Y790" s="43"/>
      <c r="Z790" s="43"/>
    </row>
    <row r="791">
      <c r="A791" s="89"/>
      <c r="B791" s="89"/>
      <c r="C791" s="89"/>
      <c r="D791" s="90"/>
      <c r="E791" s="91"/>
      <c r="F791" s="91"/>
      <c r="G791" s="91"/>
      <c r="H791" s="91"/>
      <c r="I791" s="85"/>
      <c r="J791" s="85"/>
      <c r="K791" s="85"/>
      <c r="L791" s="85"/>
      <c r="M791" s="85"/>
      <c r="N791" s="85"/>
      <c r="O791" s="85"/>
      <c r="P791" s="85"/>
      <c r="Q791" s="85"/>
      <c r="R791" s="43"/>
      <c r="S791" s="43"/>
      <c r="T791" s="43"/>
      <c r="U791" s="43"/>
      <c r="V791" s="43"/>
      <c r="W791" s="43"/>
      <c r="X791" s="43"/>
      <c r="Y791" s="43"/>
      <c r="Z791" s="43"/>
    </row>
    <row r="792">
      <c r="A792" s="89"/>
      <c r="B792" s="89"/>
      <c r="C792" s="89"/>
      <c r="D792" s="90"/>
      <c r="E792" s="91"/>
      <c r="F792" s="91"/>
      <c r="G792" s="91"/>
      <c r="H792" s="91"/>
      <c r="I792" s="85"/>
      <c r="J792" s="85"/>
      <c r="K792" s="85"/>
      <c r="L792" s="85"/>
      <c r="M792" s="85"/>
      <c r="N792" s="85"/>
      <c r="O792" s="85"/>
      <c r="P792" s="85"/>
      <c r="Q792" s="85"/>
      <c r="R792" s="43"/>
      <c r="S792" s="43"/>
      <c r="T792" s="43"/>
      <c r="U792" s="43"/>
      <c r="V792" s="43"/>
      <c r="W792" s="43"/>
      <c r="X792" s="43"/>
      <c r="Y792" s="43"/>
      <c r="Z792" s="43"/>
    </row>
    <row r="793">
      <c r="A793" s="89"/>
      <c r="B793" s="89"/>
      <c r="C793" s="89"/>
      <c r="D793" s="90"/>
      <c r="E793" s="91"/>
      <c r="F793" s="91"/>
      <c r="G793" s="91"/>
      <c r="H793" s="91"/>
      <c r="I793" s="85"/>
      <c r="J793" s="85"/>
      <c r="K793" s="85"/>
      <c r="L793" s="85"/>
      <c r="M793" s="85"/>
      <c r="N793" s="85"/>
      <c r="O793" s="85"/>
      <c r="P793" s="85"/>
      <c r="Q793" s="85"/>
      <c r="R793" s="43"/>
      <c r="S793" s="43"/>
      <c r="T793" s="43"/>
      <c r="U793" s="43"/>
      <c r="V793" s="43"/>
      <c r="W793" s="43"/>
      <c r="X793" s="43"/>
      <c r="Y793" s="43"/>
      <c r="Z793" s="43"/>
    </row>
    <row r="794">
      <c r="A794" s="89"/>
      <c r="B794" s="89"/>
      <c r="C794" s="89"/>
      <c r="D794" s="90"/>
      <c r="E794" s="91"/>
      <c r="F794" s="91"/>
      <c r="G794" s="91"/>
      <c r="H794" s="91"/>
      <c r="I794" s="85"/>
      <c r="J794" s="85"/>
      <c r="K794" s="85"/>
      <c r="L794" s="85"/>
      <c r="M794" s="85"/>
      <c r="N794" s="85"/>
      <c r="O794" s="85"/>
      <c r="P794" s="85"/>
      <c r="Q794" s="85"/>
      <c r="R794" s="43"/>
      <c r="S794" s="43"/>
      <c r="T794" s="43"/>
      <c r="U794" s="43"/>
      <c r="V794" s="43"/>
      <c r="W794" s="43"/>
      <c r="X794" s="43"/>
      <c r="Y794" s="43"/>
      <c r="Z794" s="43"/>
    </row>
    <row r="795">
      <c r="A795" s="89"/>
      <c r="B795" s="89"/>
      <c r="C795" s="89"/>
      <c r="D795" s="90"/>
      <c r="E795" s="91"/>
      <c r="F795" s="91"/>
      <c r="G795" s="91"/>
      <c r="H795" s="91"/>
      <c r="I795" s="85"/>
      <c r="J795" s="85"/>
      <c r="K795" s="85"/>
      <c r="L795" s="85"/>
      <c r="M795" s="85"/>
      <c r="N795" s="85"/>
      <c r="O795" s="85"/>
      <c r="P795" s="85"/>
      <c r="Q795" s="85"/>
      <c r="R795" s="43"/>
      <c r="S795" s="43"/>
      <c r="T795" s="43"/>
      <c r="U795" s="43"/>
      <c r="V795" s="43"/>
      <c r="W795" s="43"/>
      <c r="X795" s="43"/>
      <c r="Y795" s="43"/>
      <c r="Z795" s="43"/>
    </row>
    <row r="796">
      <c r="A796" s="89"/>
      <c r="B796" s="89"/>
      <c r="C796" s="89"/>
      <c r="D796" s="90"/>
      <c r="E796" s="91"/>
      <c r="F796" s="91"/>
      <c r="G796" s="91"/>
      <c r="H796" s="91"/>
      <c r="I796" s="85"/>
      <c r="J796" s="85"/>
      <c r="K796" s="85"/>
      <c r="L796" s="85"/>
      <c r="M796" s="85"/>
      <c r="N796" s="85"/>
      <c r="O796" s="85"/>
      <c r="P796" s="85"/>
      <c r="Q796" s="85"/>
      <c r="R796" s="43"/>
      <c r="S796" s="43"/>
      <c r="T796" s="43"/>
      <c r="U796" s="43"/>
      <c r="V796" s="43"/>
      <c r="W796" s="43"/>
      <c r="X796" s="43"/>
      <c r="Y796" s="43"/>
      <c r="Z796" s="43"/>
    </row>
    <row r="797">
      <c r="A797" s="89"/>
      <c r="B797" s="89"/>
      <c r="C797" s="89"/>
      <c r="D797" s="90"/>
      <c r="E797" s="91"/>
      <c r="F797" s="91"/>
      <c r="G797" s="91"/>
      <c r="H797" s="91"/>
      <c r="I797" s="85"/>
      <c r="J797" s="85"/>
      <c r="K797" s="85"/>
      <c r="L797" s="85"/>
      <c r="M797" s="85"/>
      <c r="N797" s="85"/>
      <c r="O797" s="85"/>
      <c r="P797" s="85"/>
      <c r="Q797" s="85"/>
      <c r="R797" s="43"/>
      <c r="S797" s="43"/>
      <c r="T797" s="43"/>
      <c r="U797" s="43"/>
      <c r="V797" s="43"/>
      <c r="W797" s="43"/>
      <c r="X797" s="43"/>
      <c r="Y797" s="43"/>
      <c r="Z797" s="43"/>
    </row>
    <row r="798">
      <c r="A798" s="89"/>
      <c r="B798" s="89"/>
      <c r="C798" s="89"/>
      <c r="D798" s="90"/>
      <c r="E798" s="91"/>
      <c r="F798" s="91"/>
      <c r="G798" s="91"/>
      <c r="H798" s="91"/>
      <c r="I798" s="85"/>
      <c r="J798" s="85"/>
      <c r="K798" s="85"/>
      <c r="L798" s="85"/>
      <c r="M798" s="85"/>
      <c r="N798" s="85"/>
      <c r="O798" s="85"/>
      <c r="P798" s="85"/>
      <c r="Q798" s="85"/>
      <c r="R798" s="43"/>
      <c r="S798" s="43"/>
      <c r="T798" s="43"/>
      <c r="U798" s="43"/>
      <c r="V798" s="43"/>
      <c r="W798" s="43"/>
      <c r="X798" s="43"/>
      <c r="Y798" s="43"/>
      <c r="Z798" s="43"/>
    </row>
    <row r="799">
      <c r="A799" s="89"/>
      <c r="B799" s="89"/>
      <c r="C799" s="89"/>
      <c r="D799" s="90"/>
      <c r="E799" s="91"/>
      <c r="F799" s="91"/>
      <c r="G799" s="91"/>
      <c r="H799" s="91"/>
      <c r="I799" s="85"/>
      <c r="J799" s="85"/>
      <c r="K799" s="85"/>
      <c r="L799" s="85"/>
      <c r="M799" s="85"/>
      <c r="N799" s="85"/>
      <c r="O799" s="85"/>
      <c r="P799" s="85"/>
      <c r="Q799" s="85"/>
      <c r="R799" s="43"/>
      <c r="S799" s="43"/>
      <c r="T799" s="43"/>
      <c r="U799" s="43"/>
      <c r="V799" s="43"/>
      <c r="W799" s="43"/>
      <c r="X799" s="43"/>
      <c r="Y799" s="43"/>
      <c r="Z799" s="43"/>
    </row>
    <row r="800">
      <c r="A800" s="89"/>
      <c r="B800" s="89"/>
      <c r="C800" s="89"/>
      <c r="D800" s="90"/>
      <c r="E800" s="91"/>
      <c r="F800" s="91"/>
      <c r="G800" s="91"/>
      <c r="H800" s="91"/>
      <c r="I800" s="85"/>
      <c r="J800" s="85"/>
      <c r="K800" s="85"/>
      <c r="L800" s="85"/>
      <c r="M800" s="85"/>
      <c r="N800" s="85"/>
      <c r="O800" s="85"/>
      <c r="P800" s="85"/>
      <c r="Q800" s="85"/>
      <c r="R800" s="43"/>
      <c r="S800" s="43"/>
      <c r="T800" s="43"/>
      <c r="U800" s="43"/>
      <c r="V800" s="43"/>
      <c r="W800" s="43"/>
      <c r="X800" s="43"/>
      <c r="Y800" s="43"/>
      <c r="Z800" s="43"/>
    </row>
    <row r="801">
      <c r="A801" s="89"/>
      <c r="B801" s="89"/>
      <c r="C801" s="89"/>
      <c r="D801" s="90"/>
      <c r="E801" s="91"/>
      <c r="F801" s="91"/>
      <c r="G801" s="91"/>
      <c r="H801" s="91"/>
      <c r="I801" s="85"/>
      <c r="J801" s="85"/>
      <c r="K801" s="85"/>
      <c r="L801" s="85"/>
      <c r="M801" s="85"/>
      <c r="N801" s="85"/>
      <c r="O801" s="85"/>
      <c r="P801" s="85"/>
      <c r="Q801" s="85"/>
      <c r="R801" s="43"/>
      <c r="S801" s="43"/>
      <c r="T801" s="43"/>
      <c r="U801" s="43"/>
      <c r="V801" s="43"/>
      <c r="W801" s="43"/>
      <c r="X801" s="43"/>
      <c r="Y801" s="43"/>
      <c r="Z801" s="43"/>
    </row>
    <row r="802">
      <c r="A802" s="89"/>
      <c r="B802" s="89"/>
      <c r="C802" s="89"/>
      <c r="D802" s="90"/>
      <c r="E802" s="91"/>
      <c r="F802" s="91"/>
      <c r="G802" s="91"/>
      <c r="H802" s="91"/>
      <c r="I802" s="85"/>
      <c r="J802" s="85"/>
      <c r="K802" s="85"/>
      <c r="L802" s="85"/>
      <c r="M802" s="85"/>
      <c r="N802" s="85"/>
      <c r="O802" s="85"/>
      <c r="P802" s="85"/>
      <c r="Q802" s="85"/>
      <c r="R802" s="43"/>
      <c r="S802" s="43"/>
      <c r="T802" s="43"/>
      <c r="U802" s="43"/>
      <c r="V802" s="43"/>
      <c r="W802" s="43"/>
      <c r="X802" s="43"/>
      <c r="Y802" s="43"/>
      <c r="Z802" s="43"/>
    </row>
    <row r="803">
      <c r="A803" s="89"/>
      <c r="B803" s="89"/>
      <c r="C803" s="89"/>
      <c r="D803" s="90"/>
      <c r="E803" s="91"/>
      <c r="F803" s="91"/>
      <c r="G803" s="91"/>
      <c r="H803" s="91"/>
      <c r="I803" s="85"/>
      <c r="J803" s="85"/>
      <c r="K803" s="85"/>
      <c r="L803" s="85"/>
      <c r="M803" s="85"/>
      <c r="N803" s="85"/>
      <c r="O803" s="85"/>
      <c r="P803" s="85"/>
      <c r="Q803" s="85"/>
      <c r="R803" s="43"/>
      <c r="S803" s="43"/>
      <c r="T803" s="43"/>
      <c r="U803" s="43"/>
      <c r="V803" s="43"/>
      <c r="W803" s="43"/>
      <c r="X803" s="43"/>
      <c r="Y803" s="43"/>
      <c r="Z803" s="43"/>
    </row>
    <row r="804">
      <c r="A804" s="89"/>
      <c r="B804" s="89"/>
      <c r="C804" s="89"/>
      <c r="D804" s="90"/>
      <c r="E804" s="91"/>
      <c r="F804" s="91"/>
      <c r="G804" s="91"/>
      <c r="H804" s="91"/>
      <c r="I804" s="85"/>
      <c r="J804" s="85"/>
      <c r="K804" s="85"/>
      <c r="L804" s="85"/>
      <c r="M804" s="85"/>
      <c r="N804" s="85"/>
      <c r="O804" s="85"/>
      <c r="P804" s="85"/>
      <c r="Q804" s="85"/>
      <c r="R804" s="43"/>
      <c r="S804" s="43"/>
      <c r="T804" s="43"/>
      <c r="U804" s="43"/>
      <c r="V804" s="43"/>
      <c r="W804" s="43"/>
      <c r="X804" s="43"/>
      <c r="Y804" s="43"/>
      <c r="Z804" s="43"/>
    </row>
    <row r="805">
      <c r="A805" s="89"/>
      <c r="B805" s="89"/>
      <c r="C805" s="89"/>
      <c r="D805" s="90"/>
      <c r="E805" s="91"/>
      <c r="F805" s="91"/>
      <c r="G805" s="91"/>
      <c r="H805" s="91"/>
      <c r="I805" s="85"/>
      <c r="J805" s="85"/>
      <c r="K805" s="85"/>
      <c r="L805" s="85"/>
      <c r="M805" s="85"/>
      <c r="N805" s="85"/>
      <c r="O805" s="85"/>
      <c r="P805" s="85"/>
      <c r="Q805" s="85"/>
      <c r="R805" s="43"/>
      <c r="S805" s="43"/>
      <c r="T805" s="43"/>
      <c r="U805" s="43"/>
      <c r="V805" s="43"/>
      <c r="W805" s="43"/>
      <c r="X805" s="43"/>
      <c r="Y805" s="43"/>
      <c r="Z805" s="43"/>
    </row>
    <row r="806">
      <c r="A806" s="89"/>
      <c r="B806" s="89"/>
      <c r="C806" s="89"/>
      <c r="D806" s="90"/>
      <c r="E806" s="91"/>
      <c r="F806" s="91"/>
      <c r="G806" s="91"/>
      <c r="H806" s="91"/>
      <c r="I806" s="85"/>
      <c r="J806" s="85"/>
      <c r="K806" s="85"/>
      <c r="L806" s="85"/>
      <c r="M806" s="85"/>
      <c r="N806" s="85"/>
      <c r="O806" s="85"/>
      <c r="P806" s="85"/>
      <c r="Q806" s="85"/>
      <c r="R806" s="43"/>
      <c r="S806" s="43"/>
      <c r="T806" s="43"/>
      <c r="U806" s="43"/>
      <c r="V806" s="43"/>
      <c r="W806" s="43"/>
      <c r="X806" s="43"/>
      <c r="Y806" s="43"/>
      <c r="Z806" s="43"/>
    </row>
    <row r="807">
      <c r="A807" s="89"/>
      <c r="B807" s="89"/>
      <c r="C807" s="89"/>
      <c r="D807" s="90"/>
      <c r="E807" s="91"/>
      <c r="F807" s="91"/>
      <c r="G807" s="91"/>
      <c r="H807" s="91"/>
      <c r="I807" s="85"/>
      <c r="J807" s="85"/>
      <c r="K807" s="85"/>
      <c r="L807" s="85"/>
      <c r="M807" s="85"/>
      <c r="N807" s="85"/>
      <c r="O807" s="85"/>
      <c r="P807" s="85"/>
      <c r="Q807" s="85"/>
      <c r="R807" s="43"/>
      <c r="S807" s="43"/>
      <c r="T807" s="43"/>
      <c r="U807" s="43"/>
      <c r="V807" s="43"/>
      <c r="W807" s="43"/>
      <c r="X807" s="43"/>
      <c r="Y807" s="43"/>
      <c r="Z807" s="43"/>
    </row>
    <row r="808">
      <c r="A808" s="89"/>
      <c r="B808" s="89"/>
      <c r="C808" s="89"/>
      <c r="D808" s="90"/>
      <c r="E808" s="91"/>
      <c r="F808" s="91"/>
      <c r="G808" s="91"/>
      <c r="H808" s="91"/>
      <c r="I808" s="85"/>
      <c r="J808" s="85"/>
      <c r="K808" s="85"/>
      <c r="L808" s="85"/>
      <c r="M808" s="85"/>
      <c r="N808" s="85"/>
      <c r="O808" s="85"/>
      <c r="P808" s="85"/>
      <c r="Q808" s="85"/>
      <c r="R808" s="43"/>
      <c r="S808" s="43"/>
      <c r="T808" s="43"/>
      <c r="U808" s="43"/>
      <c r="V808" s="43"/>
      <c r="W808" s="43"/>
      <c r="X808" s="43"/>
      <c r="Y808" s="43"/>
      <c r="Z808" s="43"/>
    </row>
    <row r="809">
      <c r="A809" s="89"/>
      <c r="B809" s="89"/>
      <c r="C809" s="89"/>
      <c r="D809" s="90"/>
      <c r="E809" s="91"/>
      <c r="F809" s="91"/>
      <c r="G809" s="91"/>
      <c r="H809" s="91"/>
      <c r="I809" s="85"/>
      <c r="J809" s="85"/>
      <c r="K809" s="85"/>
      <c r="L809" s="85"/>
      <c r="M809" s="85"/>
      <c r="N809" s="85"/>
      <c r="O809" s="85"/>
      <c r="P809" s="85"/>
      <c r="Q809" s="85"/>
      <c r="R809" s="43"/>
      <c r="S809" s="43"/>
      <c r="T809" s="43"/>
      <c r="U809" s="43"/>
      <c r="V809" s="43"/>
      <c r="W809" s="43"/>
      <c r="X809" s="43"/>
      <c r="Y809" s="43"/>
      <c r="Z809" s="43"/>
    </row>
    <row r="810">
      <c r="A810" s="89"/>
      <c r="B810" s="89"/>
      <c r="C810" s="89"/>
      <c r="D810" s="90"/>
      <c r="E810" s="91"/>
      <c r="F810" s="91"/>
      <c r="G810" s="91"/>
      <c r="H810" s="91"/>
      <c r="I810" s="85"/>
      <c r="J810" s="85"/>
      <c r="K810" s="85"/>
      <c r="L810" s="85"/>
      <c r="M810" s="85"/>
      <c r="N810" s="85"/>
      <c r="O810" s="85"/>
      <c r="P810" s="85"/>
      <c r="Q810" s="85"/>
      <c r="R810" s="43"/>
      <c r="S810" s="43"/>
      <c r="T810" s="43"/>
      <c r="U810" s="43"/>
      <c r="V810" s="43"/>
      <c r="W810" s="43"/>
      <c r="X810" s="43"/>
      <c r="Y810" s="43"/>
      <c r="Z810" s="43"/>
    </row>
    <row r="811">
      <c r="A811" s="89"/>
      <c r="B811" s="89"/>
      <c r="C811" s="89"/>
      <c r="D811" s="90"/>
      <c r="E811" s="91"/>
      <c r="F811" s="91"/>
      <c r="G811" s="91"/>
      <c r="H811" s="91"/>
      <c r="I811" s="85"/>
      <c r="J811" s="85"/>
      <c r="K811" s="85"/>
      <c r="L811" s="85"/>
      <c r="M811" s="85"/>
      <c r="N811" s="85"/>
      <c r="O811" s="85"/>
      <c r="P811" s="85"/>
      <c r="Q811" s="85"/>
      <c r="R811" s="43"/>
      <c r="S811" s="43"/>
      <c r="T811" s="43"/>
      <c r="U811" s="43"/>
      <c r="V811" s="43"/>
      <c r="W811" s="43"/>
      <c r="X811" s="43"/>
      <c r="Y811" s="43"/>
      <c r="Z811" s="43"/>
    </row>
    <row r="812">
      <c r="A812" s="89"/>
      <c r="B812" s="89"/>
      <c r="C812" s="89"/>
      <c r="D812" s="90"/>
      <c r="E812" s="91"/>
      <c r="F812" s="91"/>
      <c r="G812" s="91"/>
      <c r="H812" s="91"/>
      <c r="I812" s="85"/>
      <c r="J812" s="85"/>
      <c r="K812" s="85"/>
      <c r="L812" s="85"/>
      <c r="M812" s="85"/>
      <c r="N812" s="85"/>
      <c r="O812" s="85"/>
      <c r="P812" s="85"/>
      <c r="Q812" s="85"/>
      <c r="R812" s="43"/>
      <c r="S812" s="43"/>
      <c r="T812" s="43"/>
      <c r="U812" s="43"/>
      <c r="V812" s="43"/>
      <c r="W812" s="43"/>
      <c r="X812" s="43"/>
      <c r="Y812" s="43"/>
      <c r="Z812" s="43"/>
    </row>
    <row r="813">
      <c r="A813" s="89"/>
      <c r="B813" s="89"/>
      <c r="C813" s="89"/>
      <c r="D813" s="90"/>
      <c r="E813" s="91"/>
      <c r="F813" s="91"/>
      <c r="G813" s="91"/>
      <c r="H813" s="91"/>
      <c r="I813" s="85"/>
      <c r="J813" s="85"/>
      <c r="K813" s="85"/>
      <c r="L813" s="85"/>
      <c r="M813" s="85"/>
      <c r="N813" s="85"/>
      <c r="O813" s="85"/>
      <c r="P813" s="85"/>
      <c r="Q813" s="85"/>
      <c r="R813" s="43"/>
      <c r="S813" s="43"/>
      <c r="T813" s="43"/>
      <c r="U813" s="43"/>
      <c r="V813" s="43"/>
      <c r="W813" s="43"/>
      <c r="X813" s="43"/>
      <c r="Y813" s="43"/>
      <c r="Z813" s="43"/>
    </row>
    <row r="814">
      <c r="A814" s="89"/>
      <c r="B814" s="89"/>
      <c r="C814" s="89"/>
      <c r="D814" s="90"/>
      <c r="E814" s="91"/>
      <c r="F814" s="91"/>
      <c r="G814" s="91"/>
      <c r="H814" s="91"/>
      <c r="I814" s="85"/>
      <c r="J814" s="85"/>
      <c r="K814" s="85"/>
      <c r="L814" s="85"/>
      <c r="M814" s="85"/>
      <c r="N814" s="85"/>
      <c r="O814" s="85"/>
      <c r="P814" s="85"/>
      <c r="Q814" s="85"/>
      <c r="R814" s="43"/>
      <c r="S814" s="43"/>
      <c r="T814" s="43"/>
      <c r="U814" s="43"/>
      <c r="V814" s="43"/>
      <c r="W814" s="43"/>
      <c r="X814" s="43"/>
      <c r="Y814" s="43"/>
      <c r="Z814" s="43"/>
    </row>
    <row r="815">
      <c r="A815" s="89"/>
      <c r="B815" s="89"/>
      <c r="C815" s="89"/>
      <c r="D815" s="90"/>
      <c r="E815" s="91"/>
      <c r="F815" s="91"/>
      <c r="G815" s="91"/>
      <c r="H815" s="91"/>
      <c r="I815" s="85"/>
      <c r="J815" s="85"/>
      <c r="K815" s="85"/>
      <c r="L815" s="85"/>
      <c r="M815" s="85"/>
      <c r="N815" s="85"/>
      <c r="O815" s="85"/>
      <c r="P815" s="85"/>
      <c r="Q815" s="85"/>
      <c r="R815" s="43"/>
      <c r="S815" s="43"/>
      <c r="T815" s="43"/>
      <c r="U815" s="43"/>
      <c r="V815" s="43"/>
      <c r="W815" s="43"/>
      <c r="X815" s="43"/>
      <c r="Y815" s="43"/>
      <c r="Z815" s="43"/>
    </row>
    <row r="816">
      <c r="A816" s="89"/>
      <c r="B816" s="89"/>
      <c r="C816" s="89"/>
      <c r="D816" s="90"/>
      <c r="E816" s="91"/>
      <c r="F816" s="91"/>
      <c r="G816" s="91"/>
      <c r="H816" s="91"/>
      <c r="I816" s="85"/>
      <c r="J816" s="85"/>
      <c r="K816" s="85"/>
      <c r="L816" s="85"/>
      <c r="M816" s="85"/>
      <c r="N816" s="85"/>
      <c r="O816" s="85"/>
      <c r="P816" s="85"/>
      <c r="Q816" s="85"/>
      <c r="R816" s="43"/>
      <c r="S816" s="43"/>
      <c r="T816" s="43"/>
      <c r="U816" s="43"/>
      <c r="V816" s="43"/>
      <c r="W816" s="43"/>
      <c r="X816" s="43"/>
      <c r="Y816" s="43"/>
      <c r="Z816" s="43"/>
    </row>
    <row r="817">
      <c r="A817" s="89"/>
      <c r="B817" s="89"/>
      <c r="C817" s="89"/>
      <c r="D817" s="90"/>
      <c r="E817" s="91"/>
      <c r="F817" s="91"/>
      <c r="G817" s="91"/>
      <c r="H817" s="91"/>
      <c r="I817" s="85"/>
      <c r="J817" s="85"/>
      <c r="K817" s="85"/>
      <c r="L817" s="85"/>
      <c r="M817" s="85"/>
      <c r="N817" s="85"/>
      <c r="O817" s="85"/>
      <c r="P817" s="85"/>
      <c r="Q817" s="85"/>
      <c r="R817" s="43"/>
      <c r="S817" s="43"/>
      <c r="T817" s="43"/>
      <c r="U817" s="43"/>
      <c r="V817" s="43"/>
      <c r="W817" s="43"/>
      <c r="X817" s="43"/>
      <c r="Y817" s="43"/>
      <c r="Z817" s="43"/>
    </row>
    <row r="818">
      <c r="A818" s="89"/>
      <c r="B818" s="89"/>
      <c r="C818" s="89"/>
      <c r="D818" s="90"/>
      <c r="E818" s="91"/>
      <c r="F818" s="91"/>
      <c r="G818" s="91"/>
      <c r="H818" s="91"/>
      <c r="I818" s="85"/>
      <c r="J818" s="85"/>
      <c r="K818" s="85"/>
      <c r="L818" s="85"/>
      <c r="M818" s="85"/>
      <c r="N818" s="85"/>
      <c r="O818" s="85"/>
      <c r="P818" s="85"/>
      <c r="Q818" s="85"/>
      <c r="R818" s="43"/>
      <c r="S818" s="43"/>
      <c r="T818" s="43"/>
      <c r="U818" s="43"/>
      <c r="V818" s="43"/>
      <c r="W818" s="43"/>
      <c r="X818" s="43"/>
      <c r="Y818" s="43"/>
      <c r="Z818" s="43"/>
    </row>
    <row r="819">
      <c r="A819" s="89"/>
      <c r="B819" s="89"/>
      <c r="C819" s="89"/>
      <c r="D819" s="90"/>
      <c r="E819" s="91"/>
      <c r="F819" s="91"/>
      <c r="G819" s="91"/>
      <c r="H819" s="91"/>
      <c r="I819" s="85"/>
      <c r="J819" s="85"/>
      <c r="K819" s="85"/>
      <c r="L819" s="85"/>
      <c r="M819" s="85"/>
      <c r="N819" s="85"/>
      <c r="O819" s="85"/>
      <c r="P819" s="85"/>
      <c r="Q819" s="85"/>
      <c r="R819" s="43"/>
      <c r="S819" s="43"/>
      <c r="T819" s="43"/>
      <c r="U819" s="43"/>
      <c r="V819" s="43"/>
      <c r="W819" s="43"/>
      <c r="X819" s="43"/>
      <c r="Y819" s="43"/>
      <c r="Z819" s="43"/>
    </row>
    <row r="820">
      <c r="A820" s="89"/>
      <c r="B820" s="89"/>
      <c r="C820" s="89"/>
      <c r="D820" s="90"/>
      <c r="E820" s="91"/>
      <c r="F820" s="91"/>
      <c r="G820" s="91"/>
      <c r="H820" s="91"/>
      <c r="I820" s="85"/>
      <c r="J820" s="85"/>
      <c r="K820" s="85"/>
      <c r="L820" s="85"/>
      <c r="M820" s="85"/>
      <c r="N820" s="85"/>
      <c r="O820" s="85"/>
      <c r="P820" s="85"/>
      <c r="Q820" s="85"/>
      <c r="R820" s="43"/>
      <c r="S820" s="43"/>
      <c r="T820" s="43"/>
      <c r="U820" s="43"/>
      <c r="V820" s="43"/>
      <c r="W820" s="43"/>
      <c r="X820" s="43"/>
      <c r="Y820" s="43"/>
      <c r="Z820" s="43"/>
    </row>
    <row r="821">
      <c r="A821" s="89"/>
      <c r="B821" s="89"/>
      <c r="C821" s="89"/>
      <c r="D821" s="90"/>
      <c r="E821" s="91"/>
      <c r="F821" s="91"/>
      <c r="G821" s="91"/>
      <c r="H821" s="91"/>
      <c r="I821" s="85"/>
      <c r="J821" s="85"/>
      <c r="K821" s="85"/>
      <c r="L821" s="85"/>
      <c r="M821" s="85"/>
      <c r="N821" s="85"/>
      <c r="O821" s="85"/>
      <c r="P821" s="85"/>
      <c r="Q821" s="85"/>
      <c r="R821" s="43"/>
      <c r="S821" s="43"/>
      <c r="T821" s="43"/>
      <c r="U821" s="43"/>
      <c r="V821" s="43"/>
      <c r="W821" s="43"/>
      <c r="X821" s="43"/>
      <c r="Y821" s="43"/>
      <c r="Z821" s="43"/>
    </row>
    <row r="822">
      <c r="A822" s="89"/>
      <c r="B822" s="89"/>
      <c r="C822" s="89"/>
      <c r="D822" s="90"/>
      <c r="E822" s="91"/>
      <c r="F822" s="91"/>
      <c r="G822" s="91"/>
      <c r="H822" s="91"/>
      <c r="I822" s="85"/>
      <c r="J822" s="85"/>
      <c r="K822" s="85"/>
      <c r="L822" s="85"/>
      <c r="M822" s="85"/>
      <c r="N822" s="85"/>
      <c r="O822" s="85"/>
      <c r="P822" s="85"/>
      <c r="Q822" s="85"/>
      <c r="R822" s="43"/>
      <c r="S822" s="43"/>
      <c r="T822" s="43"/>
      <c r="U822" s="43"/>
      <c r="V822" s="43"/>
      <c r="W822" s="43"/>
      <c r="X822" s="43"/>
      <c r="Y822" s="43"/>
      <c r="Z822" s="43"/>
    </row>
    <row r="823">
      <c r="A823" s="89"/>
      <c r="B823" s="89"/>
      <c r="C823" s="89"/>
      <c r="D823" s="90"/>
      <c r="E823" s="91"/>
      <c r="F823" s="91"/>
      <c r="G823" s="91"/>
      <c r="H823" s="91"/>
      <c r="I823" s="85"/>
      <c r="J823" s="85"/>
      <c r="K823" s="85"/>
      <c r="L823" s="85"/>
      <c r="M823" s="85"/>
      <c r="N823" s="85"/>
      <c r="O823" s="85"/>
      <c r="P823" s="85"/>
      <c r="Q823" s="85"/>
      <c r="R823" s="43"/>
      <c r="S823" s="43"/>
      <c r="T823" s="43"/>
      <c r="U823" s="43"/>
      <c r="V823" s="43"/>
      <c r="W823" s="43"/>
      <c r="X823" s="43"/>
      <c r="Y823" s="43"/>
      <c r="Z823" s="43"/>
    </row>
    <row r="824">
      <c r="A824" s="89"/>
      <c r="B824" s="89"/>
      <c r="C824" s="89"/>
      <c r="D824" s="90"/>
      <c r="E824" s="91"/>
      <c r="F824" s="91"/>
      <c r="G824" s="91"/>
      <c r="H824" s="91"/>
      <c r="I824" s="85"/>
      <c r="J824" s="85"/>
      <c r="K824" s="85"/>
      <c r="L824" s="85"/>
      <c r="M824" s="85"/>
      <c r="N824" s="85"/>
      <c r="O824" s="85"/>
      <c r="P824" s="85"/>
      <c r="Q824" s="85"/>
      <c r="R824" s="43"/>
      <c r="S824" s="43"/>
      <c r="T824" s="43"/>
      <c r="U824" s="43"/>
      <c r="V824" s="43"/>
      <c r="W824" s="43"/>
      <c r="X824" s="43"/>
      <c r="Y824" s="43"/>
      <c r="Z824" s="43"/>
    </row>
    <row r="825">
      <c r="A825" s="89"/>
      <c r="B825" s="89"/>
      <c r="C825" s="89"/>
      <c r="D825" s="90"/>
      <c r="E825" s="91"/>
      <c r="F825" s="91"/>
      <c r="G825" s="91"/>
      <c r="H825" s="91"/>
      <c r="I825" s="85"/>
      <c r="J825" s="85"/>
      <c r="K825" s="85"/>
      <c r="L825" s="85"/>
      <c r="M825" s="85"/>
      <c r="N825" s="85"/>
      <c r="O825" s="85"/>
      <c r="P825" s="85"/>
      <c r="Q825" s="85"/>
      <c r="R825" s="43"/>
      <c r="S825" s="43"/>
      <c r="T825" s="43"/>
      <c r="U825" s="43"/>
      <c r="V825" s="43"/>
      <c r="W825" s="43"/>
      <c r="X825" s="43"/>
      <c r="Y825" s="43"/>
      <c r="Z825" s="43"/>
    </row>
    <row r="826">
      <c r="A826" s="89"/>
      <c r="B826" s="89"/>
      <c r="C826" s="89"/>
      <c r="D826" s="90"/>
      <c r="E826" s="91"/>
      <c r="F826" s="91"/>
      <c r="G826" s="91"/>
      <c r="H826" s="91"/>
      <c r="I826" s="85"/>
      <c r="J826" s="85"/>
      <c r="K826" s="85"/>
      <c r="L826" s="85"/>
      <c r="M826" s="85"/>
      <c r="N826" s="85"/>
      <c r="O826" s="85"/>
      <c r="P826" s="85"/>
      <c r="Q826" s="85"/>
      <c r="R826" s="43"/>
      <c r="S826" s="43"/>
      <c r="T826" s="43"/>
      <c r="U826" s="43"/>
      <c r="V826" s="43"/>
      <c r="W826" s="43"/>
      <c r="X826" s="43"/>
      <c r="Y826" s="43"/>
      <c r="Z826" s="43"/>
    </row>
    <row r="827">
      <c r="A827" s="89"/>
      <c r="B827" s="89"/>
      <c r="C827" s="89"/>
      <c r="D827" s="90"/>
      <c r="E827" s="91"/>
      <c r="F827" s="91"/>
      <c r="G827" s="91"/>
      <c r="H827" s="91"/>
      <c r="I827" s="85"/>
      <c r="J827" s="85"/>
      <c r="K827" s="85"/>
      <c r="L827" s="85"/>
      <c r="M827" s="85"/>
      <c r="N827" s="85"/>
      <c r="O827" s="85"/>
      <c r="P827" s="85"/>
      <c r="Q827" s="85"/>
      <c r="R827" s="43"/>
      <c r="S827" s="43"/>
      <c r="T827" s="43"/>
      <c r="U827" s="43"/>
      <c r="V827" s="43"/>
      <c r="W827" s="43"/>
      <c r="X827" s="43"/>
      <c r="Y827" s="43"/>
      <c r="Z827" s="43"/>
    </row>
    <row r="828">
      <c r="A828" s="89"/>
      <c r="B828" s="89"/>
      <c r="C828" s="89"/>
      <c r="D828" s="90"/>
      <c r="E828" s="91"/>
      <c r="F828" s="91"/>
      <c r="G828" s="91"/>
      <c r="H828" s="91"/>
      <c r="I828" s="85"/>
      <c r="J828" s="85"/>
      <c r="K828" s="85"/>
      <c r="L828" s="85"/>
      <c r="M828" s="85"/>
      <c r="N828" s="85"/>
      <c r="O828" s="85"/>
      <c r="P828" s="85"/>
      <c r="Q828" s="85"/>
      <c r="R828" s="43"/>
      <c r="S828" s="43"/>
      <c r="T828" s="43"/>
      <c r="U828" s="43"/>
      <c r="V828" s="43"/>
      <c r="W828" s="43"/>
      <c r="X828" s="43"/>
      <c r="Y828" s="43"/>
      <c r="Z828" s="43"/>
    </row>
    <row r="829">
      <c r="A829" s="89"/>
      <c r="B829" s="89"/>
      <c r="C829" s="89"/>
      <c r="D829" s="90"/>
      <c r="E829" s="91"/>
      <c r="F829" s="91"/>
      <c r="G829" s="91"/>
      <c r="H829" s="91"/>
      <c r="I829" s="85"/>
      <c r="J829" s="85"/>
      <c r="K829" s="85"/>
      <c r="L829" s="85"/>
      <c r="M829" s="85"/>
      <c r="N829" s="85"/>
      <c r="O829" s="85"/>
      <c r="P829" s="85"/>
      <c r="Q829" s="85"/>
      <c r="R829" s="43"/>
      <c r="S829" s="43"/>
      <c r="T829" s="43"/>
      <c r="U829" s="43"/>
      <c r="V829" s="43"/>
      <c r="W829" s="43"/>
      <c r="X829" s="43"/>
      <c r="Y829" s="43"/>
      <c r="Z829" s="43"/>
    </row>
    <row r="830">
      <c r="A830" s="89"/>
      <c r="B830" s="89"/>
      <c r="C830" s="89"/>
      <c r="D830" s="90"/>
      <c r="E830" s="91"/>
      <c r="F830" s="91"/>
      <c r="G830" s="91"/>
      <c r="H830" s="91"/>
      <c r="I830" s="85"/>
      <c r="J830" s="85"/>
      <c r="K830" s="85"/>
      <c r="L830" s="85"/>
      <c r="M830" s="85"/>
      <c r="N830" s="85"/>
      <c r="O830" s="85"/>
      <c r="P830" s="85"/>
      <c r="Q830" s="85"/>
      <c r="R830" s="43"/>
      <c r="S830" s="43"/>
      <c r="T830" s="43"/>
      <c r="U830" s="43"/>
      <c r="V830" s="43"/>
      <c r="W830" s="43"/>
      <c r="X830" s="43"/>
      <c r="Y830" s="43"/>
      <c r="Z830" s="43"/>
    </row>
    <row r="831">
      <c r="A831" s="89"/>
      <c r="B831" s="89"/>
      <c r="C831" s="89"/>
      <c r="D831" s="90"/>
      <c r="E831" s="91"/>
      <c r="F831" s="91"/>
      <c r="G831" s="91"/>
      <c r="H831" s="91"/>
      <c r="I831" s="85"/>
      <c r="J831" s="85"/>
      <c r="K831" s="85"/>
      <c r="L831" s="85"/>
      <c r="M831" s="85"/>
      <c r="N831" s="85"/>
      <c r="O831" s="85"/>
      <c r="P831" s="85"/>
      <c r="Q831" s="85"/>
      <c r="R831" s="43"/>
      <c r="S831" s="43"/>
      <c r="T831" s="43"/>
      <c r="U831" s="43"/>
      <c r="V831" s="43"/>
      <c r="W831" s="43"/>
      <c r="X831" s="43"/>
      <c r="Y831" s="43"/>
      <c r="Z831" s="43"/>
    </row>
    <row r="832">
      <c r="A832" s="89"/>
      <c r="B832" s="89"/>
      <c r="C832" s="89"/>
      <c r="D832" s="90"/>
      <c r="E832" s="91"/>
      <c r="F832" s="91"/>
      <c r="G832" s="91"/>
      <c r="H832" s="91"/>
      <c r="I832" s="85"/>
      <c r="J832" s="85"/>
      <c r="K832" s="85"/>
      <c r="L832" s="85"/>
      <c r="M832" s="85"/>
      <c r="N832" s="85"/>
      <c r="O832" s="85"/>
      <c r="P832" s="85"/>
      <c r="Q832" s="85"/>
      <c r="R832" s="43"/>
      <c r="S832" s="43"/>
      <c r="T832" s="43"/>
      <c r="U832" s="43"/>
      <c r="V832" s="43"/>
      <c r="W832" s="43"/>
      <c r="X832" s="43"/>
      <c r="Y832" s="43"/>
      <c r="Z832" s="43"/>
    </row>
    <row r="833">
      <c r="A833" s="89"/>
      <c r="B833" s="89"/>
      <c r="C833" s="89"/>
      <c r="D833" s="90"/>
      <c r="E833" s="91"/>
      <c r="F833" s="91"/>
      <c r="G833" s="91"/>
      <c r="H833" s="91"/>
      <c r="I833" s="85"/>
      <c r="J833" s="85"/>
      <c r="K833" s="85"/>
      <c r="L833" s="85"/>
      <c r="M833" s="85"/>
      <c r="N833" s="85"/>
      <c r="O833" s="85"/>
      <c r="P833" s="85"/>
      <c r="Q833" s="85"/>
      <c r="R833" s="43"/>
      <c r="S833" s="43"/>
      <c r="T833" s="43"/>
      <c r="U833" s="43"/>
      <c r="V833" s="43"/>
      <c r="W833" s="43"/>
      <c r="X833" s="43"/>
      <c r="Y833" s="43"/>
      <c r="Z833" s="43"/>
    </row>
    <row r="834">
      <c r="A834" s="89"/>
      <c r="B834" s="89"/>
      <c r="C834" s="89"/>
      <c r="D834" s="90"/>
      <c r="E834" s="91"/>
      <c r="F834" s="91"/>
      <c r="G834" s="91"/>
      <c r="H834" s="91"/>
      <c r="I834" s="85"/>
      <c r="J834" s="85"/>
      <c r="K834" s="85"/>
      <c r="L834" s="85"/>
      <c r="M834" s="85"/>
      <c r="N834" s="85"/>
      <c r="O834" s="85"/>
      <c r="P834" s="85"/>
      <c r="Q834" s="85"/>
      <c r="R834" s="43"/>
      <c r="S834" s="43"/>
      <c r="T834" s="43"/>
      <c r="U834" s="43"/>
      <c r="V834" s="43"/>
      <c r="W834" s="43"/>
      <c r="X834" s="43"/>
      <c r="Y834" s="43"/>
      <c r="Z834" s="43"/>
    </row>
    <row r="835">
      <c r="A835" s="89"/>
      <c r="B835" s="89"/>
      <c r="C835" s="89"/>
      <c r="D835" s="90"/>
      <c r="E835" s="91"/>
      <c r="F835" s="91"/>
      <c r="G835" s="91"/>
      <c r="H835" s="91"/>
      <c r="I835" s="85"/>
      <c r="J835" s="85"/>
      <c r="K835" s="85"/>
      <c r="L835" s="85"/>
      <c r="M835" s="85"/>
      <c r="N835" s="85"/>
      <c r="O835" s="85"/>
      <c r="P835" s="85"/>
      <c r="Q835" s="85"/>
      <c r="R835" s="43"/>
      <c r="S835" s="43"/>
      <c r="T835" s="43"/>
      <c r="U835" s="43"/>
      <c r="V835" s="43"/>
      <c r="W835" s="43"/>
      <c r="X835" s="43"/>
      <c r="Y835" s="43"/>
      <c r="Z835" s="43"/>
    </row>
    <row r="836">
      <c r="A836" s="89"/>
      <c r="B836" s="89"/>
      <c r="C836" s="89"/>
      <c r="D836" s="90"/>
      <c r="E836" s="91"/>
      <c r="F836" s="91"/>
      <c r="G836" s="91"/>
      <c r="H836" s="91"/>
      <c r="I836" s="85"/>
      <c r="J836" s="85"/>
      <c r="K836" s="85"/>
      <c r="L836" s="85"/>
      <c r="M836" s="85"/>
      <c r="N836" s="85"/>
      <c r="O836" s="85"/>
      <c r="P836" s="85"/>
      <c r="Q836" s="85"/>
      <c r="R836" s="43"/>
      <c r="S836" s="43"/>
      <c r="T836" s="43"/>
      <c r="U836" s="43"/>
      <c r="V836" s="43"/>
      <c r="W836" s="43"/>
      <c r="X836" s="43"/>
      <c r="Y836" s="43"/>
      <c r="Z836" s="43"/>
    </row>
    <row r="837">
      <c r="A837" s="89"/>
      <c r="B837" s="89"/>
      <c r="C837" s="89"/>
      <c r="D837" s="90"/>
      <c r="E837" s="91"/>
      <c r="F837" s="91"/>
      <c r="G837" s="91"/>
      <c r="H837" s="91"/>
      <c r="I837" s="85"/>
      <c r="J837" s="85"/>
      <c r="K837" s="85"/>
      <c r="L837" s="85"/>
      <c r="M837" s="85"/>
      <c r="N837" s="85"/>
      <c r="O837" s="85"/>
      <c r="P837" s="85"/>
      <c r="Q837" s="85"/>
      <c r="R837" s="43"/>
      <c r="S837" s="43"/>
      <c r="T837" s="43"/>
      <c r="U837" s="43"/>
      <c r="V837" s="43"/>
      <c r="W837" s="43"/>
      <c r="X837" s="43"/>
      <c r="Y837" s="43"/>
      <c r="Z837" s="43"/>
    </row>
    <row r="838">
      <c r="A838" s="89"/>
      <c r="B838" s="89"/>
      <c r="C838" s="89"/>
      <c r="D838" s="90"/>
      <c r="E838" s="91"/>
      <c r="F838" s="91"/>
      <c r="G838" s="91"/>
      <c r="H838" s="91"/>
      <c r="I838" s="85"/>
      <c r="J838" s="85"/>
      <c r="K838" s="85"/>
      <c r="L838" s="85"/>
      <c r="M838" s="85"/>
      <c r="N838" s="85"/>
      <c r="O838" s="85"/>
      <c r="P838" s="85"/>
      <c r="Q838" s="85"/>
      <c r="R838" s="43"/>
      <c r="S838" s="43"/>
      <c r="T838" s="43"/>
      <c r="U838" s="43"/>
      <c r="V838" s="43"/>
      <c r="W838" s="43"/>
      <c r="X838" s="43"/>
      <c r="Y838" s="43"/>
      <c r="Z838" s="43"/>
    </row>
    <row r="839">
      <c r="A839" s="89"/>
      <c r="B839" s="89"/>
      <c r="C839" s="89"/>
      <c r="D839" s="90"/>
      <c r="E839" s="91"/>
      <c r="F839" s="91"/>
      <c r="G839" s="91"/>
      <c r="H839" s="91"/>
      <c r="I839" s="85"/>
      <c r="J839" s="85"/>
      <c r="K839" s="85"/>
      <c r="L839" s="85"/>
      <c r="M839" s="85"/>
      <c r="N839" s="85"/>
      <c r="O839" s="85"/>
      <c r="P839" s="85"/>
      <c r="Q839" s="85"/>
      <c r="R839" s="43"/>
      <c r="S839" s="43"/>
      <c r="T839" s="43"/>
      <c r="U839" s="43"/>
      <c r="V839" s="43"/>
      <c r="W839" s="43"/>
      <c r="X839" s="43"/>
      <c r="Y839" s="43"/>
      <c r="Z839" s="43"/>
    </row>
    <row r="840">
      <c r="A840" s="89"/>
      <c r="B840" s="89"/>
      <c r="C840" s="89"/>
      <c r="D840" s="90"/>
      <c r="E840" s="91"/>
      <c r="F840" s="91"/>
      <c r="G840" s="91"/>
      <c r="H840" s="91"/>
      <c r="I840" s="85"/>
      <c r="J840" s="85"/>
      <c r="K840" s="85"/>
      <c r="L840" s="85"/>
      <c r="M840" s="85"/>
      <c r="N840" s="85"/>
      <c r="O840" s="85"/>
      <c r="P840" s="85"/>
      <c r="Q840" s="85"/>
      <c r="R840" s="43"/>
      <c r="S840" s="43"/>
      <c r="T840" s="43"/>
      <c r="U840" s="43"/>
      <c r="V840" s="43"/>
      <c r="W840" s="43"/>
      <c r="X840" s="43"/>
      <c r="Y840" s="43"/>
      <c r="Z840" s="43"/>
    </row>
    <row r="841">
      <c r="A841" s="89"/>
      <c r="B841" s="89"/>
      <c r="C841" s="89"/>
      <c r="D841" s="90"/>
      <c r="E841" s="91"/>
      <c r="F841" s="91"/>
      <c r="G841" s="91"/>
      <c r="H841" s="91"/>
      <c r="I841" s="85"/>
      <c r="J841" s="85"/>
      <c r="K841" s="85"/>
      <c r="L841" s="85"/>
      <c r="M841" s="85"/>
      <c r="N841" s="85"/>
      <c r="O841" s="85"/>
      <c r="P841" s="85"/>
      <c r="Q841" s="85"/>
      <c r="R841" s="43"/>
      <c r="S841" s="43"/>
      <c r="T841" s="43"/>
      <c r="U841" s="43"/>
      <c r="V841" s="43"/>
      <c r="W841" s="43"/>
      <c r="X841" s="43"/>
      <c r="Y841" s="43"/>
      <c r="Z841" s="43"/>
    </row>
    <row r="842">
      <c r="A842" s="89"/>
      <c r="B842" s="89"/>
      <c r="C842" s="89"/>
      <c r="D842" s="90"/>
      <c r="E842" s="91"/>
      <c r="F842" s="91"/>
      <c r="G842" s="91"/>
      <c r="H842" s="91"/>
      <c r="I842" s="85"/>
      <c r="J842" s="85"/>
      <c r="K842" s="85"/>
      <c r="L842" s="85"/>
      <c r="M842" s="85"/>
      <c r="N842" s="85"/>
      <c r="O842" s="85"/>
      <c r="P842" s="85"/>
      <c r="Q842" s="85"/>
      <c r="R842" s="43"/>
      <c r="S842" s="43"/>
      <c r="T842" s="43"/>
      <c r="U842" s="43"/>
      <c r="V842" s="43"/>
      <c r="W842" s="43"/>
      <c r="X842" s="43"/>
      <c r="Y842" s="43"/>
      <c r="Z842" s="43"/>
    </row>
    <row r="843">
      <c r="A843" s="89"/>
      <c r="B843" s="89"/>
      <c r="C843" s="89"/>
      <c r="D843" s="90"/>
      <c r="E843" s="91"/>
      <c r="F843" s="91"/>
      <c r="G843" s="91"/>
      <c r="H843" s="91"/>
      <c r="I843" s="85"/>
      <c r="J843" s="85"/>
      <c r="K843" s="85"/>
      <c r="L843" s="85"/>
      <c r="M843" s="85"/>
      <c r="N843" s="85"/>
      <c r="O843" s="85"/>
      <c r="P843" s="85"/>
      <c r="Q843" s="85"/>
      <c r="R843" s="43"/>
      <c r="S843" s="43"/>
      <c r="T843" s="43"/>
      <c r="U843" s="43"/>
      <c r="V843" s="43"/>
      <c r="W843" s="43"/>
      <c r="X843" s="43"/>
      <c r="Y843" s="43"/>
      <c r="Z843" s="43"/>
    </row>
    <row r="844">
      <c r="A844" s="89"/>
      <c r="B844" s="89"/>
      <c r="C844" s="89"/>
      <c r="D844" s="90"/>
      <c r="E844" s="91"/>
      <c r="F844" s="91"/>
      <c r="G844" s="91"/>
      <c r="H844" s="91"/>
      <c r="I844" s="85"/>
      <c r="J844" s="85"/>
      <c r="K844" s="85"/>
      <c r="L844" s="85"/>
      <c r="M844" s="85"/>
      <c r="N844" s="85"/>
      <c r="O844" s="85"/>
      <c r="P844" s="85"/>
      <c r="Q844" s="85"/>
      <c r="R844" s="43"/>
      <c r="S844" s="43"/>
      <c r="T844" s="43"/>
      <c r="U844" s="43"/>
      <c r="V844" s="43"/>
      <c r="W844" s="43"/>
      <c r="X844" s="43"/>
      <c r="Y844" s="43"/>
      <c r="Z844" s="43"/>
    </row>
    <row r="845">
      <c r="A845" s="89"/>
      <c r="B845" s="89"/>
      <c r="C845" s="89"/>
      <c r="D845" s="90"/>
      <c r="E845" s="91"/>
      <c r="F845" s="91"/>
      <c r="G845" s="91"/>
      <c r="H845" s="91"/>
      <c r="I845" s="85"/>
      <c r="J845" s="85"/>
      <c r="K845" s="85"/>
      <c r="L845" s="85"/>
      <c r="M845" s="85"/>
      <c r="N845" s="85"/>
      <c r="O845" s="85"/>
      <c r="P845" s="85"/>
      <c r="Q845" s="85"/>
      <c r="R845" s="43"/>
      <c r="S845" s="43"/>
      <c r="T845" s="43"/>
      <c r="U845" s="43"/>
      <c r="V845" s="43"/>
      <c r="W845" s="43"/>
      <c r="X845" s="43"/>
      <c r="Y845" s="43"/>
      <c r="Z845" s="43"/>
    </row>
    <row r="846">
      <c r="A846" s="89"/>
      <c r="B846" s="89"/>
      <c r="C846" s="89"/>
      <c r="D846" s="90"/>
      <c r="E846" s="91"/>
      <c r="F846" s="91"/>
      <c r="G846" s="91"/>
      <c r="H846" s="91"/>
      <c r="I846" s="85"/>
      <c r="J846" s="85"/>
      <c r="K846" s="85"/>
      <c r="L846" s="85"/>
      <c r="M846" s="85"/>
      <c r="N846" s="85"/>
      <c r="O846" s="85"/>
      <c r="P846" s="85"/>
      <c r="Q846" s="85"/>
      <c r="R846" s="43"/>
      <c r="S846" s="43"/>
      <c r="T846" s="43"/>
      <c r="U846" s="43"/>
      <c r="V846" s="43"/>
      <c r="W846" s="43"/>
      <c r="X846" s="43"/>
      <c r="Y846" s="43"/>
      <c r="Z846" s="43"/>
    </row>
    <row r="847">
      <c r="A847" s="89"/>
      <c r="B847" s="89"/>
      <c r="C847" s="89"/>
      <c r="D847" s="90"/>
      <c r="E847" s="91"/>
      <c r="F847" s="91"/>
      <c r="G847" s="91"/>
      <c r="H847" s="91"/>
      <c r="I847" s="85"/>
      <c r="J847" s="85"/>
      <c r="K847" s="85"/>
      <c r="L847" s="85"/>
      <c r="M847" s="85"/>
      <c r="N847" s="85"/>
      <c r="O847" s="85"/>
      <c r="P847" s="85"/>
      <c r="Q847" s="85"/>
      <c r="R847" s="43"/>
      <c r="S847" s="43"/>
      <c r="T847" s="43"/>
      <c r="U847" s="43"/>
      <c r="V847" s="43"/>
      <c r="W847" s="43"/>
      <c r="X847" s="43"/>
      <c r="Y847" s="43"/>
      <c r="Z847" s="43"/>
    </row>
    <row r="848">
      <c r="A848" s="89"/>
      <c r="B848" s="89"/>
      <c r="C848" s="89"/>
      <c r="D848" s="90"/>
      <c r="E848" s="91"/>
      <c r="F848" s="91"/>
      <c r="G848" s="91"/>
      <c r="H848" s="91"/>
      <c r="I848" s="85"/>
      <c r="J848" s="85"/>
      <c r="K848" s="85"/>
      <c r="L848" s="85"/>
      <c r="M848" s="85"/>
      <c r="N848" s="85"/>
      <c r="O848" s="85"/>
      <c r="P848" s="85"/>
      <c r="Q848" s="85"/>
      <c r="R848" s="43"/>
      <c r="S848" s="43"/>
      <c r="T848" s="43"/>
      <c r="U848" s="43"/>
      <c r="V848" s="43"/>
      <c r="W848" s="43"/>
      <c r="X848" s="43"/>
      <c r="Y848" s="43"/>
      <c r="Z848" s="43"/>
    </row>
    <row r="849">
      <c r="A849" s="89"/>
      <c r="B849" s="89"/>
      <c r="C849" s="89"/>
      <c r="D849" s="90"/>
      <c r="E849" s="91"/>
      <c r="F849" s="91"/>
      <c r="G849" s="91"/>
      <c r="H849" s="91"/>
      <c r="I849" s="85"/>
      <c r="J849" s="85"/>
      <c r="K849" s="85"/>
      <c r="L849" s="85"/>
      <c r="M849" s="85"/>
      <c r="N849" s="85"/>
      <c r="O849" s="85"/>
      <c r="P849" s="85"/>
      <c r="Q849" s="85"/>
      <c r="R849" s="43"/>
      <c r="S849" s="43"/>
      <c r="T849" s="43"/>
      <c r="U849" s="43"/>
      <c r="V849" s="43"/>
      <c r="W849" s="43"/>
      <c r="X849" s="43"/>
      <c r="Y849" s="43"/>
      <c r="Z849" s="43"/>
    </row>
    <row r="850">
      <c r="A850" s="89"/>
      <c r="B850" s="89"/>
      <c r="C850" s="89"/>
      <c r="D850" s="90"/>
      <c r="E850" s="91"/>
      <c r="F850" s="91"/>
      <c r="G850" s="91"/>
      <c r="H850" s="91"/>
      <c r="I850" s="85"/>
      <c r="J850" s="85"/>
      <c r="K850" s="85"/>
      <c r="L850" s="85"/>
      <c r="M850" s="85"/>
      <c r="N850" s="85"/>
      <c r="O850" s="85"/>
      <c r="P850" s="85"/>
      <c r="Q850" s="85"/>
      <c r="R850" s="43"/>
      <c r="S850" s="43"/>
      <c r="T850" s="43"/>
      <c r="U850" s="43"/>
      <c r="V850" s="43"/>
      <c r="W850" s="43"/>
      <c r="X850" s="43"/>
      <c r="Y850" s="43"/>
      <c r="Z850" s="43"/>
    </row>
    <row r="851">
      <c r="A851" s="89"/>
      <c r="B851" s="89"/>
      <c r="C851" s="89"/>
      <c r="D851" s="90"/>
      <c r="E851" s="91"/>
      <c r="F851" s="91"/>
      <c r="G851" s="91"/>
      <c r="H851" s="91"/>
      <c r="I851" s="85"/>
      <c r="J851" s="85"/>
      <c r="K851" s="85"/>
      <c r="L851" s="85"/>
      <c r="M851" s="85"/>
      <c r="N851" s="85"/>
      <c r="O851" s="85"/>
      <c r="P851" s="85"/>
      <c r="Q851" s="85"/>
      <c r="R851" s="43"/>
      <c r="S851" s="43"/>
      <c r="T851" s="43"/>
      <c r="U851" s="43"/>
      <c r="V851" s="43"/>
      <c r="W851" s="43"/>
      <c r="X851" s="43"/>
      <c r="Y851" s="43"/>
      <c r="Z851" s="43"/>
    </row>
    <row r="852">
      <c r="A852" s="89"/>
      <c r="B852" s="89"/>
      <c r="C852" s="89"/>
      <c r="D852" s="90"/>
      <c r="E852" s="91"/>
      <c r="F852" s="91"/>
      <c r="G852" s="91"/>
      <c r="H852" s="91"/>
      <c r="I852" s="85"/>
      <c r="J852" s="85"/>
      <c r="K852" s="85"/>
      <c r="L852" s="85"/>
      <c r="M852" s="85"/>
      <c r="N852" s="85"/>
      <c r="O852" s="85"/>
      <c r="P852" s="85"/>
      <c r="Q852" s="85"/>
      <c r="R852" s="43"/>
      <c r="S852" s="43"/>
      <c r="T852" s="43"/>
      <c r="U852" s="43"/>
      <c r="V852" s="43"/>
      <c r="W852" s="43"/>
      <c r="X852" s="43"/>
      <c r="Y852" s="43"/>
      <c r="Z852" s="43"/>
    </row>
    <row r="853">
      <c r="A853" s="89"/>
      <c r="B853" s="89"/>
      <c r="C853" s="89"/>
      <c r="D853" s="90"/>
      <c r="E853" s="91"/>
      <c r="F853" s="91"/>
      <c r="G853" s="91"/>
      <c r="H853" s="91"/>
      <c r="I853" s="85"/>
      <c r="J853" s="85"/>
      <c r="K853" s="85"/>
      <c r="L853" s="85"/>
      <c r="M853" s="85"/>
      <c r="N853" s="85"/>
      <c r="O853" s="85"/>
      <c r="P853" s="85"/>
      <c r="Q853" s="85"/>
      <c r="R853" s="43"/>
      <c r="S853" s="43"/>
      <c r="T853" s="43"/>
      <c r="U853" s="43"/>
      <c r="V853" s="43"/>
      <c r="W853" s="43"/>
      <c r="X853" s="43"/>
      <c r="Y853" s="43"/>
      <c r="Z853" s="43"/>
    </row>
    <row r="854">
      <c r="A854" s="89"/>
      <c r="B854" s="89"/>
      <c r="C854" s="89"/>
      <c r="D854" s="90"/>
      <c r="E854" s="91"/>
      <c r="F854" s="91"/>
      <c r="G854" s="91"/>
      <c r="H854" s="91"/>
      <c r="I854" s="85"/>
      <c r="J854" s="85"/>
      <c r="K854" s="85"/>
      <c r="L854" s="85"/>
      <c r="M854" s="85"/>
      <c r="N854" s="85"/>
      <c r="O854" s="85"/>
      <c r="P854" s="85"/>
      <c r="Q854" s="85"/>
      <c r="R854" s="43"/>
      <c r="S854" s="43"/>
      <c r="T854" s="43"/>
      <c r="U854" s="43"/>
      <c r="V854" s="43"/>
      <c r="W854" s="43"/>
      <c r="X854" s="43"/>
      <c r="Y854" s="43"/>
      <c r="Z854" s="43"/>
    </row>
    <row r="855">
      <c r="A855" s="89"/>
      <c r="B855" s="89"/>
      <c r="C855" s="89"/>
      <c r="D855" s="90"/>
      <c r="E855" s="91"/>
      <c r="F855" s="91"/>
      <c r="G855" s="91"/>
      <c r="H855" s="91"/>
      <c r="I855" s="85"/>
      <c r="J855" s="85"/>
      <c r="K855" s="85"/>
      <c r="L855" s="85"/>
      <c r="M855" s="85"/>
      <c r="N855" s="85"/>
      <c r="O855" s="85"/>
      <c r="P855" s="85"/>
      <c r="Q855" s="85"/>
      <c r="R855" s="43"/>
      <c r="S855" s="43"/>
      <c r="T855" s="43"/>
      <c r="U855" s="43"/>
      <c r="V855" s="43"/>
      <c r="W855" s="43"/>
      <c r="X855" s="43"/>
      <c r="Y855" s="43"/>
      <c r="Z855" s="43"/>
    </row>
    <row r="856">
      <c r="A856" s="89"/>
      <c r="B856" s="89"/>
      <c r="C856" s="89"/>
      <c r="D856" s="90"/>
      <c r="E856" s="91"/>
      <c r="F856" s="91"/>
      <c r="G856" s="91"/>
      <c r="H856" s="91"/>
      <c r="I856" s="85"/>
      <c r="J856" s="85"/>
      <c r="K856" s="85"/>
      <c r="L856" s="85"/>
      <c r="M856" s="85"/>
      <c r="N856" s="85"/>
      <c r="O856" s="85"/>
      <c r="P856" s="85"/>
      <c r="Q856" s="85"/>
      <c r="R856" s="43"/>
      <c r="S856" s="43"/>
      <c r="T856" s="43"/>
      <c r="U856" s="43"/>
      <c r="V856" s="43"/>
      <c r="W856" s="43"/>
      <c r="X856" s="43"/>
      <c r="Y856" s="43"/>
      <c r="Z856" s="43"/>
    </row>
    <row r="857">
      <c r="A857" s="89"/>
      <c r="B857" s="89"/>
      <c r="C857" s="89"/>
      <c r="D857" s="90"/>
      <c r="E857" s="91"/>
      <c r="F857" s="91"/>
      <c r="G857" s="91"/>
      <c r="H857" s="91"/>
      <c r="I857" s="85"/>
      <c r="J857" s="85"/>
      <c r="K857" s="85"/>
      <c r="L857" s="85"/>
      <c r="M857" s="85"/>
      <c r="N857" s="85"/>
      <c r="O857" s="85"/>
      <c r="P857" s="85"/>
      <c r="Q857" s="85"/>
      <c r="R857" s="43"/>
      <c r="S857" s="43"/>
      <c r="T857" s="43"/>
      <c r="U857" s="43"/>
      <c r="V857" s="43"/>
      <c r="W857" s="43"/>
      <c r="X857" s="43"/>
      <c r="Y857" s="43"/>
      <c r="Z857" s="43"/>
    </row>
    <row r="858">
      <c r="A858" s="89"/>
      <c r="B858" s="89"/>
      <c r="C858" s="89"/>
      <c r="D858" s="90"/>
      <c r="E858" s="91"/>
      <c r="F858" s="91"/>
      <c r="G858" s="91"/>
      <c r="H858" s="91"/>
      <c r="I858" s="85"/>
      <c r="J858" s="85"/>
      <c r="K858" s="85"/>
      <c r="L858" s="85"/>
      <c r="M858" s="85"/>
      <c r="N858" s="85"/>
      <c r="O858" s="85"/>
      <c r="P858" s="85"/>
      <c r="Q858" s="85"/>
      <c r="R858" s="43"/>
      <c r="S858" s="43"/>
      <c r="T858" s="43"/>
      <c r="U858" s="43"/>
      <c r="V858" s="43"/>
      <c r="W858" s="43"/>
      <c r="X858" s="43"/>
      <c r="Y858" s="43"/>
      <c r="Z858" s="43"/>
    </row>
    <row r="859">
      <c r="A859" s="89"/>
      <c r="B859" s="89"/>
      <c r="C859" s="89"/>
      <c r="D859" s="90"/>
      <c r="E859" s="91"/>
      <c r="F859" s="91"/>
      <c r="G859" s="91"/>
      <c r="H859" s="91"/>
      <c r="I859" s="85"/>
      <c r="J859" s="85"/>
      <c r="K859" s="85"/>
      <c r="L859" s="85"/>
      <c r="M859" s="85"/>
      <c r="N859" s="85"/>
      <c r="O859" s="85"/>
      <c r="P859" s="85"/>
      <c r="Q859" s="85"/>
      <c r="R859" s="43"/>
      <c r="S859" s="43"/>
      <c r="T859" s="43"/>
      <c r="U859" s="43"/>
      <c r="V859" s="43"/>
      <c r="W859" s="43"/>
      <c r="X859" s="43"/>
      <c r="Y859" s="43"/>
      <c r="Z859" s="43"/>
    </row>
    <row r="860">
      <c r="A860" s="89"/>
      <c r="B860" s="89"/>
      <c r="C860" s="89"/>
      <c r="D860" s="90"/>
      <c r="E860" s="91"/>
      <c r="F860" s="91"/>
      <c r="G860" s="91"/>
      <c r="H860" s="91"/>
      <c r="I860" s="85"/>
      <c r="J860" s="85"/>
      <c r="K860" s="85"/>
      <c r="L860" s="85"/>
      <c r="M860" s="85"/>
      <c r="N860" s="85"/>
      <c r="O860" s="85"/>
      <c r="P860" s="85"/>
      <c r="Q860" s="85"/>
      <c r="R860" s="43"/>
      <c r="S860" s="43"/>
      <c r="T860" s="43"/>
      <c r="U860" s="43"/>
      <c r="V860" s="43"/>
      <c r="W860" s="43"/>
      <c r="X860" s="43"/>
      <c r="Y860" s="43"/>
      <c r="Z860" s="43"/>
    </row>
    <row r="861">
      <c r="A861" s="89"/>
      <c r="B861" s="89"/>
      <c r="C861" s="89"/>
      <c r="D861" s="90"/>
      <c r="E861" s="91"/>
      <c r="F861" s="91"/>
      <c r="G861" s="91"/>
      <c r="H861" s="91"/>
      <c r="I861" s="85"/>
      <c r="J861" s="85"/>
      <c r="K861" s="85"/>
      <c r="L861" s="85"/>
      <c r="M861" s="85"/>
      <c r="N861" s="85"/>
      <c r="O861" s="85"/>
      <c r="P861" s="85"/>
      <c r="Q861" s="85"/>
      <c r="R861" s="43"/>
      <c r="S861" s="43"/>
      <c r="T861" s="43"/>
      <c r="U861" s="43"/>
      <c r="V861" s="43"/>
      <c r="W861" s="43"/>
      <c r="X861" s="43"/>
      <c r="Y861" s="43"/>
      <c r="Z861" s="43"/>
    </row>
    <row r="862">
      <c r="A862" s="89"/>
      <c r="B862" s="89"/>
      <c r="C862" s="89"/>
      <c r="D862" s="90"/>
      <c r="E862" s="91"/>
      <c r="F862" s="91"/>
      <c r="G862" s="91"/>
      <c r="H862" s="91"/>
      <c r="I862" s="85"/>
      <c r="J862" s="85"/>
      <c r="K862" s="85"/>
      <c r="L862" s="85"/>
      <c r="M862" s="85"/>
      <c r="N862" s="85"/>
      <c r="O862" s="85"/>
      <c r="P862" s="85"/>
      <c r="Q862" s="85"/>
      <c r="R862" s="43"/>
      <c r="S862" s="43"/>
      <c r="T862" s="43"/>
      <c r="U862" s="43"/>
      <c r="V862" s="43"/>
      <c r="W862" s="43"/>
      <c r="X862" s="43"/>
      <c r="Y862" s="43"/>
      <c r="Z862" s="43"/>
    </row>
    <row r="863">
      <c r="A863" s="89"/>
      <c r="B863" s="89"/>
      <c r="C863" s="89"/>
      <c r="D863" s="90"/>
      <c r="E863" s="91"/>
      <c r="F863" s="91"/>
      <c r="G863" s="91"/>
      <c r="H863" s="91"/>
      <c r="I863" s="85"/>
      <c r="J863" s="85"/>
      <c r="K863" s="85"/>
      <c r="L863" s="85"/>
      <c r="M863" s="85"/>
      <c r="N863" s="85"/>
      <c r="O863" s="85"/>
      <c r="P863" s="85"/>
      <c r="Q863" s="85"/>
      <c r="R863" s="43"/>
      <c r="S863" s="43"/>
      <c r="T863" s="43"/>
      <c r="U863" s="43"/>
      <c r="V863" s="43"/>
      <c r="W863" s="43"/>
      <c r="X863" s="43"/>
      <c r="Y863" s="43"/>
      <c r="Z863" s="43"/>
    </row>
    <row r="864">
      <c r="A864" s="89"/>
      <c r="B864" s="89"/>
      <c r="C864" s="89"/>
      <c r="D864" s="90"/>
      <c r="E864" s="91"/>
      <c r="F864" s="91"/>
      <c r="G864" s="91"/>
      <c r="H864" s="91"/>
      <c r="I864" s="85"/>
      <c r="J864" s="85"/>
      <c r="K864" s="85"/>
      <c r="L864" s="85"/>
      <c r="M864" s="85"/>
      <c r="N864" s="85"/>
      <c r="O864" s="85"/>
      <c r="P864" s="85"/>
      <c r="Q864" s="85"/>
      <c r="R864" s="43"/>
      <c r="S864" s="43"/>
      <c r="T864" s="43"/>
      <c r="U864" s="43"/>
      <c r="V864" s="43"/>
      <c r="W864" s="43"/>
      <c r="X864" s="43"/>
      <c r="Y864" s="43"/>
      <c r="Z864" s="43"/>
    </row>
    <row r="865">
      <c r="A865" s="89"/>
      <c r="B865" s="89"/>
      <c r="C865" s="89"/>
      <c r="D865" s="90"/>
      <c r="E865" s="91"/>
      <c r="F865" s="91"/>
      <c r="G865" s="91"/>
      <c r="H865" s="91"/>
      <c r="I865" s="85"/>
      <c r="J865" s="85"/>
      <c r="K865" s="85"/>
      <c r="L865" s="85"/>
      <c r="M865" s="85"/>
      <c r="N865" s="85"/>
      <c r="O865" s="85"/>
      <c r="P865" s="85"/>
      <c r="Q865" s="85"/>
      <c r="R865" s="43"/>
      <c r="S865" s="43"/>
      <c r="T865" s="43"/>
      <c r="U865" s="43"/>
      <c r="V865" s="43"/>
      <c r="W865" s="43"/>
      <c r="X865" s="43"/>
      <c r="Y865" s="43"/>
      <c r="Z865" s="43"/>
    </row>
    <row r="866">
      <c r="A866" s="89"/>
      <c r="B866" s="89"/>
      <c r="C866" s="89"/>
      <c r="D866" s="90"/>
      <c r="E866" s="91"/>
      <c r="F866" s="91"/>
      <c r="G866" s="91"/>
      <c r="H866" s="91"/>
      <c r="I866" s="85"/>
      <c r="J866" s="85"/>
      <c r="K866" s="85"/>
      <c r="L866" s="85"/>
      <c r="M866" s="85"/>
      <c r="N866" s="85"/>
      <c r="O866" s="85"/>
      <c r="P866" s="85"/>
      <c r="Q866" s="85"/>
      <c r="R866" s="43"/>
      <c r="S866" s="43"/>
      <c r="T866" s="43"/>
      <c r="U866" s="43"/>
      <c r="V866" s="43"/>
      <c r="W866" s="43"/>
      <c r="X866" s="43"/>
      <c r="Y866" s="43"/>
      <c r="Z866" s="43"/>
    </row>
    <row r="867">
      <c r="A867" s="89"/>
      <c r="B867" s="89"/>
      <c r="C867" s="89"/>
      <c r="D867" s="90"/>
      <c r="E867" s="91"/>
      <c r="F867" s="91"/>
      <c r="G867" s="91"/>
      <c r="H867" s="91"/>
      <c r="I867" s="85"/>
      <c r="J867" s="85"/>
      <c r="K867" s="85"/>
      <c r="L867" s="85"/>
      <c r="M867" s="85"/>
      <c r="N867" s="85"/>
      <c r="O867" s="85"/>
      <c r="P867" s="85"/>
      <c r="Q867" s="85"/>
      <c r="R867" s="43"/>
      <c r="S867" s="43"/>
      <c r="T867" s="43"/>
      <c r="U867" s="43"/>
      <c r="V867" s="43"/>
      <c r="W867" s="43"/>
      <c r="X867" s="43"/>
      <c r="Y867" s="43"/>
      <c r="Z867" s="43"/>
    </row>
    <row r="868">
      <c r="A868" s="89"/>
      <c r="B868" s="89"/>
      <c r="C868" s="89"/>
      <c r="D868" s="90"/>
      <c r="E868" s="91"/>
      <c r="F868" s="91"/>
      <c r="G868" s="91"/>
      <c r="H868" s="91"/>
      <c r="I868" s="85"/>
      <c r="J868" s="85"/>
      <c r="K868" s="85"/>
      <c r="L868" s="85"/>
      <c r="M868" s="85"/>
      <c r="N868" s="85"/>
      <c r="O868" s="85"/>
      <c r="P868" s="85"/>
      <c r="Q868" s="85"/>
      <c r="R868" s="43"/>
      <c r="S868" s="43"/>
      <c r="T868" s="43"/>
      <c r="U868" s="43"/>
      <c r="V868" s="43"/>
      <c r="W868" s="43"/>
      <c r="X868" s="43"/>
      <c r="Y868" s="43"/>
      <c r="Z868" s="43"/>
    </row>
    <row r="869">
      <c r="A869" s="89"/>
      <c r="B869" s="89"/>
      <c r="C869" s="89"/>
      <c r="D869" s="90"/>
      <c r="E869" s="91"/>
      <c r="F869" s="91"/>
      <c r="G869" s="91"/>
      <c r="H869" s="91"/>
      <c r="I869" s="85"/>
      <c r="J869" s="85"/>
      <c r="K869" s="85"/>
      <c r="L869" s="85"/>
      <c r="M869" s="85"/>
      <c r="N869" s="85"/>
      <c r="O869" s="85"/>
      <c r="P869" s="85"/>
      <c r="Q869" s="85"/>
      <c r="R869" s="43"/>
      <c r="S869" s="43"/>
      <c r="T869" s="43"/>
      <c r="U869" s="43"/>
      <c r="V869" s="43"/>
      <c r="W869" s="43"/>
      <c r="X869" s="43"/>
      <c r="Y869" s="43"/>
      <c r="Z869" s="43"/>
    </row>
    <row r="870">
      <c r="A870" s="89"/>
      <c r="B870" s="89"/>
      <c r="C870" s="89"/>
      <c r="D870" s="90"/>
      <c r="E870" s="91"/>
      <c r="F870" s="91"/>
      <c r="G870" s="91"/>
      <c r="H870" s="91"/>
      <c r="I870" s="85"/>
      <c r="J870" s="85"/>
      <c r="K870" s="85"/>
      <c r="L870" s="85"/>
      <c r="M870" s="85"/>
      <c r="N870" s="85"/>
      <c r="O870" s="85"/>
      <c r="P870" s="85"/>
      <c r="Q870" s="85"/>
      <c r="R870" s="43"/>
      <c r="S870" s="43"/>
      <c r="T870" s="43"/>
      <c r="U870" s="43"/>
      <c r="V870" s="43"/>
      <c r="W870" s="43"/>
      <c r="X870" s="43"/>
      <c r="Y870" s="43"/>
      <c r="Z870" s="43"/>
    </row>
    <row r="871">
      <c r="A871" s="89"/>
      <c r="B871" s="89"/>
      <c r="C871" s="89"/>
      <c r="D871" s="90"/>
      <c r="E871" s="91"/>
      <c r="F871" s="91"/>
      <c r="G871" s="91"/>
      <c r="H871" s="91"/>
      <c r="I871" s="85"/>
      <c r="J871" s="85"/>
      <c r="K871" s="85"/>
      <c r="L871" s="85"/>
      <c r="M871" s="85"/>
      <c r="N871" s="85"/>
      <c r="O871" s="85"/>
      <c r="P871" s="85"/>
      <c r="Q871" s="85"/>
      <c r="R871" s="43"/>
      <c r="S871" s="43"/>
      <c r="T871" s="43"/>
      <c r="U871" s="43"/>
      <c r="V871" s="43"/>
      <c r="W871" s="43"/>
      <c r="X871" s="43"/>
      <c r="Y871" s="43"/>
      <c r="Z871" s="43"/>
    </row>
    <row r="872">
      <c r="A872" s="89"/>
      <c r="B872" s="89"/>
      <c r="C872" s="89"/>
      <c r="D872" s="90"/>
      <c r="E872" s="91"/>
      <c r="F872" s="91"/>
      <c r="G872" s="91"/>
      <c r="H872" s="91"/>
      <c r="I872" s="85"/>
      <c r="J872" s="85"/>
      <c r="K872" s="85"/>
      <c r="L872" s="85"/>
      <c r="M872" s="85"/>
      <c r="N872" s="85"/>
      <c r="O872" s="85"/>
      <c r="P872" s="85"/>
      <c r="Q872" s="85"/>
      <c r="R872" s="43"/>
      <c r="S872" s="43"/>
      <c r="T872" s="43"/>
      <c r="U872" s="43"/>
      <c r="V872" s="43"/>
      <c r="W872" s="43"/>
      <c r="X872" s="43"/>
      <c r="Y872" s="43"/>
      <c r="Z872" s="43"/>
    </row>
    <row r="873">
      <c r="A873" s="89"/>
      <c r="B873" s="89"/>
      <c r="C873" s="89"/>
      <c r="D873" s="90"/>
      <c r="E873" s="91"/>
      <c r="F873" s="91"/>
      <c r="G873" s="91"/>
      <c r="H873" s="91"/>
      <c r="I873" s="85"/>
      <c r="J873" s="85"/>
      <c r="K873" s="85"/>
      <c r="L873" s="85"/>
      <c r="M873" s="85"/>
      <c r="N873" s="85"/>
      <c r="O873" s="85"/>
      <c r="P873" s="85"/>
      <c r="Q873" s="85"/>
      <c r="R873" s="43"/>
      <c r="S873" s="43"/>
      <c r="T873" s="43"/>
      <c r="U873" s="43"/>
      <c r="V873" s="43"/>
      <c r="W873" s="43"/>
      <c r="X873" s="43"/>
      <c r="Y873" s="43"/>
      <c r="Z873" s="43"/>
    </row>
    <row r="874">
      <c r="A874" s="89"/>
      <c r="B874" s="89"/>
      <c r="C874" s="89"/>
      <c r="D874" s="90"/>
      <c r="E874" s="91"/>
      <c r="F874" s="91"/>
      <c r="G874" s="91"/>
      <c r="H874" s="91"/>
      <c r="I874" s="85"/>
      <c r="J874" s="85"/>
      <c r="K874" s="85"/>
      <c r="L874" s="85"/>
      <c r="M874" s="85"/>
      <c r="N874" s="85"/>
      <c r="O874" s="85"/>
      <c r="P874" s="85"/>
      <c r="Q874" s="85"/>
      <c r="R874" s="43"/>
      <c r="S874" s="43"/>
      <c r="T874" s="43"/>
      <c r="U874" s="43"/>
      <c r="V874" s="43"/>
      <c r="W874" s="43"/>
      <c r="X874" s="43"/>
      <c r="Y874" s="43"/>
      <c r="Z874" s="43"/>
    </row>
    <row r="875">
      <c r="A875" s="89"/>
      <c r="B875" s="89"/>
      <c r="C875" s="89"/>
      <c r="D875" s="90"/>
      <c r="E875" s="91"/>
      <c r="F875" s="91"/>
      <c r="G875" s="91"/>
      <c r="H875" s="91"/>
      <c r="I875" s="85"/>
      <c r="J875" s="85"/>
      <c r="K875" s="85"/>
      <c r="L875" s="85"/>
      <c r="M875" s="85"/>
      <c r="N875" s="85"/>
      <c r="O875" s="85"/>
      <c r="P875" s="85"/>
      <c r="Q875" s="85"/>
      <c r="R875" s="43"/>
      <c r="S875" s="43"/>
      <c r="T875" s="43"/>
      <c r="U875" s="43"/>
      <c r="V875" s="43"/>
      <c r="W875" s="43"/>
      <c r="X875" s="43"/>
      <c r="Y875" s="43"/>
      <c r="Z875" s="43"/>
    </row>
    <row r="876">
      <c r="A876" s="89"/>
      <c r="B876" s="89"/>
      <c r="C876" s="89"/>
      <c r="D876" s="90"/>
      <c r="E876" s="91"/>
      <c r="F876" s="91"/>
      <c r="G876" s="91"/>
      <c r="H876" s="91"/>
      <c r="I876" s="85"/>
      <c r="J876" s="85"/>
      <c r="K876" s="85"/>
      <c r="L876" s="85"/>
      <c r="M876" s="85"/>
      <c r="N876" s="85"/>
      <c r="O876" s="85"/>
      <c r="P876" s="85"/>
      <c r="Q876" s="85"/>
      <c r="R876" s="43"/>
      <c r="S876" s="43"/>
      <c r="T876" s="43"/>
      <c r="U876" s="43"/>
      <c r="V876" s="43"/>
      <c r="W876" s="43"/>
      <c r="X876" s="43"/>
      <c r="Y876" s="43"/>
      <c r="Z876" s="43"/>
    </row>
    <row r="877">
      <c r="A877" s="89"/>
      <c r="B877" s="89"/>
      <c r="C877" s="89"/>
      <c r="D877" s="90"/>
      <c r="E877" s="91"/>
      <c r="F877" s="91"/>
      <c r="G877" s="91"/>
      <c r="H877" s="91"/>
      <c r="I877" s="85"/>
      <c r="J877" s="85"/>
      <c r="K877" s="85"/>
      <c r="L877" s="85"/>
      <c r="M877" s="85"/>
      <c r="N877" s="85"/>
      <c r="O877" s="85"/>
      <c r="P877" s="85"/>
      <c r="Q877" s="85"/>
      <c r="R877" s="43"/>
      <c r="S877" s="43"/>
      <c r="T877" s="43"/>
      <c r="U877" s="43"/>
      <c r="V877" s="43"/>
      <c r="W877" s="43"/>
      <c r="X877" s="43"/>
      <c r="Y877" s="43"/>
      <c r="Z877" s="43"/>
    </row>
    <row r="878">
      <c r="A878" s="89"/>
      <c r="B878" s="89"/>
      <c r="C878" s="89"/>
      <c r="D878" s="90"/>
      <c r="E878" s="91"/>
      <c r="F878" s="91"/>
      <c r="G878" s="91"/>
      <c r="H878" s="91"/>
      <c r="I878" s="85"/>
      <c r="J878" s="85"/>
      <c r="K878" s="85"/>
      <c r="L878" s="85"/>
      <c r="M878" s="85"/>
      <c r="N878" s="85"/>
      <c r="O878" s="85"/>
      <c r="P878" s="85"/>
      <c r="Q878" s="85"/>
      <c r="R878" s="43"/>
      <c r="S878" s="43"/>
      <c r="T878" s="43"/>
      <c r="U878" s="43"/>
      <c r="V878" s="43"/>
      <c r="W878" s="43"/>
      <c r="X878" s="43"/>
      <c r="Y878" s="43"/>
      <c r="Z878" s="43"/>
    </row>
    <row r="879">
      <c r="A879" s="89"/>
      <c r="B879" s="89"/>
      <c r="C879" s="89"/>
      <c r="D879" s="90"/>
      <c r="E879" s="91"/>
      <c r="F879" s="91"/>
      <c r="G879" s="91"/>
      <c r="H879" s="91"/>
      <c r="I879" s="85"/>
      <c r="J879" s="85"/>
      <c r="K879" s="85"/>
      <c r="L879" s="85"/>
      <c r="M879" s="85"/>
      <c r="N879" s="85"/>
      <c r="O879" s="85"/>
      <c r="P879" s="85"/>
      <c r="Q879" s="85"/>
      <c r="R879" s="43"/>
      <c r="S879" s="43"/>
      <c r="T879" s="43"/>
      <c r="U879" s="43"/>
      <c r="V879" s="43"/>
      <c r="W879" s="43"/>
      <c r="X879" s="43"/>
      <c r="Y879" s="43"/>
      <c r="Z879" s="43"/>
    </row>
    <row r="880">
      <c r="A880" s="89"/>
      <c r="B880" s="89"/>
      <c r="C880" s="89"/>
      <c r="D880" s="90"/>
      <c r="E880" s="91"/>
      <c r="F880" s="91"/>
      <c r="G880" s="91"/>
      <c r="H880" s="91"/>
      <c r="I880" s="85"/>
      <c r="J880" s="85"/>
      <c r="K880" s="85"/>
      <c r="L880" s="85"/>
      <c r="M880" s="85"/>
      <c r="N880" s="85"/>
      <c r="O880" s="85"/>
      <c r="P880" s="85"/>
      <c r="Q880" s="85"/>
      <c r="R880" s="43"/>
      <c r="S880" s="43"/>
      <c r="T880" s="43"/>
      <c r="U880" s="43"/>
      <c r="V880" s="43"/>
      <c r="W880" s="43"/>
      <c r="X880" s="43"/>
      <c r="Y880" s="43"/>
      <c r="Z880" s="43"/>
    </row>
    <row r="881">
      <c r="A881" s="89"/>
      <c r="B881" s="89"/>
      <c r="C881" s="89"/>
      <c r="D881" s="90"/>
      <c r="E881" s="91"/>
      <c r="F881" s="91"/>
      <c r="G881" s="91"/>
      <c r="H881" s="91"/>
      <c r="I881" s="85"/>
      <c r="J881" s="85"/>
      <c r="K881" s="85"/>
      <c r="L881" s="85"/>
      <c r="M881" s="85"/>
      <c r="N881" s="85"/>
      <c r="O881" s="85"/>
      <c r="P881" s="85"/>
      <c r="Q881" s="85"/>
      <c r="R881" s="43"/>
      <c r="S881" s="43"/>
      <c r="T881" s="43"/>
      <c r="U881" s="43"/>
      <c r="V881" s="43"/>
      <c r="W881" s="43"/>
      <c r="X881" s="43"/>
      <c r="Y881" s="43"/>
      <c r="Z881" s="43"/>
    </row>
    <row r="882">
      <c r="A882" s="89"/>
      <c r="B882" s="89"/>
      <c r="C882" s="89"/>
      <c r="D882" s="90"/>
      <c r="E882" s="91"/>
      <c r="F882" s="91"/>
      <c r="G882" s="91"/>
      <c r="H882" s="91"/>
      <c r="I882" s="85"/>
      <c r="J882" s="85"/>
      <c r="K882" s="85"/>
      <c r="L882" s="85"/>
      <c r="M882" s="85"/>
      <c r="N882" s="85"/>
      <c r="O882" s="85"/>
      <c r="P882" s="85"/>
      <c r="Q882" s="85"/>
      <c r="R882" s="43"/>
      <c r="S882" s="43"/>
      <c r="T882" s="43"/>
      <c r="U882" s="43"/>
      <c r="V882" s="43"/>
      <c r="W882" s="43"/>
      <c r="X882" s="43"/>
      <c r="Y882" s="43"/>
      <c r="Z882" s="43"/>
    </row>
    <row r="883">
      <c r="A883" s="89"/>
      <c r="B883" s="89"/>
      <c r="C883" s="89"/>
      <c r="D883" s="90"/>
      <c r="E883" s="91"/>
      <c r="F883" s="91"/>
      <c r="G883" s="91"/>
      <c r="H883" s="91"/>
      <c r="I883" s="85"/>
      <c r="J883" s="85"/>
      <c r="K883" s="85"/>
      <c r="L883" s="85"/>
      <c r="M883" s="85"/>
      <c r="N883" s="85"/>
      <c r="O883" s="85"/>
      <c r="P883" s="85"/>
      <c r="Q883" s="85"/>
      <c r="R883" s="43"/>
      <c r="S883" s="43"/>
      <c r="T883" s="43"/>
      <c r="U883" s="43"/>
      <c r="V883" s="43"/>
      <c r="W883" s="43"/>
      <c r="X883" s="43"/>
      <c r="Y883" s="43"/>
      <c r="Z883" s="43"/>
    </row>
    <row r="884">
      <c r="A884" s="89"/>
      <c r="B884" s="89"/>
      <c r="C884" s="89"/>
      <c r="D884" s="90"/>
      <c r="E884" s="91"/>
      <c r="F884" s="91"/>
      <c r="G884" s="91"/>
      <c r="H884" s="91"/>
      <c r="I884" s="85"/>
      <c r="J884" s="85"/>
      <c r="K884" s="85"/>
      <c r="L884" s="85"/>
      <c r="M884" s="85"/>
      <c r="N884" s="85"/>
      <c r="O884" s="85"/>
      <c r="P884" s="85"/>
      <c r="Q884" s="85"/>
      <c r="R884" s="43"/>
      <c r="S884" s="43"/>
      <c r="T884" s="43"/>
      <c r="U884" s="43"/>
      <c r="V884" s="43"/>
      <c r="W884" s="43"/>
      <c r="X884" s="43"/>
      <c r="Y884" s="43"/>
      <c r="Z884" s="43"/>
    </row>
    <row r="885">
      <c r="A885" s="89"/>
      <c r="B885" s="89"/>
      <c r="C885" s="89"/>
      <c r="D885" s="90"/>
      <c r="E885" s="91"/>
      <c r="F885" s="91"/>
      <c r="G885" s="91"/>
      <c r="H885" s="91"/>
      <c r="I885" s="85"/>
      <c r="J885" s="85"/>
      <c r="K885" s="85"/>
      <c r="L885" s="85"/>
      <c r="M885" s="85"/>
      <c r="N885" s="85"/>
      <c r="O885" s="85"/>
      <c r="P885" s="85"/>
      <c r="Q885" s="85"/>
      <c r="R885" s="43"/>
      <c r="S885" s="43"/>
      <c r="T885" s="43"/>
      <c r="U885" s="43"/>
      <c r="V885" s="43"/>
      <c r="W885" s="43"/>
      <c r="X885" s="43"/>
      <c r="Y885" s="43"/>
      <c r="Z885" s="43"/>
    </row>
    <row r="886">
      <c r="A886" s="89"/>
      <c r="B886" s="89"/>
      <c r="C886" s="89"/>
      <c r="D886" s="90"/>
      <c r="E886" s="91"/>
      <c r="F886" s="91"/>
      <c r="G886" s="91"/>
      <c r="H886" s="91"/>
      <c r="I886" s="85"/>
      <c r="J886" s="85"/>
      <c r="K886" s="85"/>
      <c r="L886" s="85"/>
      <c r="M886" s="85"/>
      <c r="N886" s="85"/>
      <c r="O886" s="85"/>
      <c r="P886" s="85"/>
      <c r="Q886" s="85"/>
      <c r="R886" s="43"/>
      <c r="S886" s="43"/>
      <c r="T886" s="43"/>
      <c r="U886" s="43"/>
      <c r="V886" s="43"/>
      <c r="W886" s="43"/>
      <c r="X886" s="43"/>
      <c r="Y886" s="43"/>
      <c r="Z886" s="43"/>
    </row>
    <row r="887">
      <c r="A887" s="89"/>
      <c r="B887" s="89"/>
      <c r="C887" s="89"/>
      <c r="D887" s="90"/>
      <c r="E887" s="91"/>
      <c r="F887" s="91"/>
      <c r="G887" s="91"/>
      <c r="H887" s="91"/>
      <c r="I887" s="85"/>
      <c r="J887" s="85"/>
      <c r="K887" s="85"/>
      <c r="L887" s="85"/>
      <c r="M887" s="85"/>
      <c r="N887" s="85"/>
      <c r="O887" s="85"/>
      <c r="P887" s="85"/>
      <c r="Q887" s="85"/>
      <c r="R887" s="43"/>
      <c r="S887" s="43"/>
      <c r="T887" s="43"/>
      <c r="U887" s="43"/>
      <c r="V887" s="43"/>
      <c r="W887" s="43"/>
      <c r="X887" s="43"/>
      <c r="Y887" s="43"/>
      <c r="Z887" s="43"/>
    </row>
    <row r="888">
      <c r="A888" s="89"/>
      <c r="B888" s="89"/>
      <c r="C888" s="89"/>
      <c r="D888" s="90"/>
      <c r="E888" s="91"/>
      <c r="F888" s="91"/>
      <c r="G888" s="91"/>
      <c r="H888" s="91"/>
      <c r="I888" s="85"/>
      <c r="J888" s="85"/>
      <c r="K888" s="85"/>
      <c r="L888" s="85"/>
      <c r="M888" s="85"/>
      <c r="N888" s="85"/>
      <c r="O888" s="85"/>
      <c r="P888" s="85"/>
      <c r="Q888" s="85"/>
      <c r="R888" s="43"/>
      <c r="S888" s="43"/>
      <c r="T888" s="43"/>
      <c r="U888" s="43"/>
      <c r="V888" s="43"/>
      <c r="W888" s="43"/>
      <c r="X888" s="43"/>
      <c r="Y888" s="43"/>
      <c r="Z888" s="43"/>
    </row>
    <row r="889">
      <c r="A889" s="89"/>
      <c r="B889" s="89"/>
      <c r="C889" s="89"/>
      <c r="D889" s="90"/>
      <c r="E889" s="91"/>
      <c r="F889" s="91"/>
      <c r="G889" s="91"/>
      <c r="H889" s="91"/>
      <c r="I889" s="85"/>
      <c r="J889" s="85"/>
      <c r="K889" s="85"/>
      <c r="L889" s="85"/>
      <c r="M889" s="85"/>
      <c r="N889" s="85"/>
      <c r="O889" s="85"/>
      <c r="P889" s="85"/>
      <c r="Q889" s="85"/>
      <c r="R889" s="43"/>
      <c r="S889" s="43"/>
      <c r="T889" s="43"/>
      <c r="U889" s="43"/>
      <c r="V889" s="43"/>
      <c r="W889" s="43"/>
      <c r="X889" s="43"/>
      <c r="Y889" s="43"/>
      <c r="Z889" s="43"/>
    </row>
    <row r="890">
      <c r="A890" s="89"/>
      <c r="B890" s="89"/>
      <c r="C890" s="89"/>
      <c r="D890" s="90"/>
      <c r="E890" s="91"/>
      <c r="F890" s="91"/>
      <c r="G890" s="91"/>
      <c r="H890" s="91"/>
      <c r="I890" s="85"/>
      <c r="J890" s="85"/>
      <c r="K890" s="85"/>
      <c r="L890" s="85"/>
      <c r="M890" s="85"/>
      <c r="N890" s="85"/>
      <c r="O890" s="85"/>
      <c r="P890" s="85"/>
      <c r="Q890" s="85"/>
      <c r="R890" s="43"/>
      <c r="S890" s="43"/>
      <c r="T890" s="43"/>
      <c r="U890" s="43"/>
      <c r="V890" s="43"/>
      <c r="W890" s="43"/>
      <c r="X890" s="43"/>
      <c r="Y890" s="43"/>
      <c r="Z890" s="43"/>
    </row>
    <row r="891">
      <c r="A891" s="89"/>
      <c r="B891" s="89"/>
      <c r="C891" s="89"/>
      <c r="D891" s="90"/>
      <c r="E891" s="91"/>
      <c r="F891" s="91"/>
      <c r="G891" s="91"/>
      <c r="H891" s="91"/>
      <c r="I891" s="85"/>
      <c r="J891" s="85"/>
      <c r="K891" s="85"/>
      <c r="L891" s="85"/>
      <c r="M891" s="85"/>
      <c r="N891" s="85"/>
      <c r="O891" s="85"/>
      <c r="P891" s="85"/>
      <c r="Q891" s="85"/>
      <c r="R891" s="43"/>
      <c r="S891" s="43"/>
      <c r="T891" s="43"/>
      <c r="U891" s="43"/>
      <c r="V891" s="43"/>
      <c r="W891" s="43"/>
      <c r="X891" s="43"/>
      <c r="Y891" s="43"/>
      <c r="Z891" s="43"/>
    </row>
    <row r="892">
      <c r="A892" s="89"/>
      <c r="B892" s="89"/>
      <c r="C892" s="89"/>
      <c r="D892" s="90"/>
      <c r="E892" s="91"/>
      <c r="F892" s="91"/>
      <c r="G892" s="91"/>
      <c r="H892" s="91"/>
      <c r="I892" s="85"/>
      <c r="J892" s="85"/>
      <c r="K892" s="85"/>
      <c r="L892" s="85"/>
      <c r="M892" s="85"/>
      <c r="N892" s="85"/>
      <c r="O892" s="85"/>
      <c r="P892" s="85"/>
      <c r="Q892" s="85"/>
      <c r="R892" s="43"/>
      <c r="S892" s="43"/>
      <c r="T892" s="43"/>
      <c r="U892" s="43"/>
      <c r="V892" s="43"/>
      <c r="W892" s="43"/>
      <c r="X892" s="43"/>
      <c r="Y892" s="43"/>
      <c r="Z892" s="43"/>
    </row>
    <row r="893">
      <c r="A893" s="89"/>
      <c r="B893" s="89"/>
      <c r="C893" s="89"/>
      <c r="D893" s="90"/>
      <c r="E893" s="91"/>
      <c r="F893" s="91"/>
      <c r="G893" s="91"/>
      <c r="H893" s="91"/>
      <c r="I893" s="85"/>
      <c r="J893" s="85"/>
      <c r="K893" s="85"/>
      <c r="L893" s="85"/>
      <c r="M893" s="85"/>
      <c r="N893" s="85"/>
      <c r="O893" s="85"/>
      <c r="P893" s="85"/>
      <c r="Q893" s="85"/>
      <c r="R893" s="43"/>
      <c r="S893" s="43"/>
      <c r="T893" s="43"/>
      <c r="U893" s="43"/>
      <c r="V893" s="43"/>
      <c r="W893" s="43"/>
      <c r="X893" s="43"/>
      <c r="Y893" s="43"/>
      <c r="Z893" s="43"/>
    </row>
    <row r="894">
      <c r="A894" s="89"/>
      <c r="B894" s="89"/>
      <c r="C894" s="89"/>
      <c r="D894" s="90"/>
      <c r="E894" s="91"/>
      <c r="F894" s="91"/>
      <c r="G894" s="91"/>
      <c r="H894" s="91"/>
      <c r="I894" s="85"/>
      <c r="J894" s="85"/>
      <c r="K894" s="85"/>
      <c r="L894" s="85"/>
      <c r="M894" s="85"/>
      <c r="N894" s="85"/>
      <c r="O894" s="85"/>
      <c r="P894" s="85"/>
      <c r="Q894" s="85"/>
      <c r="R894" s="43"/>
      <c r="S894" s="43"/>
      <c r="T894" s="43"/>
      <c r="U894" s="43"/>
      <c r="V894" s="43"/>
      <c r="W894" s="43"/>
      <c r="X894" s="43"/>
      <c r="Y894" s="43"/>
      <c r="Z894" s="43"/>
    </row>
    <row r="895">
      <c r="A895" s="89"/>
      <c r="B895" s="89"/>
      <c r="C895" s="89"/>
      <c r="D895" s="90"/>
      <c r="E895" s="91"/>
      <c r="F895" s="91"/>
      <c r="G895" s="91"/>
      <c r="H895" s="91"/>
      <c r="I895" s="85"/>
      <c r="J895" s="85"/>
      <c r="K895" s="85"/>
      <c r="L895" s="85"/>
      <c r="M895" s="85"/>
      <c r="N895" s="85"/>
      <c r="O895" s="85"/>
      <c r="P895" s="85"/>
      <c r="Q895" s="85"/>
      <c r="R895" s="43"/>
      <c r="S895" s="43"/>
      <c r="T895" s="43"/>
      <c r="U895" s="43"/>
      <c r="V895" s="43"/>
      <c r="W895" s="43"/>
      <c r="X895" s="43"/>
      <c r="Y895" s="43"/>
      <c r="Z895" s="43"/>
    </row>
    <row r="896">
      <c r="A896" s="89"/>
      <c r="B896" s="89"/>
      <c r="C896" s="89"/>
      <c r="D896" s="90"/>
      <c r="E896" s="91"/>
      <c r="F896" s="91"/>
      <c r="G896" s="91"/>
      <c r="H896" s="91"/>
      <c r="I896" s="85"/>
      <c r="J896" s="85"/>
      <c r="K896" s="85"/>
      <c r="L896" s="85"/>
      <c r="M896" s="85"/>
      <c r="N896" s="85"/>
      <c r="O896" s="85"/>
      <c r="P896" s="85"/>
      <c r="Q896" s="85"/>
      <c r="R896" s="43"/>
      <c r="S896" s="43"/>
      <c r="T896" s="43"/>
      <c r="U896" s="43"/>
      <c r="V896" s="43"/>
      <c r="W896" s="43"/>
      <c r="X896" s="43"/>
      <c r="Y896" s="43"/>
      <c r="Z896" s="43"/>
    </row>
    <row r="897">
      <c r="A897" s="89"/>
      <c r="B897" s="89"/>
      <c r="C897" s="89"/>
      <c r="D897" s="90"/>
      <c r="E897" s="91"/>
      <c r="F897" s="91"/>
      <c r="G897" s="91"/>
      <c r="H897" s="91"/>
      <c r="I897" s="85"/>
      <c r="J897" s="85"/>
      <c r="K897" s="85"/>
      <c r="L897" s="85"/>
      <c r="M897" s="85"/>
      <c r="N897" s="85"/>
      <c r="O897" s="85"/>
      <c r="P897" s="85"/>
      <c r="Q897" s="85"/>
      <c r="R897" s="43"/>
      <c r="S897" s="43"/>
      <c r="T897" s="43"/>
      <c r="U897" s="43"/>
      <c r="V897" s="43"/>
      <c r="W897" s="43"/>
      <c r="X897" s="43"/>
      <c r="Y897" s="43"/>
      <c r="Z897" s="43"/>
    </row>
    <row r="898">
      <c r="A898" s="89"/>
      <c r="B898" s="89"/>
      <c r="C898" s="89"/>
      <c r="D898" s="90"/>
      <c r="E898" s="91"/>
      <c r="F898" s="91"/>
      <c r="G898" s="91"/>
      <c r="H898" s="91"/>
      <c r="I898" s="85"/>
      <c r="J898" s="85"/>
      <c r="K898" s="85"/>
      <c r="L898" s="85"/>
      <c r="M898" s="85"/>
      <c r="N898" s="85"/>
      <c r="O898" s="85"/>
      <c r="P898" s="85"/>
      <c r="Q898" s="85"/>
      <c r="R898" s="43"/>
      <c r="S898" s="43"/>
      <c r="T898" s="43"/>
      <c r="U898" s="43"/>
      <c r="V898" s="43"/>
      <c r="W898" s="43"/>
      <c r="X898" s="43"/>
      <c r="Y898" s="43"/>
      <c r="Z898" s="43"/>
    </row>
    <row r="899">
      <c r="A899" s="89"/>
      <c r="B899" s="89"/>
      <c r="C899" s="89"/>
      <c r="D899" s="90"/>
      <c r="E899" s="91"/>
      <c r="F899" s="91"/>
      <c r="G899" s="91"/>
      <c r="H899" s="91"/>
      <c r="I899" s="85"/>
      <c r="J899" s="85"/>
      <c r="K899" s="85"/>
      <c r="L899" s="85"/>
      <c r="M899" s="85"/>
      <c r="N899" s="85"/>
      <c r="O899" s="85"/>
      <c r="P899" s="85"/>
      <c r="Q899" s="85"/>
      <c r="R899" s="43"/>
      <c r="S899" s="43"/>
      <c r="T899" s="43"/>
      <c r="U899" s="43"/>
      <c r="V899" s="43"/>
      <c r="W899" s="43"/>
      <c r="X899" s="43"/>
      <c r="Y899" s="43"/>
      <c r="Z899" s="43"/>
    </row>
    <row r="900">
      <c r="A900" s="89"/>
      <c r="B900" s="89"/>
      <c r="C900" s="89"/>
      <c r="D900" s="90"/>
      <c r="E900" s="91"/>
      <c r="F900" s="91"/>
      <c r="G900" s="91"/>
      <c r="H900" s="91"/>
      <c r="I900" s="85"/>
      <c r="J900" s="85"/>
      <c r="K900" s="85"/>
      <c r="L900" s="85"/>
      <c r="M900" s="85"/>
      <c r="N900" s="85"/>
      <c r="O900" s="85"/>
      <c r="P900" s="85"/>
      <c r="Q900" s="85"/>
      <c r="R900" s="43"/>
      <c r="S900" s="43"/>
      <c r="T900" s="43"/>
      <c r="U900" s="43"/>
      <c r="V900" s="43"/>
      <c r="W900" s="43"/>
      <c r="X900" s="43"/>
      <c r="Y900" s="43"/>
      <c r="Z900" s="43"/>
    </row>
    <row r="901">
      <c r="A901" s="89"/>
      <c r="B901" s="89"/>
      <c r="C901" s="89"/>
      <c r="D901" s="90"/>
      <c r="E901" s="91"/>
      <c r="F901" s="91"/>
      <c r="G901" s="91"/>
      <c r="H901" s="91"/>
      <c r="I901" s="85"/>
      <c r="J901" s="85"/>
      <c r="K901" s="85"/>
      <c r="L901" s="85"/>
      <c r="M901" s="85"/>
      <c r="N901" s="85"/>
      <c r="O901" s="85"/>
      <c r="P901" s="85"/>
      <c r="Q901" s="85"/>
      <c r="R901" s="43"/>
      <c r="S901" s="43"/>
      <c r="T901" s="43"/>
      <c r="U901" s="43"/>
      <c r="V901" s="43"/>
      <c r="W901" s="43"/>
      <c r="X901" s="43"/>
      <c r="Y901" s="43"/>
      <c r="Z901" s="43"/>
    </row>
    <row r="902">
      <c r="A902" s="89"/>
      <c r="B902" s="89"/>
      <c r="C902" s="89"/>
      <c r="D902" s="90"/>
      <c r="E902" s="91"/>
      <c r="F902" s="91"/>
      <c r="G902" s="91"/>
      <c r="H902" s="91"/>
      <c r="I902" s="85"/>
      <c r="J902" s="85"/>
      <c r="K902" s="85"/>
      <c r="L902" s="85"/>
      <c r="M902" s="85"/>
      <c r="N902" s="85"/>
      <c r="O902" s="85"/>
      <c r="P902" s="85"/>
      <c r="Q902" s="85"/>
      <c r="R902" s="43"/>
      <c r="S902" s="43"/>
      <c r="T902" s="43"/>
      <c r="U902" s="43"/>
      <c r="V902" s="43"/>
      <c r="W902" s="43"/>
      <c r="X902" s="43"/>
      <c r="Y902" s="43"/>
      <c r="Z902" s="43"/>
    </row>
    <row r="903">
      <c r="A903" s="89"/>
      <c r="B903" s="89"/>
      <c r="C903" s="89"/>
      <c r="D903" s="90"/>
      <c r="E903" s="91"/>
      <c r="F903" s="91"/>
      <c r="G903" s="91"/>
      <c r="H903" s="91"/>
      <c r="I903" s="85"/>
      <c r="J903" s="85"/>
      <c r="K903" s="85"/>
      <c r="L903" s="85"/>
      <c r="M903" s="85"/>
      <c r="N903" s="85"/>
      <c r="O903" s="85"/>
      <c r="P903" s="85"/>
      <c r="Q903" s="85"/>
      <c r="R903" s="43"/>
      <c r="S903" s="43"/>
      <c r="T903" s="43"/>
      <c r="U903" s="43"/>
      <c r="V903" s="43"/>
      <c r="W903" s="43"/>
      <c r="X903" s="43"/>
      <c r="Y903" s="43"/>
      <c r="Z903" s="43"/>
    </row>
    <row r="904">
      <c r="A904" s="89"/>
      <c r="B904" s="89"/>
      <c r="C904" s="89"/>
      <c r="D904" s="90"/>
      <c r="E904" s="91"/>
      <c r="F904" s="91"/>
      <c r="G904" s="91"/>
      <c r="H904" s="91"/>
      <c r="I904" s="85"/>
      <c r="J904" s="85"/>
      <c r="K904" s="85"/>
      <c r="L904" s="85"/>
      <c r="M904" s="85"/>
      <c r="N904" s="85"/>
      <c r="O904" s="85"/>
      <c r="P904" s="85"/>
      <c r="Q904" s="85"/>
      <c r="R904" s="43"/>
      <c r="S904" s="43"/>
      <c r="T904" s="43"/>
      <c r="U904" s="43"/>
      <c r="V904" s="43"/>
      <c r="W904" s="43"/>
      <c r="X904" s="43"/>
      <c r="Y904" s="43"/>
      <c r="Z904" s="43"/>
    </row>
    <row r="905">
      <c r="A905" s="89"/>
      <c r="B905" s="89"/>
      <c r="C905" s="89"/>
      <c r="D905" s="90"/>
      <c r="E905" s="91"/>
      <c r="F905" s="91"/>
      <c r="G905" s="91"/>
      <c r="H905" s="91"/>
      <c r="I905" s="85"/>
      <c r="J905" s="85"/>
      <c r="K905" s="85"/>
      <c r="L905" s="85"/>
      <c r="M905" s="85"/>
      <c r="N905" s="85"/>
      <c r="O905" s="85"/>
      <c r="P905" s="85"/>
      <c r="Q905" s="85"/>
      <c r="R905" s="43"/>
      <c r="S905" s="43"/>
      <c r="T905" s="43"/>
      <c r="U905" s="43"/>
      <c r="V905" s="43"/>
      <c r="W905" s="43"/>
      <c r="X905" s="43"/>
      <c r="Y905" s="43"/>
      <c r="Z905" s="43"/>
    </row>
    <row r="906">
      <c r="A906" s="89"/>
      <c r="B906" s="89"/>
      <c r="C906" s="89"/>
      <c r="D906" s="90"/>
      <c r="E906" s="91"/>
      <c r="F906" s="91"/>
      <c r="G906" s="91"/>
      <c r="H906" s="91"/>
      <c r="I906" s="85"/>
      <c r="J906" s="85"/>
      <c r="K906" s="85"/>
      <c r="L906" s="85"/>
      <c r="M906" s="85"/>
      <c r="N906" s="85"/>
      <c r="O906" s="85"/>
      <c r="P906" s="85"/>
      <c r="Q906" s="85"/>
      <c r="R906" s="43"/>
      <c r="S906" s="43"/>
      <c r="T906" s="43"/>
      <c r="U906" s="43"/>
      <c r="V906" s="43"/>
      <c r="W906" s="43"/>
      <c r="X906" s="43"/>
      <c r="Y906" s="43"/>
      <c r="Z906" s="43"/>
    </row>
    <row r="907">
      <c r="A907" s="89"/>
      <c r="B907" s="89"/>
      <c r="C907" s="89"/>
      <c r="D907" s="90"/>
      <c r="E907" s="91"/>
      <c r="F907" s="91"/>
      <c r="G907" s="91"/>
      <c r="H907" s="91"/>
      <c r="I907" s="85"/>
      <c r="J907" s="85"/>
      <c r="K907" s="85"/>
      <c r="L907" s="85"/>
      <c r="M907" s="85"/>
      <c r="N907" s="85"/>
      <c r="O907" s="85"/>
      <c r="P907" s="85"/>
      <c r="Q907" s="85"/>
      <c r="R907" s="43"/>
      <c r="S907" s="43"/>
      <c r="T907" s="43"/>
      <c r="U907" s="43"/>
      <c r="V907" s="43"/>
      <c r="W907" s="43"/>
      <c r="X907" s="43"/>
      <c r="Y907" s="43"/>
      <c r="Z907" s="43"/>
    </row>
    <row r="908">
      <c r="A908" s="89"/>
      <c r="B908" s="89"/>
      <c r="C908" s="89"/>
      <c r="D908" s="90"/>
      <c r="E908" s="91"/>
      <c r="F908" s="91"/>
      <c r="G908" s="91"/>
      <c r="H908" s="91"/>
      <c r="I908" s="85"/>
      <c r="J908" s="85"/>
      <c r="K908" s="85"/>
      <c r="L908" s="85"/>
      <c r="M908" s="85"/>
      <c r="N908" s="85"/>
      <c r="O908" s="85"/>
      <c r="P908" s="85"/>
      <c r="Q908" s="85"/>
      <c r="R908" s="43"/>
      <c r="S908" s="43"/>
      <c r="T908" s="43"/>
      <c r="U908" s="43"/>
      <c r="V908" s="43"/>
      <c r="W908" s="43"/>
      <c r="X908" s="43"/>
      <c r="Y908" s="43"/>
      <c r="Z908" s="43"/>
    </row>
    <row r="909">
      <c r="A909" s="89"/>
      <c r="B909" s="89"/>
      <c r="C909" s="89"/>
      <c r="D909" s="90"/>
      <c r="E909" s="91"/>
      <c r="F909" s="91"/>
      <c r="G909" s="91"/>
      <c r="H909" s="91"/>
      <c r="I909" s="85"/>
      <c r="J909" s="85"/>
      <c r="K909" s="85"/>
      <c r="L909" s="85"/>
      <c r="M909" s="85"/>
      <c r="N909" s="85"/>
      <c r="O909" s="85"/>
      <c r="P909" s="85"/>
      <c r="Q909" s="85"/>
      <c r="R909" s="43"/>
      <c r="S909" s="43"/>
      <c r="T909" s="43"/>
      <c r="U909" s="43"/>
      <c r="V909" s="43"/>
      <c r="W909" s="43"/>
      <c r="X909" s="43"/>
      <c r="Y909" s="43"/>
      <c r="Z909" s="43"/>
    </row>
    <row r="910">
      <c r="A910" s="89"/>
      <c r="B910" s="89"/>
      <c r="C910" s="89"/>
      <c r="D910" s="90"/>
      <c r="E910" s="91"/>
      <c r="F910" s="91"/>
      <c r="G910" s="91"/>
      <c r="H910" s="91"/>
      <c r="I910" s="85"/>
      <c r="J910" s="85"/>
      <c r="K910" s="85"/>
      <c r="L910" s="85"/>
      <c r="M910" s="85"/>
      <c r="N910" s="85"/>
      <c r="O910" s="85"/>
      <c r="P910" s="85"/>
      <c r="Q910" s="85"/>
      <c r="R910" s="43"/>
      <c r="S910" s="43"/>
      <c r="T910" s="43"/>
      <c r="U910" s="43"/>
      <c r="V910" s="43"/>
      <c r="W910" s="43"/>
      <c r="X910" s="43"/>
      <c r="Y910" s="43"/>
      <c r="Z910" s="43"/>
    </row>
    <row r="911">
      <c r="A911" s="89"/>
      <c r="B911" s="89"/>
      <c r="C911" s="89"/>
      <c r="D911" s="90"/>
      <c r="E911" s="91"/>
      <c r="F911" s="91"/>
      <c r="G911" s="91"/>
      <c r="H911" s="91"/>
      <c r="I911" s="85"/>
      <c r="J911" s="85"/>
      <c r="K911" s="85"/>
      <c r="L911" s="85"/>
      <c r="M911" s="85"/>
      <c r="N911" s="85"/>
      <c r="O911" s="85"/>
      <c r="P911" s="85"/>
      <c r="Q911" s="85"/>
      <c r="R911" s="43"/>
      <c r="S911" s="43"/>
      <c r="T911" s="43"/>
      <c r="U911" s="43"/>
      <c r="V911" s="43"/>
      <c r="W911" s="43"/>
      <c r="X911" s="43"/>
      <c r="Y911" s="43"/>
      <c r="Z911" s="43"/>
    </row>
    <row r="912">
      <c r="A912" s="89"/>
      <c r="B912" s="89"/>
      <c r="C912" s="89"/>
      <c r="D912" s="90"/>
      <c r="E912" s="91"/>
      <c r="F912" s="91"/>
      <c r="G912" s="91"/>
      <c r="H912" s="91"/>
      <c r="I912" s="85"/>
      <c r="J912" s="85"/>
      <c r="K912" s="85"/>
      <c r="L912" s="85"/>
      <c r="M912" s="85"/>
      <c r="N912" s="85"/>
      <c r="O912" s="85"/>
      <c r="P912" s="85"/>
      <c r="Q912" s="85"/>
      <c r="R912" s="43"/>
      <c r="S912" s="43"/>
      <c r="T912" s="43"/>
      <c r="U912" s="43"/>
      <c r="V912" s="43"/>
      <c r="W912" s="43"/>
      <c r="X912" s="43"/>
      <c r="Y912" s="43"/>
      <c r="Z912" s="43"/>
    </row>
    <row r="913">
      <c r="A913" s="89"/>
      <c r="B913" s="89"/>
      <c r="C913" s="89"/>
      <c r="D913" s="90"/>
      <c r="E913" s="91"/>
      <c r="F913" s="91"/>
      <c r="G913" s="91"/>
      <c r="H913" s="91"/>
      <c r="I913" s="85"/>
      <c r="J913" s="85"/>
      <c r="K913" s="85"/>
      <c r="L913" s="85"/>
      <c r="M913" s="85"/>
      <c r="N913" s="85"/>
      <c r="O913" s="85"/>
      <c r="P913" s="85"/>
      <c r="Q913" s="85"/>
      <c r="R913" s="43"/>
      <c r="S913" s="43"/>
      <c r="T913" s="43"/>
      <c r="U913" s="43"/>
      <c r="V913" s="43"/>
      <c r="W913" s="43"/>
      <c r="X913" s="43"/>
      <c r="Y913" s="43"/>
      <c r="Z913" s="43"/>
    </row>
    <row r="914">
      <c r="A914" s="89"/>
      <c r="B914" s="89"/>
      <c r="C914" s="89"/>
      <c r="D914" s="90"/>
      <c r="E914" s="91"/>
      <c r="F914" s="91"/>
      <c r="G914" s="91"/>
      <c r="H914" s="91"/>
      <c r="I914" s="85"/>
      <c r="J914" s="85"/>
      <c r="K914" s="85"/>
      <c r="L914" s="85"/>
      <c r="M914" s="85"/>
      <c r="N914" s="85"/>
      <c r="O914" s="85"/>
      <c r="P914" s="85"/>
      <c r="Q914" s="85"/>
      <c r="R914" s="43"/>
      <c r="S914" s="43"/>
      <c r="T914" s="43"/>
      <c r="U914" s="43"/>
      <c r="V914" s="43"/>
      <c r="W914" s="43"/>
      <c r="X914" s="43"/>
      <c r="Y914" s="43"/>
      <c r="Z914" s="43"/>
    </row>
    <row r="915">
      <c r="A915" s="89"/>
      <c r="B915" s="89"/>
      <c r="C915" s="89"/>
      <c r="D915" s="90"/>
      <c r="E915" s="91"/>
      <c r="F915" s="91"/>
      <c r="G915" s="91"/>
      <c r="H915" s="91"/>
      <c r="I915" s="85"/>
      <c r="J915" s="85"/>
      <c r="K915" s="85"/>
      <c r="L915" s="85"/>
      <c r="M915" s="85"/>
      <c r="N915" s="85"/>
      <c r="O915" s="85"/>
      <c r="P915" s="85"/>
      <c r="Q915" s="85"/>
      <c r="R915" s="43"/>
      <c r="S915" s="43"/>
      <c r="T915" s="43"/>
      <c r="U915" s="43"/>
      <c r="V915" s="43"/>
      <c r="W915" s="43"/>
      <c r="X915" s="43"/>
      <c r="Y915" s="43"/>
      <c r="Z915" s="43"/>
    </row>
    <row r="916">
      <c r="A916" s="89"/>
      <c r="B916" s="89"/>
      <c r="C916" s="89"/>
      <c r="D916" s="90"/>
      <c r="E916" s="91"/>
      <c r="F916" s="91"/>
      <c r="G916" s="91"/>
      <c r="H916" s="91"/>
      <c r="I916" s="85"/>
      <c r="J916" s="85"/>
      <c r="K916" s="85"/>
      <c r="L916" s="85"/>
      <c r="M916" s="85"/>
      <c r="N916" s="85"/>
      <c r="O916" s="85"/>
      <c r="P916" s="85"/>
      <c r="Q916" s="85"/>
      <c r="R916" s="43"/>
      <c r="S916" s="43"/>
      <c r="T916" s="43"/>
      <c r="U916" s="43"/>
      <c r="V916" s="43"/>
      <c r="W916" s="43"/>
      <c r="X916" s="43"/>
      <c r="Y916" s="43"/>
      <c r="Z916" s="43"/>
    </row>
    <row r="917">
      <c r="A917" s="89"/>
      <c r="B917" s="89"/>
      <c r="C917" s="89"/>
      <c r="D917" s="90"/>
      <c r="E917" s="91"/>
      <c r="F917" s="91"/>
      <c r="G917" s="91"/>
      <c r="H917" s="91"/>
      <c r="I917" s="85"/>
      <c r="J917" s="85"/>
      <c r="K917" s="85"/>
      <c r="L917" s="85"/>
      <c r="M917" s="85"/>
      <c r="N917" s="85"/>
      <c r="O917" s="85"/>
      <c r="P917" s="85"/>
      <c r="Q917" s="85"/>
      <c r="R917" s="43"/>
      <c r="S917" s="43"/>
      <c r="T917" s="43"/>
      <c r="U917" s="43"/>
      <c r="V917" s="43"/>
      <c r="W917" s="43"/>
      <c r="X917" s="43"/>
      <c r="Y917" s="43"/>
      <c r="Z917" s="43"/>
    </row>
    <row r="918">
      <c r="A918" s="89"/>
      <c r="B918" s="89"/>
      <c r="C918" s="89"/>
      <c r="D918" s="90"/>
      <c r="E918" s="91"/>
      <c r="F918" s="91"/>
      <c r="G918" s="91"/>
      <c r="H918" s="91"/>
      <c r="I918" s="85"/>
      <c r="J918" s="85"/>
      <c r="K918" s="85"/>
      <c r="L918" s="85"/>
      <c r="M918" s="85"/>
      <c r="N918" s="85"/>
      <c r="O918" s="85"/>
      <c r="P918" s="85"/>
      <c r="Q918" s="85"/>
      <c r="R918" s="43"/>
      <c r="S918" s="43"/>
      <c r="T918" s="43"/>
      <c r="U918" s="43"/>
      <c r="V918" s="43"/>
      <c r="W918" s="43"/>
      <c r="X918" s="43"/>
      <c r="Y918" s="43"/>
      <c r="Z918" s="43"/>
    </row>
    <row r="919">
      <c r="A919" s="89"/>
      <c r="B919" s="89"/>
      <c r="C919" s="89"/>
      <c r="D919" s="90"/>
      <c r="E919" s="91"/>
      <c r="F919" s="91"/>
      <c r="G919" s="91"/>
      <c r="H919" s="91"/>
      <c r="I919" s="85"/>
      <c r="J919" s="85"/>
      <c r="K919" s="85"/>
      <c r="L919" s="85"/>
      <c r="M919" s="85"/>
      <c r="N919" s="85"/>
      <c r="O919" s="85"/>
      <c r="P919" s="85"/>
      <c r="Q919" s="85"/>
      <c r="R919" s="43"/>
      <c r="S919" s="43"/>
      <c r="T919" s="43"/>
      <c r="U919" s="43"/>
      <c r="V919" s="43"/>
      <c r="W919" s="43"/>
      <c r="X919" s="43"/>
      <c r="Y919" s="43"/>
      <c r="Z919" s="43"/>
    </row>
    <row r="920">
      <c r="A920" s="89"/>
      <c r="B920" s="89"/>
      <c r="C920" s="89"/>
      <c r="D920" s="90"/>
      <c r="E920" s="91"/>
      <c r="F920" s="91"/>
      <c r="G920" s="91"/>
      <c r="H920" s="91"/>
      <c r="I920" s="85"/>
      <c r="J920" s="85"/>
      <c r="K920" s="85"/>
      <c r="L920" s="85"/>
      <c r="M920" s="85"/>
      <c r="N920" s="85"/>
      <c r="O920" s="85"/>
      <c r="P920" s="85"/>
      <c r="Q920" s="85"/>
      <c r="R920" s="43"/>
      <c r="S920" s="43"/>
      <c r="T920" s="43"/>
      <c r="U920" s="43"/>
      <c r="V920" s="43"/>
      <c r="W920" s="43"/>
      <c r="X920" s="43"/>
      <c r="Y920" s="43"/>
      <c r="Z920" s="43"/>
    </row>
    <row r="921">
      <c r="A921" s="89"/>
      <c r="B921" s="89"/>
      <c r="C921" s="89"/>
      <c r="D921" s="90"/>
      <c r="E921" s="91"/>
      <c r="F921" s="91"/>
      <c r="G921" s="91"/>
      <c r="H921" s="91"/>
      <c r="I921" s="85"/>
      <c r="J921" s="85"/>
      <c r="K921" s="85"/>
      <c r="L921" s="85"/>
      <c r="M921" s="85"/>
      <c r="N921" s="85"/>
      <c r="O921" s="85"/>
      <c r="P921" s="85"/>
      <c r="Q921" s="85"/>
      <c r="R921" s="43"/>
      <c r="S921" s="43"/>
      <c r="T921" s="43"/>
      <c r="U921" s="43"/>
      <c r="V921" s="43"/>
      <c r="W921" s="43"/>
      <c r="X921" s="43"/>
      <c r="Y921" s="43"/>
      <c r="Z921" s="43"/>
    </row>
    <row r="922">
      <c r="A922" s="89"/>
      <c r="B922" s="89"/>
      <c r="C922" s="89"/>
      <c r="D922" s="90"/>
      <c r="E922" s="91"/>
      <c r="F922" s="91"/>
      <c r="G922" s="91"/>
      <c r="H922" s="91"/>
      <c r="I922" s="85"/>
      <c r="J922" s="85"/>
      <c r="K922" s="85"/>
      <c r="L922" s="85"/>
      <c r="M922" s="85"/>
      <c r="N922" s="85"/>
      <c r="O922" s="85"/>
      <c r="P922" s="85"/>
      <c r="Q922" s="85"/>
      <c r="R922" s="43"/>
      <c r="S922" s="43"/>
      <c r="T922" s="43"/>
      <c r="U922" s="43"/>
      <c r="V922" s="43"/>
      <c r="W922" s="43"/>
      <c r="X922" s="43"/>
      <c r="Y922" s="43"/>
      <c r="Z922" s="43"/>
    </row>
    <row r="923">
      <c r="A923" s="89"/>
      <c r="B923" s="89"/>
      <c r="C923" s="89"/>
      <c r="D923" s="90"/>
      <c r="E923" s="91"/>
      <c r="F923" s="91"/>
      <c r="G923" s="91"/>
      <c r="H923" s="91"/>
      <c r="I923" s="85"/>
      <c r="J923" s="85"/>
      <c r="K923" s="85"/>
      <c r="L923" s="85"/>
      <c r="M923" s="85"/>
      <c r="N923" s="85"/>
      <c r="O923" s="85"/>
      <c r="P923" s="85"/>
      <c r="Q923" s="85"/>
      <c r="R923" s="43"/>
      <c r="S923" s="43"/>
      <c r="T923" s="43"/>
      <c r="U923" s="43"/>
      <c r="V923" s="43"/>
      <c r="W923" s="43"/>
      <c r="X923" s="43"/>
      <c r="Y923" s="43"/>
      <c r="Z923" s="43"/>
    </row>
    <row r="924">
      <c r="A924" s="89"/>
      <c r="B924" s="89"/>
      <c r="C924" s="89"/>
      <c r="D924" s="90"/>
      <c r="E924" s="91"/>
      <c r="F924" s="91"/>
      <c r="G924" s="91"/>
      <c r="H924" s="91"/>
      <c r="I924" s="85"/>
      <c r="J924" s="85"/>
      <c r="K924" s="85"/>
      <c r="L924" s="85"/>
      <c r="M924" s="85"/>
      <c r="N924" s="85"/>
      <c r="O924" s="85"/>
      <c r="P924" s="85"/>
      <c r="Q924" s="85"/>
      <c r="R924" s="43"/>
      <c r="S924" s="43"/>
      <c r="T924" s="43"/>
      <c r="U924" s="43"/>
      <c r="V924" s="43"/>
      <c r="W924" s="43"/>
      <c r="X924" s="43"/>
      <c r="Y924" s="43"/>
      <c r="Z924" s="43"/>
    </row>
    <row r="925">
      <c r="A925" s="89"/>
      <c r="B925" s="89"/>
      <c r="C925" s="89"/>
      <c r="D925" s="90"/>
      <c r="E925" s="91"/>
      <c r="F925" s="91"/>
      <c r="G925" s="91"/>
      <c r="H925" s="91"/>
      <c r="I925" s="85"/>
      <c r="J925" s="85"/>
      <c r="K925" s="85"/>
      <c r="L925" s="85"/>
      <c r="M925" s="85"/>
      <c r="N925" s="85"/>
      <c r="O925" s="85"/>
      <c r="P925" s="85"/>
      <c r="Q925" s="85"/>
      <c r="R925" s="43"/>
      <c r="S925" s="43"/>
      <c r="T925" s="43"/>
      <c r="U925" s="43"/>
      <c r="V925" s="43"/>
      <c r="W925" s="43"/>
      <c r="X925" s="43"/>
      <c r="Y925" s="43"/>
      <c r="Z925" s="43"/>
    </row>
    <row r="926">
      <c r="A926" s="89"/>
      <c r="B926" s="89"/>
      <c r="C926" s="89"/>
      <c r="D926" s="90"/>
      <c r="E926" s="91"/>
      <c r="F926" s="91"/>
      <c r="G926" s="91"/>
      <c r="H926" s="91"/>
      <c r="I926" s="85"/>
      <c r="J926" s="85"/>
      <c r="K926" s="85"/>
      <c r="L926" s="85"/>
      <c r="M926" s="85"/>
      <c r="N926" s="85"/>
      <c r="O926" s="85"/>
      <c r="P926" s="85"/>
      <c r="Q926" s="85"/>
      <c r="R926" s="43"/>
      <c r="S926" s="43"/>
      <c r="T926" s="43"/>
      <c r="U926" s="43"/>
      <c r="V926" s="43"/>
      <c r="W926" s="43"/>
      <c r="X926" s="43"/>
      <c r="Y926" s="43"/>
      <c r="Z926" s="43"/>
    </row>
    <row r="927">
      <c r="A927" s="89"/>
      <c r="B927" s="89"/>
      <c r="C927" s="89"/>
      <c r="D927" s="90"/>
      <c r="E927" s="91"/>
      <c r="F927" s="91"/>
      <c r="G927" s="91"/>
      <c r="H927" s="91"/>
      <c r="I927" s="85"/>
      <c r="J927" s="85"/>
      <c r="K927" s="85"/>
      <c r="L927" s="85"/>
      <c r="M927" s="85"/>
      <c r="N927" s="85"/>
      <c r="O927" s="85"/>
      <c r="P927" s="85"/>
      <c r="Q927" s="85"/>
      <c r="R927" s="43"/>
      <c r="S927" s="43"/>
      <c r="T927" s="43"/>
      <c r="U927" s="43"/>
      <c r="V927" s="43"/>
      <c r="W927" s="43"/>
      <c r="X927" s="43"/>
      <c r="Y927" s="43"/>
      <c r="Z927" s="43"/>
    </row>
    <row r="928">
      <c r="A928" s="89"/>
      <c r="B928" s="89"/>
      <c r="C928" s="89"/>
      <c r="D928" s="90"/>
      <c r="E928" s="91"/>
      <c r="F928" s="91"/>
      <c r="G928" s="91"/>
      <c r="H928" s="91"/>
      <c r="I928" s="85"/>
      <c r="J928" s="85"/>
      <c r="K928" s="85"/>
      <c r="L928" s="85"/>
      <c r="M928" s="85"/>
      <c r="N928" s="85"/>
      <c r="O928" s="85"/>
      <c r="P928" s="85"/>
      <c r="Q928" s="85"/>
      <c r="R928" s="43"/>
      <c r="S928" s="43"/>
      <c r="T928" s="43"/>
      <c r="U928" s="43"/>
      <c r="V928" s="43"/>
      <c r="W928" s="43"/>
      <c r="X928" s="43"/>
      <c r="Y928" s="43"/>
      <c r="Z928" s="43"/>
    </row>
    <row r="929">
      <c r="A929" s="89"/>
      <c r="B929" s="89"/>
      <c r="C929" s="89"/>
      <c r="D929" s="90"/>
      <c r="E929" s="91"/>
      <c r="F929" s="91"/>
      <c r="G929" s="91"/>
      <c r="H929" s="91"/>
      <c r="I929" s="85"/>
      <c r="J929" s="85"/>
      <c r="K929" s="85"/>
      <c r="L929" s="85"/>
      <c r="M929" s="85"/>
      <c r="N929" s="85"/>
      <c r="O929" s="85"/>
      <c r="P929" s="85"/>
      <c r="Q929" s="85"/>
      <c r="R929" s="43"/>
      <c r="S929" s="43"/>
      <c r="T929" s="43"/>
      <c r="U929" s="43"/>
      <c r="V929" s="43"/>
      <c r="W929" s="43"/>
      <c r="X929" s="43"/>
      <c r="Y929" s="43"/>
      <c r="Z929" s="43"/>
    </row>
    <row r="930">
      <c r="A930" s="89"/>
      <c r="B930" s="89"/>
      <c r="C930" s="89"/>
      <c r="D930" s="90"/>
      <c r="E930" s="91"/>
      <c r="F930" s="91"/>
      <c r="G930" s="91"/>
      <c r="H930" s="91"/>
      <c r="I930" s="85"/>
      <c r="J930" s="85"/>
      <c r="K930" s="85"/>
      <c r="L930" s="85"/>
      <c r="M930" s="85"/>
      <c r="N930" s="85"/>
      <c r="O930" s="85"/>
      <c r="P930" s="85"/>
      <c r="Q930" s="85"/>
      <c r="R930" s="43"/>
      <c r="S930" s="43"/>
      <c r="T930" s="43"/>
      <c r="U930" s="43"/>
      <c r="V930" s="43"/>
      <c r="W930" s="43"/>
      <c r="X930" s="43"/>
      <c r="Y930" s="43"/>
      <c r="Z930" s="43"/>
    </row>
    <row r="931">
      <c r="A931" s="89"/>
      <c r="B931" s="89"/>
      <c r="C931" s="89"/>
      <c r="D931" s="90"/>
      <c r="E931" s="91"/>
      <c r="F931" s="91"/>
      <c r="G931" s="91"/>
      <c r="H931" s="91"/>
      <c r="I931" s="85"/>
      <c r="J931" s="85"/>
      <c r="K931" s="85"/>
      <c r="L931" s="85"/>
      <c r="M931" s="85"/>
      <c r="N931" s="85"/>
      <c r="O931" s="85"/>
      <c r="P931" s="85"/>
      <c r="Q931" s="85"/>
      <c r="R931" s="43"/>
      <c r="S931" s="43"/>
      <c r="T931" s="43"/>
      <c r="U931" s="43"/>
      <c r="V931" s="43"/>
      <c r="W931" s="43"/>
      <c r="X931" s="43"/>
      <c r="Y931" s="43"/>
      <c r="Z931" s="43"/>
    </row>
    <row r="932">
      <c r="A932" s="89"/>
      <c r="B932" s="89"/>
      <c r="C932" s="89"/>
      <c r="D932" s="90"/>
      <c r="E932" s="91"/>
      <c r="F932" s="91"/>
      <c r="G932" s="91"/>
      <c r="H932" s="91"/>
      <c r="I932" s="85"/>
      <c r="J932" s="85"/>
      <c r="K932" s="85"/>
      <c r="L932" s="85"/>
      <c r="M932" s="85"/>
      <c r="N932" s="85"/>
      <c r="O932" s="85"/>
      <c r="P932" s="85"/>
      <c r="Q932" s="85"/>
      <c r="R932" s="43"/>
      <c r="S932" s="43"/>
      <c r="T932" s="43"/>
      <c r="U932" s="43"/>
      <c r="V932" s="43"/>
      <c r="W932" s="43"/>
      <c r="X932" s="43"/>
      <c r="Y932" s="43"/>
      <c r="Z932" s="43"/>
    </row>
    <row r="933">
      <c r="A933" s="89"/>
      <c r="B933" s="89"/>
      <c r="C933" s="89"/>
      <c r="D933" s="90"/>
      <c r="E933" s="91"/>
      <c r="F933" s="91"/>
      <c r="G933" s="91"/>
      <c r="H933" s="91"/>
      <c r="I933" s="85"/>
      <c r="J933" s="85"/>
      <c r="K933" s="85"/>
      <c r="L933" s="85"/>
      <c r="M933" s="85"/>
      <c r="N933" s="85"/>
      <c r="O933" s="85"/>
      <c r="P933" s="85"/>
      <c r="Q933" s="85"/>
      <c r="R933" s="43"/>
      <c r="S933" s="43"/>
      <c r="T933" s="43"/>
      <c r="U933" s="43"/>
      <c r="V933" s="43"/>
      <c r="W933" s="43"/>
      <c r="X933" s="43"/>
      <c r="Y933" s="43"/>
      <c r="Z933" s="43"/>
    </row>
    <row r="934">
      <c r="A934" s="89"/>
      <c r="B934" s="89"/>
      <c r="C934" s="89"/>
      <c r="D934" s="90"/>
      <c r="E934" s="91"/>
      <c r="F934" s="91"/>
      <c r="G934" s="91"/>
      <c r="H934" s="91"/>
      <c r="I934" s="85"/>
      <c r="J934" s="85"/>
      <c r="K934" s="85"/>
      <c r="L934" s="85"/>
      <c r="M934" s="85"/>
      <c r="N934" s="85"/>
      <c r="O934" s="85"/>
      <c r="P934" s="85"/>
      <c r="Q934" s="85"/>
      <c r="R934" s="43"/>
      <c r="S934" s="43"/>
      <c r="T934" s="43"/>
      <c r="U934" s="43"/>
      <c r="V934" s="43"/>
      <c r="W934" s="43"/>
      <c r="X934" s="43"/>
      <c r="Y934" s="43"/>
      <c r="Z934" s="43"/>
    </row>
    <row r="935">
      <c r="A935" s="89"/>
      <c r="B935" s="89"/>
      <c r="C935" s="89"/>
      <c r="D935" s="90"/>
      <c r="E935" s="91"/>
      <c r="F935" s="91"/>
      <c r="G935" s="91"/>
      <c r="H935" s="91"/>
      <c r="I935" s="85"/>
      <c r="J935" s="85"/>
      <c r="K935" s="85"/>
      <c r="L935" s="85"/>
      <c r="M935" s="85"/>
      <c r="N935" s="85"/>
      <c r="O935" s="85"/>
      <c r="P935" s="85"/>
      <c r="Q935" s="85"/>
      <c r="R935" s="43"/>
      <c r="S935" s="43"/>
      <c r="T935" s="43"/>
      <c r="U935" s="43"/>
      <c r="V935" s="43"/>
      <c r="W935" s="43"/>
      <c r="X935" s="43"/>
      <c r="Y935" s="43"/>
      <c r="Z935" s="43"/>
    </row>
    <row r="936">
      <c r="A936" s="89"/>
      <c r="B936" s="89"/>
      <c r="C936" s="89"/>
      <c r="D936" s="90"/>
      <c r="E936" s="91"/>
      <c r="F936" s="91"/>
      <c r="G936" s="91"/>
      <c r="H936" s="91"/>
      <c r="I936" s="85"/>
      <c r="J936" s="85"/>
      <c r="K936" s="85"/>
      <c r="L936" s="85"/>
      <c r="M936" s="85"/>
      <c r="N936" s="85"/>
      <c r="O936" s="85"/>
      <c r="P936" s="85"/>
      <c r="Q936" s="85"/>
      <c r="R936" s="43"/>
      <c r="S936" s="43"/>
      <c r="T936" s="43"/>
      <c r="U936" s="43"/>
      <c r="V936" s="43"/>
      <c r="W936" s="43"/>
      <c r="X936" s="43"/>
      <c r="Y936" s="43"/>
      <c r="Z936" s="43"/>
    </row>
    <row r="937">
      <c r="A937" s="89"/>
      <c r="B937" s="89"/>
      <c r="C937" s="89"/>
      <c r="D937" s="90"/>
      <c r="E937" s="91"/>
      <c r="F937" s="91"/>
      <c r="G937" s="91"/>
      <c r="H937" s="91"/>
      <c r="I937" s="85"/>
      <c r="J937" s="85"/>
      <c r="K937" s="85"/>
      <c r="L937" s="85"/>
      <c r="M937" s="85"/>
      <c r="N937" s="85"/>
      <c r="O937" s="85"/>
      <c r="P937" s="85"/>
      <c r="Q937" s="85"/>
      <c r="R937" s="43"/>
      <c r="S937" s="43"/>
      <c r="T937" s="43"/>
      <c r="U937" s="43"/>
      <c r="V937" s="43"/>
      <c r="W937" s="43"/>
      <c r="X937" s="43"/>
      <c r="Y937" s="43"/>
      <c r="Z937" s="43"/>
    </row>
    <row r="938">
      <c r="A938" s="89"/>
      <c r="B938" s="89"/>
      <c r="C938" s="89"/>
      <c r="D938" s="90"/>
      <c r="E938" s="91"/>
      <c r="F938" s="91"/>
      <c r="G938" s="91"/>
      <c r="H938" s="91"/>
      <c r="I938" s="85"/>
      <c r="J938" s="85"/>
      <c r="K938" s="85"/>
      <c r="L938" s="85"/>
      <c r="M938" s="85"/>
      <c r="N938" s="85"/>
      <c r="O938" s="85"/>
      <c r="P938" s="85"/>
      <c r="Q938" s="85"/>
      <c r="R938" s="43"/>
      <c r="S938" s="43"/>
      <c r="T938" s="43"/>
      <c r="U938" s="43"/>
      <c r="V938" s="43"/>
      <c r="W938" s="43"/>
      <c r="X938" s="43"/>
      <c r="Y938" s="43"/>
      <c r="Z938" s="43"/>
    </row>
    <row r="939">
      <c r="A939" s="89"/>
      <c r="B939" s="89"/>
      <c r="C939" s="89"/>
      <c r="D939" s="90"/>
      <c r="E939" s="91"/>
      <c r="F939" s="91"/>
      <c r="G939" s="91"/>
      <c r="H939" s="91"/>
      <c r="I939" s="85"/>
      <c r="J939" s="85"/>
      <c r="K939" s="85"/>
      <c r="L939" s="85"/>
      <c r="M939" s="85"/>
      <c r="N939" s="85"/>
      <c r="O939" s="85"/>
      <c r="P939" s="85"/>
      <c r="Q939" s="85"/>
      <c r="R939" s="43"/>
      <c r="S939" s="43"/>
      <c r="T939" s="43"/>
      <c r="U939" s="43"/>
      <c r="V939" s="43"/>
      <c r="W939" s="43"/>
      <c r="X939" s="43"/>
      <c r="Y939" s="43"/>
      <c r="Z939" s="43"/>
    </row>
    <row r="940">
      <c r="A940" s="89"/>
      <c r="B940" s="89"/>
      <c r="C940" s="89"/>
      <c r="D940" s="90"/>
      <c r="E940" s="91"/>
      <c r="F940" s="91"/>
      <c r="G940" s="91"/>
      <c r="H940" s="91"/>
      <c r="I940" s="85"/>
      <c r="J940" s="85"/>
      <c r="K940" s="85"/>
      <c r="L940" s="85"/>
      <c r="M940" s="85"/>
      <c r="N940" s="85"/>
      <c r="O940" s="85"/>
      <c r="P940" s="85"/>
      <c r="Q940" s="85"/>
      <c r="R940" s="43"/>
      <c r="S940" s="43"/>
      <c r="T940" s="43"/>
      <c r="U940" s="43"/>
      <c r="V940" s="43"/>
      <c r="W940" s="43"/>
      <c r="X940" s="43"/>
      <c r="Y940" s="43"/>
      <c r="Z940" s="43"/>
    </row>
    <row r="941">
      <c r="A941" s="89"/>
      <c r="B941" s="89"/>
      <c r="C941" s="89"/>
      <c r="D941" s="90"/>
      <c r="E941" s="91"/>
      <c r="F941" s="91"/>
      <c r="G941" s="91"/>
      <c r="H941" s="91"/>
      <c r="I941" s="85"/>
      <c r="J941" s="85"/>
      <c r="K941" s="85"/>
      <c r="L941" s="85"/>
      <c r="M941" s="85"/>
      <c r="N941" s="85"/>
      <c r="O941" s="85"/>
      <c r="P941" s="85"/>
      <c r="Q941" s="85"/>
      <c r="R941" s="43"/>
      <c r="S941" s="43"/>
      <c r="T941" s="43"/>
      <c r="U941" s="43"/>
      <c r="V941" s="43"/>
      <c r="W941" s="43"/>
      <c r="X941" s="43"/>
      <c r="Y941" s="43"/>
      <c r="Z941" s="43"/>
    </row>
    <row r="942">
      <c r="A942" s="89"/>
      <c r="B942" s="89"/>
      <c r="C942" s="89"/>
      <c r="D942" s="90"/>
      <c r="E942" s="91"/>
      <c r="F942" s="91"/>
      <c r="G942" s="91"/>
      <c r="H942" s="91"/>
      <c r="I942" s="85"/>
      <c r="J942" s="85"/>
      <c r="K942" s="85"/>
      <c r="L942" s="85"/>
      <c r="M942" s="85"/>
      <c r="N942" s="85"/>
      <c r="O942" s="85"/>
      <c r="P942" s="85"/>
      <c r="Q942" s="85"/>
      <c r="R942" s="43"/>
      <c r="S942" s="43"/>
      <c r="T942" s="43"/>
      <c r="U942" s="43"/>
      <c r="V942" s="43"/>
      <c r="W942" s="43"/>
      <c r="X942" s="43"/>
      <c r="Y942" s="43"/>
      <c r="Z942" s="43"/>
    </row>
    <row r="943">
      <c r="A943" s="89"/>
      <c r="B943" s="89"/>
      <c r="C943" s="89"/>
      <c r="D943" s="90"/>
      <c r="E943" s="91"/>
      <c r="F943" s="91"/>
      <c r="G943" s="91"/>
      <c r="H943" s="91"/>
      <c r="I943" s="85"/>
      <c r="J943" s="85"/>
      <c r="K943" s="85"/>
      <c r="L943" s="85"/>
      <c r="M943" s="85"/>
      <c r="N943" s="85"/>
      <c r="O943" s="85"/>
      <c r="P943" s="85"/>
      <c r="Q943" s="85"/>
      <c r="R943" s="43"/>
      <c r="S943" s="43"/>
      <c r="T943" s="43"/>
      <c r="U943" s="43"/>
      <c r="V943" s="43"/>
      <c r="W943" s="43"/>
      <c r="X943" s="43"/>
      <c r="Y943" s="43"/>
      <c r="Z943" s="43"/>
    </row>
    <row r="944">
      <c r="A944" s="89"/>
      <c r="B944" s="89"/>
      <c r="C944" s="89"/>
      <c r="D944" s="90"/>
      <c r="E944" s="91"/>
      <c r="F944" s="91"/>
      <c r="G944" s="91"/>
      <c r="H944" s="91"/>
      <c r="I944" s="85"/>
      <c r="J944" s="85"/>
      <c r="K944" s="85"/>
      <c r="L944" s="85"/>
      <c r="M944" s="85"/>
      <c r="N944" s="85"/>
      <c r="O944" s="85"/>
      <c r="P944" s="85"/>
      <c r="Q944" s="85"/>
      <c r="R944" s="43"/>
      <c r="S944" s="43"/>
      <c r="T944" s="43"/>
      <c r="U944" s="43"/>
      <c r="V944" s="43"/>
      <c r="W944" s="43"/>
      <c r="X944" s="43"/>
      <c r="Y944" s="43"/>
      <c r="Z944" s="43"/>
    </row>
    <row r="945">
      <c r="A945" s="89"/>
      <c r="B945" s="89"/>
      <c r="C945" s="89"/>
      <c r="D945" s="90"/>
      <c r="E945" s="91"/>
      <c r="F945" s="91"/>
      <c r="G945" s="91"/>
      <c r="H945" s="91"/>
      <c r="I945" s="85"/>
      <c r="J945" s="85"/>
      <c r="K945" s="85"/>
      <c r="L945" s="85"/>
      <c r="M945" s="85"/>
      <c r="N945" s="85"/>
      <c r="O945" s="85"/>
      <c r="P945" s="85"/>
      <c r="Q945" s="85"/>
      <c r="R945" s="43"/>
      <c r="S945" s="43"/>
      <c r="T945" s="43"/>
      <c r="U945" s="43"/>
      <c r="V945" s="43"/>
      <c r="W945" s="43"/>
      <c r="X945" s="43"/>
      <c r="Y945" s="43"/>
      <c r="Z945" s="43"/>
    </row>
    <row r="946">
      <c r="A946" s="89"/>
      <c r="B946" s="89"/>
      <c r="C946" s="89"/>
      <c r="D946" s="90"/>
      <c r="E946" s="91"/>
      <c r="F946" s="91"/>
      <c r="G946" s="91"/>
      <c r="H946" s="91"/>
      <c r="I946" s="85"/>
      <c r="J946" s="85"/>
      <c r="K946" s="85"/>
      <c r="L946" s="85"/>
      <c r="M946" s="85"/>
      <c r="N946" s="85"/>
      <c r="O946" s="85"/>
      <c r="P946" s="85"/>
      <c r="Q946" s="85"/>
      <c r="R946" s="43"/>
      <c r="S946" s="43"/>
      <c r="T946" s="43"/>
      <c r="U946" s="43"/>
      <c r="V946" s="43"/>
      <c r="W946" s="43"/>
      <c r="X946" s="43"/>
      <c r="Y946" s="43"/>
      <c r="Z946" s="43"/>
    </row>
    <row r="947">
      <c r="A947" s="89"/>
      <c r="B947" s="89"/>
      <c r="C947" s="89"/>
      <c r="D947" s="90"/>
      <c r="E947" s="91"/>
      <c r="F947" s="91"/>
      <c r="G947" s="91"/>
      <c r="H947" s="91"/>
      <c r="I947" s="85"/>
      <c r="J947" s="85"/>
      <c r="K947" s="85"/>
      <c r="L947" s="85"/>
      <c r="M947" s="85"/>
      <c r="N947" s="85"/>
      <c r="O947" s="85"/>
      <c r="P947" s="85"/>
      <c r="Q947" s="85"/>
      <c r="R947" s="43"/>
      <c r="S947" s="43"/>
      <c r="T947" s="43"/>
      <c r="U947" s="43"/>
      <c r="V947" s="43"/>
      <c r="W947" s="43"/>
      <c r="X947" s="43"/>
      <c r="Y947" s="43"/>
      <c r="Z947" s="43"/>
    </row>
    <row r="948">
      <c r="A948" s="89"/>
      <c r="B948" s="89"/>
      <c r="C948" s="89"/>
      <c r="D948" s="90"/>
      <c r="E948" s="91"/>
      <c r="F948" s="91"/>
      <c r="G948" s="91"/>
      <c r="H948" s="91"/>
      <c r="I948" s="85"/>
      <c r="J948" s="85"/>
      <c r="K948" s="85"/>
      <c r="L948" s="85"/>
      <c r="M948" s="85"/>
      <c r="N948" s="85"/>
      <c r="O948" s="85"/>
      <c r="P948" s="85"/>
      <c r="Q948" s="85"/>
      <c r="R948" s="43"/>
      <c r="S948" s="43"/>
      <c r="T948" s="43"/>
      <c r="U948" s="43"/>
      <c r="V948" s="43"/>
      <c r="W948" s="43"/>
      <c r="X948" s="43"/>
      <c r="Y948" s="43"/>
      <c r="Z948" s="43"/>
    </row>
    <row r="949">
      <c r="A949" s="89"/>
      <c r="B949" s="89"/>
      <c r="C949" s="89"/>
      <c r="D949" s="90"/>
      <c r="E949" s="91"/>
      <c r="F949" s="91"/>
      <c r="G949" s="91"/>
      <c r="H949" s="91"/>
      <c r="I949" s="85"/>
      <c r="J949" s="85"/>
      <c r="K949" s="85"/>
      <c r="L949" s="85"/>
      <c r="M949" s="85"/>
      <c r="N949" s="85"/>
      <c r="O949" s="85"/>
      <c r="P949" s="85"/>
      <c r="Q949" s="85"/>
      <c r="R949" s="43"/>
      <c r="S949" s="43"/>
      <c r="T949" s="43"/>
      <c r="U949" s="43"/>
      <c r="V949" s="43"/>
      <c r="W949" s="43"/>
      <c r="X949" s="43"/>
      <c r="Y949" s="43"/>
      <c r="Z949" s="43"/>
    </row>
    <row r="950">
      <c r="A950" s="89"/>
      <c r="B950" s="89"/>
      <c r="C950" s="89"/>
      <c r="D950" s="90"/>
      <c r="E950" s="91"/>
      <c r="F950" s="91"/>
      <c r="G950" s="91"/>
      <c r="H950" s="91"/>
      <c r="I950" s="85"/>
      <c r="J950" s="85"/>
      <c r="K950" s="85"/>
      <c r="L950" s="85"/>
      <c r="M950" s="85"/>
      <c r="N950" s="85"/>
      <c r="O950" s="85"/>
      <c r="P950" s="85"/>
      <c r="Q950" s="85"/>
      <c r="R950" s="43"/>
      <c r="S950" s="43"/>
      <c r="T950" s="43"/>
      <c r="U950" s="43"/>
      <c r="V950" s="43"/>
      <c r="W950" s="43"/>
      <c r="X950" s="43"/>
      <c r="Y950" s="43"/>
      <c r="Z950" s="43"/>
    </row>
    <row r="951">
      <c r="A951" s="89"/>
      <c r="B951" s="89"/>
      <c r="C951" s="89"/>
      <c r="D951" s="90"/>
      <c r="E951" s="91"/>
      <c r="F951" s="91"/>
      <c r="G951" s="91"/>
      <c r="H951" s="91"/>
      <c r="I951" s="85"/>
      <c r="J951" s="85"/>
      <c r="K951" s="85"/>
      <c r="L951" s="85"/>
      <c r="M951" s="85"/>
      <c r="N951" s="85"/>
      <c r="O951" s="85"/>
      <c r="P951" s="85"/>
      <c r="Q951" s="85"/>
      <c r="R951" s="43"/>
      <c r="S951" s="43"/>
      <c r="T951" s="43"/>
      <c r="U951" s="43"/>
      <c r="V951" s="43"/>
      <c r="W951" s="43"/>
      <c r="X951" s="43"/>
      <c r="Y951" s="43"/>
      <c r="Z951" s="43"/>
    </row>
    <row r="952">
      <c r="A952" s="89"/>
      <c r="B952" s="89"/>
      <c r="C952" s="89"/>
      <c r="D952" s="90"/>
      <c r="E952" s="91"/>
      <c r="F952" s="91"/>
      <c r="G952" s="91"/>
      <c r="H952" s="91"/>
      <c r="I952" s="85"/>
      <c r="J952" s="85"/>
      <c r="K952" s="85"/>
      <c r="L952" s="85"/>
      <c r="M952" s="85"/>
      <c r="N952" s="85"/>
      <c r="O952" s="85"/>
      <c r="P952" s="85"/>
      <c r="Q952" s="85"/>
      <c r="R952" s="43"/>
      <c r="S952" s="43"/>
      <c r="T952" s="43"/>
      <c r="U952" s="43"/>
      <c r="V952" s="43"/>
      <c r="W952" s="43"/>
      <c r="X952" s="43"/>
      <c r="Y952" s="43"/>
      <c r="Z952" s="43"/>
    </row>
    <row r="953">
      <c r="A953" s="89"/>
      <c r="B953" s="89"/>
      <c r="C953" s="89"/>
      <c r="D953" s="90"/>
      <c r="E953" s="91"/>
      <c r="F953" s="91"/>
      <c r="G953" s="91"/>
      <c r="H953" s="91"/>
      <c r="I953" s="85"/>
      <c r="J953" s="85"/>
      <c r="K953" s="85"/>
      <c r="L953" s="85"/>
      <c r="M953" s="85"/>
      <c r="N953" s="85"/>
      <c r="O953" s="85"/>
      <c r="P953" s="85"/>
      <c r="Q953" s="85"/>
      <c r="R953" s="43"/>
      <c r="S953" s="43"/>
      <c r="T953" s="43"/>
      <c r="U953" s="43"/>
      <c r="V953" s="43"/>
      <c r="W953" s="43"/>
      <c r="X953" s="43"/>
      <c r="Y953" s="43"/>
      <c r="Z953" s="43"/>
    </row>
    <row r="954">
      <c r="A954" s="89"/>
      <c r="B954" s="89"/>
      <c r="C954" s="89"/>
      <c r="D954" s="90"/>
      <c r="E954" s="91"/>
      <c r="F954" s="91"/>
      <c r="G954" s="91"/>
      <c r="H954" s="91"/>
      <c r="I954" s="85"/>
      <c r="J954" s="85"/>
      <c r="K954" s="85"/>
      <c r="L954" s="85"/>
      <c r="M954" s="85"/>
      <c r="N954" s="85"/>
      <c r="O954" s="85"/>
      <c r="P954" s="85"/>
      <c r="Q954" s="85"/>
      <c r="R954" s="43"/>
      <c r="S954" s="43"/>
      <c r="T954" s="43"/>
      <c r="U954" s="43"/>
      <c r="V954" s="43"/>
      <c r="W954" s="43"/>
      <c r="X954" s="43"/>
      <c r="Y954" s="43"/>
      <c r="Z954" s="43"/>
    </row>
    <row r="955">
      <c r="A955" s="89"/>
      <c r="B955" s="89"/>
      <c r="C955" s="89"/>
      <c r="D955" s="90"/>
      <c r="E955" s="91"/>
      <c r="F955" s="91"/>
      <c r="G955" s="91"/>
      <c r="H955" s="91"/>
      <c r="I955" s="85"/>
      <c r="J955" s="85"/>
      <c r="K955" s="85"/>
      <c r="L955" s="85"/>
      <c r="M955" s="85"/>
      <c r="N955" s="85"/>
      <c r="O955" s="85"/>
      <c r="P955" s="85"/>
      <c r="Q955" s="85"/>
      <c r="R955" s="43"/>
      <c r="S955" s="43"/>
      <c r="T955" s="43"/>
      <c r="U955" s="43"/>
      <c r="V955" s="43"/>
      <c r="W955" s="43"/>
      <c r="X955" s="43"/>
      <c r="Y955" s="43"/>
      <c r="Z955" s="43"/>
    </row>
    <row r="956">
      <c r="A956" s="89"/>
      <c r="B956" s="89"/>
      <c r="C956" s="89"/>
      <c r="D956" s="90"/>
      <c r="E956" s="91"/>
      <c r="F956" s="91"/>
      <c r="G956" s="91"/>
      <c r="H956" s="91"/>
      <c r="I956" s="85"/>
      <c r="J956" s="85"/>
      <c r="K956" s="85"/>
      <c r="L956" s="85"/>
      <c r="M956" s="85"/>
      <c r="N956" s="85"/>
      <c r="O956" s="85"/>
      <c r="P956" s="85"/>
      <c r="Q956" s="85"/>
      <c r="R956" s="43"/>
      <c r="S956" s="43"/>
      <c r="T956" s="43"/>
      <c r="U956" s="43"/>
      <c r="V956" s="43"/>
      <c r="W956" s="43"/>
      <c r="X956" s="43"/>
      <c r="Y956" s="43"/>
      <c r="Z956" s="43"/>
    </row>
    <row r="957">
      <c r="A957" s="89"/>
      <c r="B957" s="89"/>
      <c r="C957" s="89"/>
      <c r="D957" s="90"/>
      <c r="E957" s="91"/>
      <c r="F957" s="91"/>
      <c r="G957" s="91"/>
      <c r="H957" s="91"/>
      <c r="I957" s="85"/>
      <c r="J957" s="85"/>
      <c r="K957" s="85"/>
      <c r="L957" s="85"/>
      <c r="M957" s="85"/>
      <c r="N957" s="85"/>
      <c r="O957" s="85"/>
      <c r="P957" s="85"/>
      <c r="Q957" s="85"/>
      <c r="R957" s="43"/>
      <c r="S957" s="43"/>
      <c r="T957" s="43"/>
      <c r="U957" s="43"/>
      <c r="V957" s="43"/>
      <c r="W957" s="43"/>
      <c r="X957" s="43"/>
      <c r="Y957" s="43"/>
      <c r="Z957" s="43"/>
    </row>
    <row r="958">
      <c r="A958" s="89"/>
      <c r="B958" s="89"/>
      <c r="C958" s="89"/>
      <c r="D958" s="90"/>
      <c r="E958" s="91"/>
      <c r="F958" s="91"/>
      <c r="G958" s="91"/>
      <c r="H958" s="91"/>
      <c r="I958" s="85"/>
      <c r="J958" s="85"/>
      <c r="K958" s="85"/>
      <c r="L958" s="85"/>
      <c r="M958" s="85"/>
      <c r="N958" s="85"/>
      <c r="O958" s="85"/>
      <c r="P958" s="85"/>
      <c r="Q958" s="85"/>
      <c r="R958" s="43"/>
      <c r="S958" s="43"/>
      <c r="T958" s="43"/>
      <c r="U958" s="43"/>
      <c r="V958" s="43"/>
      <c r="W958" s="43"/>
      <c r="X958" s="43"/>
      <c r="Y958" s="43"/>
      <c r="Z958" s="43"/>
    </row>
    <row r="959">
      <c r="A959" s="89"/>
      <c r="B959" s="89"/>
      <c r="C959" s="89"/>
      <c r="D959" s="90"/>
      <c r="E959" s="91"/>
      <c r="F959" s="91"/>
      <c r="G959" s="91"/>
      <c r="H959" s="91"/>
      <c r="I959" s="85"/>
      <c r="J959" s="85"/>
      <c r="K959" s="85"/>
      <c r="L959" s="85"/>
      <c r="M959" s="85"/>
      <c r="N959" s="85"/>
      <c r="O959" s="85"/>
      <c r="P959" s="85"/>
      <c r="Q959" s="85"/>
      <c r="R959" s="43"/>
      <c r="S959" s="43"/>
      <c r="T959" s="43"/>
      <c r="U959" s="43"/>
      <c r="V959" s="43"/>
      <c r="W959" s="43"/>
      <c r="X959" s="43"/>
      <c r="Y959" s="43"/>
      <c r="Z959" s="43"/>
    </row>
    <row r="960">
      <c r="A960" s="89"/>
      <c r="B960" s="89"/>
      <c r="C960" s="89"/>
      <c r="D960" s="90"/>
      <c r="E960" s="91"/>
      <c r="F960" s="91"/>
      <c r="G960" s="91"/>
      <c r="H960" s="91"/>
      <c r="I960" s="85"/>
      <c r="J960" s="85"/>
      <c r="K960" s="85"/>
      <c r="L960" s="85"/>
      <c r="M960" s="85"/>
      <c r="N960" s="85"/>
      <c r="O960" s="85"/>
      <c r="P960" s="85"/>
      <c r="Q960" s="85"/>
      <c r="R960" s="43"/>
      <c r="S960" s="43"/>
      <c r="T960" s="43"/>
      <c r="U960" s="43"/>
      <c r="V960" s="43"/>
      <c r="W960" s="43"/>
      <c r="X960" s="43"/>
      <c r="Y960" s="43"/>
      <c r="Z960" s="43"/>
    </row>
    <row r="961">
      <c r="A961" s="89"/>
      <c r="B961" s="89"/>
      <c r="C961" s="89"/>
      <c r="D961" s="90"/>
      <c r="E961" s="91"/>
      <c r="F961" s="91"/>
      <c r="G961" s="91"/>
      <c r="H961" s="91"/>
      <c r="I961" s="85"/>
      <c r="J961" s="85"/>
      <c r="K961" s="85"/>
      <c r="L961" s="85"/>
      <c r="M961" s="85"/>
      <c r="N961" s="85"/>
      <c r="O961" s="85"/>
      <c r="P961" s="85"/>
      <c r="Q961" s="85"/>
      <c r="R961" s="43"/>
      <c r="S961" s="43"/>
      <c r="T961" s="43"/>
      <c r="U961" s="43"/>
      <c r="V961" s="43"/>
      <c r="W961" s="43"/>
      <c r="X961" s="43"/>
      <c r="Y961" s="43"/>
      <c r="Z961" s="43"/>
    </row>
    <row r="962">
      <c r="A962" s="89"/>
      <c r="B962" s="89"/>
      <c r="C962" s="89"/>
      <c r="D962" s="90"/>
      <c r="E962" s="91"/>
      <c r="F962" s="91"/>
      <c r="G962" s="91"/>
      <c r="H962" s="91"/>
      <c r="I962" s="85"/>
      <c r="J962" s="85"/>
      <c r="K962" s="85"/>
      <c r="L962" s="85"/>
      <c r="M962" s="85"/>
      <c r="N962" s="85"/>
      <c r="O962" s="85"/>
      <c r="P962" s="85"/>
      <c r="Q962" s="85"/>
      <c r="R962" s="43"/>
      <c r="S962" s="43"/>
      <c r="T962" s="43"/>
      <c r="U962" s="43"/>
      <c r="V962" s="43"/>
      <c r="W962" s="43"/>
      <c r="X962" s="43"/>
      <c r="Y962" s="43"/>
      <c r="Z962" s="43"/>
    </row>
    <row r="963">
      <c r="A963" s="89"/>
      <c r="B963" s="89"/>
      <c r="C963" s="89"/>
      <c r="D963" s="90"/>
      <c r="E963" s="91"/>
      <c r="F963" s="91"/>
      <c r="G963" s="91"/>
      <c r="H963" s="91"/>
      <c r="I963" s="85"/>
      <c r="J963" s="85"/>
      <c r="K963" s="85"/>
      <c r="L963" s="85"/>
      <c r="M963" s="85"/>
      <c r="N963" s="85"/>
      <c r="O963" s="85"/>
      <c r="P963" s="85"/>
      <c r="Q963" s="85"/>
      <c r="R963" s="43"/>
      <c r="S963" s="43"/>
      <c r="T963" s="43"/>
      <c r="U963" s="43"/>
      <c r="V963" s="43"/>
      <c r="W963" s="43"/>
      <c r="X963" s="43"/>
      <c r="Y963" s="43"/>
      <c r="Z963" s="43"/>
    </row>
    <row r="964">
      <c r="A964" s="89"/>
      <c r="B964" s="89"/>
      <c r="C964" s="89"/>
      <c r="D964" s="90"/>
      <c r="E964" s="91"/>
      <c r="F964" s="91"/>
      <c r="G964" s="91"/>
      <c r="H964" s="91"/>
      <c r="I964" s="85"/>
      <c r="J964" s="85"/>
      <c r="K964" s="85"/>
      <c r="L964" s="85"/>
      <c r="M964" s="85"/>
      <c r="N964" s="85"/>
      <c r="O964" s="85"/>
      <c r="P964" s="85"/>
      <c r="Q964" s="85"/>
      <c r="R964" s="43"/>
      <c r="S964" s="43"/>
      <c r="T964" s="43"/>
      <c r="U964" s="43"/>
      <c r="V964" s="43"/>
      <c r="W964" s="43"/>
      <c r="X964" s="43"/>
      <c r="Y964" s="43"/>
      <c r="Z964" s="43"/>
    </row>
    <row r="965">
      <c r="A965" s="89"/>
      <c r="B965" s="89"/>
      <c r="C965" s="89"/>
      <c r="D965" s="90"/>
      <c r="E965" s="91"/>
      <c r="F965" s="91"/>
      <c r="G965" s="91"/>
      <c r="H965" s="91"/>
      <c r="I965" s="85"/>
      <c r="J965" s="85"/>
      <c r="K965" s="85"/>
      <c r="L965" s="85"/>
      <c r="M965" s="85"/>
      <c r="N965" s="85"/>
      <c r="O965" s="85"/>
      <c r="P965" s="85"/>
      <c r="Q965" s="85"/>
      <c r="R965" s="43"/>
      <c r="S965" s="43"/>
      <c r="T965" s="43"/>
      <c r="U965" s="43"/>
      <c r="V965" s="43"/>
      <c r="W965" s="43"/>
      <c r="X965" s="43"/>
      <c r="Y965" s="43"/>
      <c r="Z965" s="43"/>
    </row>
    <row r="966">
      <c r="A966" s="89"/>
      <c r="B966" s="89"/>
      <c r="C966" s="89"/>
      <c r="D966" s="90"/>
      <c r="E966" s="91"/>
      <c r="F966" s="91"/>
      <c r="G966" s="91"/>
      <c r="H966" s="91"/>
      <c r="I966" s="85"/>
      <c r="J966" s="85"/>
      <c r="K966" s="85"/>
      <c r="L966" s="85"/>
      <c r="M966" s="85"/>
      <c r="N966" s="85"/>
      <c r="O966" s="85"/>
      <c r="P966" s="85"/>
      <c r="Q966" s="85"/>
      <c r="R966" s="43"/>
      <c r="S966" s="43"/>
      <c r="T966" s="43"/>
      <c r="U966" s="43"/>
      <c r="V966" s="43"/>
      <c r="W966" s="43"/>
      <c r="X966" s="43"/>
      <c r="Y966" s="43"/>
      <c r="Z966" s="43"/>
    </row>
    <row r="967">
      <c r="A967" s="89"/>
      <c r="B967" s="89"/>
      <c r="C967" s="89"/>
      <c r="D967" s="90"/>
      <c r="E967" s="91"/>
      <c r="F967" s="91"/>
      <c r="G967" s="91"/>
      <c r="H967" s="91"/>
      <c r="I967" s="85"/>
      <c r="J967" s="85"/>
      <c r="K967" s="85"/>
      <c r="L967" s="85"/>
      <c r="M967" s="85"/>
      <c r="N967" s="85"/>
      <c r="O967" s="85"/>
      <c r="P967" s="85"/>
      <c r="Q967" s="85"/>
      <c r="R967" s="43"/>
      <c r="S967" s="43"/>
      <c r="T967" s="43"/>
      <c r="U967" s="43"/>
      <c r="V967" s="43"/>
      <c r="W967" s="43"/>
      <c r="X967" s="43"/>
      <c r="Y967" s="43"/>
      <c r="Z967" s="43"/>
    </row>
    <row r="968">
      <c r="A968" s="89"/>
      <c r="B968" s="89"/>
      <c r="C968" s="89"/>
      <c r="D968" s="90"/>
      <c r="E968" s="91"/>
      <c r="F968" s="91"/>
      <c r="G968" s="91"/>
      <c r="H968" s="91"/>
      <c r="I968" s="85"/>
      <c r="J968" s="85"/>
      <c r="K968" s="85"/>
      <c r="L968" s="85"/>
      <c r="M968" s="85"/>
      <c r="N968" s="85"/>
      <c r="O968" s="85"/>
      <c r="P968" s="85"/>
      <c r="Q968" s="85"/>
      <c r="R968" s="43"/>
      <c r="S968" s="43"/>
      <c r="T968" s="43"/>
      <c r="U968" s="43"/>
      <c r="V968" s="43"/>
      <c r="W968" s="43"/>
      <c r="X968" s="43"/>
      <c r="Y968" s="43"/>
      <c r="Z968" s="43"/>
    </row>
    <row r="969">
      <c r="A969" s="89"/>
      <c r="B969" s="89"/>
      <c r="C969" s="89"/>
      <c r="D969" s="90"/>
      <c r="E969" s="91"/>
      <c r="F969" s="91"/>
      <c r="G969" s="91"/>
      <c r="H969" s="91"/>
      <c r="I969" s="85"/>
      <c r="J969" s="85"/>
      <c r="K969" s="85"/>
      <c r="L969" s="85"/>
      <c r="M969" s="85"/>
      <c r="N969" s="85"/>
      <c r="O969" s="85"/>
      <c r="P969" s="85"/>
      <c r="Q969" s="85"/>
      <c r="R969" s="43"/>
      <c r="S969" s="43"/>
      <c r="T969" s="43"/>
      <c r="U969" s="43"/>
      <c r="V969" s="43"/>
      <c r="W969" s="43"/>
      <c r="X969" s="43"/>
      <c r="Y969" s="43"/>
      <c r="Z969" s="43"/>
    </row>
    <row r="970">
      <c r="A970" s="89"/>
      <c r="B970" s="89"/>
      <c r="C970" s="89"/>
      <c r="D970" s="90"/>
      <c r="E970" s="91"/>
      <c r="F970" s="91"/>
      <c r="G970" s="91"/>
      <c r="H970" s="91"/>
      <c r="I970" s="85"/>
      <c r="J970" s="85"/>
      <c r="K970" s="85"/>
      <c r="L970" s="85"/>
      <c r="M970" s="85"/>
      <c r="N970" s="85"/>
      <c r="O970" s="85"/>
      <c r="P970" s="85"/>
      <c r="Q970" s="85"/>
      <c r="R970" s="43"/>
      <c r="S970" s="43"/>
      <c r="T970" s="43"/>
      <c r="U970" s="43"/>
      <c r="V970" s="43"/>
      <c r="W970" s="43"/>
      <c r="X970" s="43"/>
      <c r="Y970" s="43"/>
      <c r="Z970" s="43"/>
    </row>
    <row r="971">
      <c r="A971" s="89"/>
      <c r="B971" s="89"/>
      <c r="C971" s="89"/>
      <c r="D971" s="90"/>
      <c r="E971" s="91"/>
      <c r="F971" s="91"/>
      <c r="G971" s="91"/>
      <c r="H971" s="91"/>
      <c r="I971" s="85"/>
      <c r="J971" s="85"/>
      <c r="K971" s="85"/>
      <c r="L971" s="85"/>
      <c r="M971" s="85"/>
      <c r="N971" s="85"/>
      <c r="O971" s="85"/>
      <c r="P971" s="85"/>
      <c r="Q971" s="85"/>
      <c r="R971" s="43"/>
      <c r="S971" s="43"/>
      <c r="T971" s="43"/>
      <c r="U971" s="43"/>
      <c r="V971" s="43"/>
      <c r="W971" s="43"/>
      <c r="X971" s="43"/>
      <c r="Y971" s="43"/>
      <c r="Z971" s="43"/>
    </row>
    <row r="972">
      <c r="A972" s="89"/>
      <c r="B972" s="89"/>
      <c r="C972" s="89"/>
      <c r="D972" s="90"/>
      <c r="E972" s="91"/>
      <c r="F972" s="91"/>
      <c r="G972" s="91"/>
      <c r="H972" s="91"/>
      <c r="I972" s="85"/>
      <c r="J972" s="85"/>
      <c r="K972" s="85"/>
      <c r="L972" s="85"/>
      <c r="M972" s="85"/>
      <c r="N972" s="85"/>
      <c r="O972" s="85"/>
      <c r="P972" s="85"/>
      <c r="Q972" s="85"/>
      <c r="R972" s="43"/>
      <c r="S972" s="43"/>
      <c r="T972" s="43"/>
      <c r="U972" s="43"/>
      <c r="V972" s="43"/>
      <c r="W972" s="43"/>
      <c r="X972" s="43"/>
      <c r="Y972" s="43"/>
      <c r="Z972" s="43"/>
    </row>
    <row r="973">
      <c r="A973" s="89"/>
      <c r="B973" s="89"/>
      <c r="C973" s="89"/>
      <c r="D973" s="90"/>
      <c r="E973" s="91"/>
      <c r="F973" s="91"/>
      <c r="G973" s="91"/>
      <c r="H973" s="91"/>
      <c r="I973" s="85"/>
      <c r="J973" s="85"/>
      <c r="K973" s="85"/>
      <c r="L973" s="85"/>
      <c r="M973" s="85"/>
      <c r="N973" s="85"/>
      <c r="O973" s="85"/>
      <c r="P973" s="85"/>
      <c r="Q973" s="85"/>
      <c r="R973" s="43"/>
      <c r="S973" s="43"/>
      <c r="T973" s="43"/>
      <c r="U973" s="43"/>
      <c r="V973" s="43"/>
      <c r="W973" s="43"/>
      <c r="X973" s="43"/>
      <c r="Y973" s="43"/>
      <c r="Z973" s="43"/>
    </row>
    <row r="974">
      <c r="A974" s="89"/>
      <c r="B974" s="89"/>
      <c r="C974" s="89"/>
      <c r="D974" s="90"/>
      <c r="E974" s="91"/>
      <c r="F974" s="91"/>
      <c r="G974" s="91"/>
      <c r="H974" s="91"/>
      <c r="I974" s="85"/>
      <c r="J974" s="85"/>
      <c r="K974" s="85"/>
      <c r="L974" s="85"/>
      <c r="M974" s="85"/>
      <c r="N974" s="85"/>
      <c r="O974" s="85"/>
      <c r="P974" s="85"/>
      <c r="Q974" s="85"/>
      <c r="R974" s="43"/>
      <c r="S974" s="43"/>
      <c r="T974" s="43"/>
      <c r="U974" s="43"/>
      <c r="V974" s="43"/>
      <c r="W974" s="43"/>
      <c r="X974" s="43"/>
      <c r="Y974" s="43"/>
      <c r="Z974" s="43"/>
    </row>
    <row r="975">
      <c r="A975" s="89"/>
      <c r="B975" s="89"/>
      <c r="C975" s="89"/>
      <c r="D975" s="90"/>
      <c r="E975" s="91"/>
      <c r="F975" s="91"/>
      <c r="G975" s="91"/>
      <c r="H975" s="91"/>
      <c r="I975" s="85"/>
      <c r="J975" s="85"/>
      <c r="K975" s="85"/>
      <c r="L975" s="85"/>
      <c r="M975" s="85"/>
      <c r="N975" s="85"/>
      <c r="O975" s="85"/>
      <c r="P975" s="85"/>
      <c r="Q975" s="85"/>
      <c r="R975" s="43"/>
      <c r="S975" s="43"/>
      <c r="T975" s="43"/>
      <c r="U975" s="43"/>
      <c r="V975" s="43"/>
      <c r="W975" s="43"/>
      <c r="X975" s="43"/>
      <c r="Y975" s="43"/>
      <c r="Z975" s="43"/>
    </row>
    <row r="976">
      <c r="A976" s="89"/>
      <c r="B976" s="89"/>
      <c r="C976" s="89"/>
      <c r="D976" s="90"/>
      <c r="E976" s="91"/>
      <c r="F976" s="91"/>
      <c r="G976" s="91"/>
      <c r="H976" s="91"/>
      <c r="I976" s="85"/>
      <c r="J976" s="85"/>
      <c r="K976" s="85"/>
      <c r="L976" s="85"/>
      <c r="M976" s="85"/>
      <c r="N976" s="85"/>
      <c r="O976" s="85"/>
      <c r="P976" s="85"/>
      <c r="Q976" s="85"/>
      <c r="R976" s="43"/>
      <c r="S976" s="43"/>
      <c r="T976" s="43"/>
      <c r="U976" s="43"/>
      <c r="V976" s="43"/>
      <c r="W976" s="43"/>
      <c r="X976" s="43"/>
      <c r="Y976" s="43"/>
      <c r="Z976" s="43"/>
    </row>
    <row r="977">
      <c r="A977" s="89"/>
      <c r="B977" s="89"/>
      <c r="C977" s="89"/>
      <c r="D977" s="90"/>
      <c r="E977" s="91"/>
      <c r="F977" s="91"/>
      <c r="G977" s="91"/>
      <c r="H977" s="91"/>
      <c r="I977" s="85"/>
      <c r="J977" s="85"/>
      <c r="K977" s="85"/>
      <c r="L977" s="85"/>
      <c r="M977" s="85"/>
      <c r="N977" s="85"/>
      <c r="O977" s="85"/>
      <c r="P977" s="85"/>
      <c r="Q977" s="85"/>
      <c r="R977" s="43"/>
      <c r="S977" s="43"/>
      <c r="T977" s="43"/>
      <c r="U977" s="43"/>
      <c r="V977" s="43"/>
      <c r="W977" s="43"/>
      <c r="X977" s="43"/>
      <c r="Y977" s="43"/>
      <c r="Z977" s="43"/>
    </row>
    <row r="978">
      <c r="A978" s="89"/>
      <c r="B978" s="89"/>
      <c r="C978" s="89"/>
      <c r="D978" s="90"/>
      <c r="E978" s="91"/>
      <c r="F978" s="91"/>
      <c r="G978" s="91"/>
      <c r="H978" s="91"/>
      <c r="I978" s="85"/>
      <c r="J978" s="85"/>
      <c r="K978" s="85"/>
      <c r="L978" s="85"/>
      <c r="M978" s="85"/>
      <c r="N978" s="85"/>
      <c r="O978" s="85"/>
      <c r="P978" s="85"/>
      <c r="Q978" s="85"/>
      <c r="R978" s="43"/>
      <c r="S978" s="43"/>
      <c r="T978" s="43"/>
      <c r="U978" s="43"/>
      <c r="V978" s="43"/>
      <c r="W978" s="43"/>
      <c r="X978" s="43"/>
      <c r="Y978" s="43"/>
      <c r="Z978" s="43"/>
    </row>
    <row r="979">
      <c r="A979" s="89"/>
      <c r="B979" s="89"/>
      <c r="C979" s="89"/>
      <c r="D979" s="90"/>
      <c r="E979" s="91"/>
      <c r="F979" s="91"/>
      <c r="G979" s="91"/>
      <c r="H979" s="91"/>
      <c r="I979" s="85"/>
      <c r="J979" s="85"/>
      <c r="K979" s="85"/>
      <c r="L979" s="85"/>
      <c r="M979" s="85"/>
      <c r="N979" s="85"/>
      <c r="O979" s="85"/>
      <c r="P979" s="85"/>
      <c r="Q979" s="85"/>
      <c r="R979" s="43"/>
      <c r="S979" s="43"/>
      <c r="T979" s="43"/>
      <c r="U979" s="43"/>
      <c r="V979" s="43"/>
      <c r="W979" s="43"/>
      <c r="X979" s="43"/>
      <c r="Y979" s="43"/>
      <c r="Z979" s="43"/>
    </row>
    <row r="980">
      <c r="A980" s="89"/>
      <c r="B980" s="89"/>
      <c r="C980" s="89"/>
      <c r="D980" s="90"/>
      <c r="E980" s="91"/>
      <c r="F980" s="91"/>
      <c r="G980" s="91"/>
      <c r="H980" s="91"/>
      <c r="I980" s="85"/>
      <c r="J980" s="85"/>
      <c r="K980" s="85"/>
      <c r="L980" s="85"/>
      <c r="M980" s="85"/>
      <c r="N980" s="85"/>
      <c r="O980" s="85"/>
      <c r="P980" s="85"/>
      <c r="Q980" s="85"/>
      <c r="R980" s="43"/>
      <c r="S980" s="43"/>
      <c r="T980" s="43"/>
      <c r="U980" s="43"/>
      <c r="V980" s="43"/>
      <c r="W980" s="43"/>
      <c r="X980" s="43"/>
      <c r="Y980" s="43"/>
      <c r="Z980" s="43"/>
    </row>
    <row r="981">
      <c r="A981" s="89"/>
      <c r="B981" s="89"/>
      <c r="C981" s="89"/>
      <c r="D981" s="90"/>
      <c r="E981" s="91"/>
      <c r="F981" s="91"/>
      <c r="G981" s="91"/>
      <c r="H981" s="91"/>
      <c r="I981" s="85"/>
      <c r="J981" s="85"/>
      <c r="K981" s="85"/>
      <c r="L981" s="85"/>
      <c r="M981" s="85"/>
      <c r="N981" s="85"/>
      <c r="O981" s="85"/>
      <c r="P981" s="85"/>
      <c r="Q981" s="85"/>
      <c r="R981" s="43"/>
      <c r="S981" s="43"/>
      <c r="T981" s="43"/>
      <c r="U981" s="43"/>
      <c r="V981" s="43"/>
      <c r="W981" s="43"/>
      <c r="X981" s="43"/>
      <c r="Y981" s="43"/>
      <c r="Z981" s="43"/>
    </row>
    <row r="982">
      <c r="A982" s="89"/>
      <c r="B982" s="89"/>
      <c r="C982" s="89"/>
      <c r="D982" s="90"/>
      <c r="E982" s="91"/>
      <c r="F982" s="91"/>
      <c r="G982" s="91"/>
      <c r="H982" s="91"/>
      <c r="I982" s="85"/>
      <c r="J982" s="85"/>
      <c r="K982" s="85"/>
      <c r="L982" s="85"/>
      <c r="M982" s="85"/>
      <c r="N982" s="85"/>
      <c r="O982" s="85"/>
      <c r="P982" s="85"/>
      <c r="Q982" s="85"/>
      <c r="R982" s="43"/>
      <c r="S982" s="43"/>
      <c r="T982" s="43"/>
      <c r="U982" s="43"/>
      <c r="V982" s="43"/>
      <c r="W982" s="43"/>
      <c r="X982" s="43"/>
      <c r="Y982" s="43"/>
      <c r="Z982" s="43"/>
    </row>
    <row r="983">
      <c r="A983" s="89"/>
      <c r="B983" s="89"/>
      <c r="C983" s="89"/>
      <c r="D983" s="90"/>
      <c r="E983" s="91"/>
      <c r="F983" s="91"/>
      <c r="G983" s="91"/>
      <c r="H983" s="91"/>
      <c r="I983" s="85"/>
      <c r="J983" s="85"/>
      <c r="K983" s="85"/>
      <c r="L983" s="85"/>
      <c r="M983" s="85"/>
      <c r="N983" s="85"/>
      <c r="O983" s="85"/>
      <c r="P983" s="85"/>
      <c r="Q983" s="85"/>
      <c r="R983" s="43"/>
      <c r="S983" s="43"/>
      <c r="T983" s="43"/>
      <c r="U983" s="43"/>
      <c r="V983" s="43"/>
      <c r="W983" s="43"/>
      <c r="X983" s="43"/>
      <c r="Y983" s="43"/>
      <c r="Z983" s="43"/>
    </row>
    <row r="984">
      <c r="A984" s="89"/>
      <c r="B984" s="89"/>
      <c r="C984" s="89"/>
      <c r="D984" s="90"/>
      <c r="E984" s="91"/>
      <c r="F984" s="91"/>
      <c r="G984" s="91"/>
      <c r="H984" s="91"/>
      <c r="I984" s="85"/>
      <c r="J984" s="85"/>
      <c r="K984" s="85"/>
      <c r="L984" s="85"/>
      <c r="M984" s="85"/>
      <c r="N984" s="85"/>
      <c r="O984" s="85"/>
      <c r="P984" s="85"/>
      <c r="Q984" s="85"/>
      <c r="R984" s="43"/>
      <c r="S984" s="43"/>
      <c r="T984" s="43"/>
      <c r="U984" s="43"/>
      <c r="V984" s="43"/>
      <c r="W984" s="43"/>
      <c r="X984" s="43"/>
      <c r="Y984" s="43"/>
      <c r="Z984" s="43"/>
    </row>
    <row r="985">
      <c r="A985" s="89"/>
      <c r="B985" s="89"/>
      <c r="C985" s="89"/>
      <c r="D985" s="90"/>
      <c r="E985" s="91"/>
      <c r="F985" s="91"/>
      <c r="G985" s="91"/>
      <c r="H985" s="91"/>
      <c r="I985" s="85"/>
      <c r="J985" s="85"/>
      <c r="K985" s="85"/>
      <c r="L985" s="85"/>
      <c r="M985" s="85"/>
      <c r="N985" s="85"/>
      <c r="O985" s="85"/>
      <c r="P985" s="85"/>
      <c r="Q985" s="85"/>
      <c r="R985" s="43"/>
      <c r="S985" s="43"/>
      <c r="T985" s="43"/>
      <c r="U985" s="43"/>
      <c r="V985" s="43"/>
      <c r="W985" s="43"/>
      <c r="X985" s="43"/>
      <c r="Y985" s="43"/>
      <c r="Z985" s="43"/>
    </row>
    <row r="986">
      <c r="A986" s="89"/>
      <c r="B986" s="89"/>
      <c r="C986" s="89"/>
      <c r="D986" s="90"/>
      <c r="E986" s="91"/>
      <c r="F986" s="91"/>
      <c r="G986" s="91"/>
      <c r="H986" s="91"/>
      <c r="I986" s="85"/>
      <c r="J986" s="85"/>
      <c r="K986" s="85"/>
      <c r="L986" s="85"/>
      <c r="M986" s="85"/>
      <c r="N986" s="85"/>
      <c r="O986" s="85"/>
      <c r="P986" s="85"/>
      <c r="Q986" s="85"/>
      <c r="R986" s="43"/>
      <c r="S986" s="43"/>
      <c r="T986" s="43"/>
      <c r="U986" s="43"/>
      <c r="V986" s="43"/>
      <c r="W986" s="43"/>
      <c r="X986" s="43"/>
      <c r="Y986" s="43"/>
      <c r="Z986" s="43"/>
    </row>
    <row r="987">
      <c r="A987" s="89"/>
      <c r="B987" s="89"/>
      <c r="C987" s="89"/>
      <c r="D987" s="90"/>
      <c r="E987" s="91"/>
      <c r="F987" s="91"/>
      <c r="G987" s="91"/>
      <c r="H987" s="91"/>
      <c r="I987" s="85"/>
      <c r="J987" s="85"/>
      <c r="K987" s="85"/>
      <c r="L987" s="85"/>
      <c r="M987" s="85"/>
      <c r="N987" s="85"/>
      <c r="O987" s="85"/>
      <c r="P987" s="85"/>
      <c r="Q987" s="85"/>
      <c r="R987" s="43"/>
      <c r="S987" s="43"/>
      <c r="T987" s="43"/>
      <c r="U987" s="43"/>
      <c r="V987" s="43"/>
      <c r="W987" s="43"/>
      <c r="X987" s="43"/>
      <c r="Y987" s="43"/>
      <c r="Z987" s="43"/>
    </row>
    <row r="988">
      <c r="A988" s="89"/>
      <c r="B988" s="89"/>
      <c r="C988" s="89"/>
      <c r="D988" s="90"/>
      <c r="E988" s="91"/>
      <c r="F988" s="91"/>
      <c r="G988" s="91"/>
      <c r="H988" s="91"/>
      <c r="I988" s="85"/>
      <c r="J988" s="85"/>
      <c r="K988" s="85"/>
      <c r="L988" s="85"/>
      <c r="M988" s="85"/>
      <c r="N988" s="85"/>
      <c r="O988" s="85"/>
      <c r="P988" s="85"/>
      <c r="Q988" s="85"/>
      <c r="R988" s="43"/>
      <c r="S988" s="43"/>
      <c r="T988" s="43"/>
      <c r="U988" s="43"/>
      <c r="V988" s="43"/>
      <c r="W988" s="43"/>
      <c r="X988" s="43"/>
      <c r="Y988" s="43"/>
      <c r="Z988" s="43"/>
    </row>
    <row r="989">
      <c r="A989" s="89"/>
      <c r="B989" s="89"/>
      <c r="C989" s="89"/>
      <c r="D989" s="90"/>
      <c r="E989" s="91"/>
      <c r="F989" s="91"/>
      <c r="G989" s="91"/>
      <c r="H989" s="91"/>
      <c r="I989" s="85"/>
      <c r="J989" s="85"/>
      <c r="K989" s="85"/>
      <c r="L989" s="85"/>
      <c r="M989" s="85"/>
      <c r="N989" s="85"/>
      <c r="O989" s="85"/>
      <c r="P989" s="85"/>
      <c r="Q989" s="85"/>
      <c r="R989" s="43"/>
      <c r="S989" s="43"/>
      <c r="T989" s="43"/>
      <c r="U989" s="43"/>
      <c r="V989" s="43"/>
      <c r="W989" s="43"/>
      <c r="X989" s="43"/>
      <c r="Y989" s="43"/>
      <c r="Z989" s="43"/>
    </row>
    <row r="990">
      <c r="A990" s="89"/>
      <c r="B990" s="89"/>
      <c r="C990" s="89"/>
      <c r="D990" s="90"/>
      <c r="E990" s="91"/>
      <c r="F990" s="91"/>
      <c r="G990" s="91"/>
      <c r="H990" s="91"/>
      <c r="I990" s="85"/>
      <c r="J990" s="85"/>
      <c r="K990" s="85"/>
      <c r="L990" s="85"/>
      <c r="M990" s="85"/>
      <c r="N990" s="85"/>
      <c r="O990" s="85"/>
      <c r="P990" s="85"/>
      <c r="Q990" s="85"/>
      <c r="R990" s="43"/>
      <c r="S990" s="43"/>
      <c r="T990" s="43"/>
      <c r="U990" s="43"/>
      <c r="V990" s="43"/>
      <c r="W990" s="43"/>
      <c r="X990" s="43"/>
      <c r="Y990" s="43"/>
      <c r="Z990" s="43"/>
    </row>
    <row r="991">
      <c r="A991" s="89"/>
      <c r="B991" s="89"/>
      <c r="C991" s="89"/>
      <c r="D991" s="90"/>
      <c r="E991" s="91"/>
      <c r="F991" s="91"/>
      <c r="G991" s="91"/>
      <c r="H991" s="91"/>
      <c r="I991" s="85"/>
      <c r="J991" s="85"/>
      <c r="K991" s="85"/>
      <c r="L991" s="85"/>
      <c r="M991" s="85"/>
      <c r="N991" s="85"/>
      <c r="O991" s="85"/>
      <c r="P991" s="85"/>
      <c r="Q991" s="85"/>
      <c r="R991" s="43"/>
      <c r="S991" s="43"/>
      <c r="T991" s="43"/>
      <c r="U991" s="43"/>
      <c r="V991" s="43"/>
      <c r="W991" s="43"/>
      <c r="X991" s="43"/>
      <c r="Y991" s="43"/>
      <c r="Z991" s="43"/>
    </row>
    <row r="992">
      <c r="A992" s="89"/>
      <c r="B992" s="89"/>
      <c r="C992" s="89"/>
      <c r="D992" s="90"/>
      <c r="E992" s="91"/>
      <c r="F992" s="91"/>
      <c r="G992" s="91"/>
      <c r="H992" s="91"/>
      <c r="I992" s="85"/>
      <c r="J992" s="85"/>
      <c r="K992" s="85"/>
      <c r="L992" s="85"/>
      <c r="M992" s="85"/>
      <c r="N992" s="85"/>
      <c r="O992" s="85"/>
      <c r="P992" s="85"/>
      <c r="Q992" s="85"/>
      <c r="R992" s="43"/>
      <c r="S992" s="43"/>
      <c r="T992" s="43"/>
      <c r="U992" s="43"/>
      <c r="V992" s="43"/>
      <c r="W992" s="43"/>
      <c r="X992" s="43"/>
      <c r="Y992" s="43"/>
      <c r="Z992" s="43"/>
    </row>
    <row r="993">
      <c r="A993" s="89"/>
      <c r="B993" s="89"/>
      <c r="C993" s="89"/>
      <c r="D993" s="90"/>
      <c r="E993" s="91"/>
      <c r="F993" s="91"/>
      <c r="G993" s="91"/>
      <c r="H993" s="91"/>
      <c r="I993" s="85"/>
      <c r="J993" s="85"/>
      <c r="K993" s="85"/>
      <c r="L993" s="85"/>
      <c r="M993" s="85"/>
      <c r="N993" s="85"/>
      <c r="O993" s="85"/>
      <c r="P993" s="85"/>
      <c r="Q993" s="85"/>
      <c r="R993" s="43"/>
      <c r="S993" s="43"/>
      <c r="T993" s="43"/>
      <c r="U993" s="43"/>
      <c r="V993" s="43"/>
      <c r="W993" s="43"/>
      <c r="X993" s="43"/>
      <c r="Y993" s="43"/>
      <c r="Z993" s="43"/>
    </row>
    <row r="994">
      <c r="A994" s="89"/>
      <c r="B994" s="89"/>
      <c r="C994" s="89"/>
      <c r="D994" s="90"/>
      <c r="E994" s="91"/>
      <c r="F994" s="91"/>
      <c r="G994" s="91"/>
      <c r="H994" s="91"/>
      <c r="I994" s="85"/>
      <c r="J994" s="85"/>
      <c r="K994" s="85"/>
      <c r="L994" s="85"/>
      <c r="M994" s="85"/>
      <c r="N994" s="85"/>
      <c r="O994" s="85"/>
      <c r="P994" s="85"/>
      <c r="Q994" s="85"/>
      <c r="R994" s="43"/>
      <c r="S994" s="43"/>
      <c r="T994" s="43"/>
      <c r="U994" s="43"/>
      <c r="V994" s="43"/>
      <c r="W994" s="43"/>
      <c r="X994" s="43"/>
      <c r="Y994" s="43"/>
      <c r="Z994" s="43"/>
    </row>
    <row r="995">
      <c r="A995" s="89"/>
      <c r="B995" s="89"/>
      <c r="C995" s="89"/>
      <c r="D995" s="90"/>
      <c r="E995" s="91"/>
      <c r="F995" s="91"/>
      <c r="G995" s="91"/>
      <c r="H995" s="91"/>
      <c r="I995" s="85"/>
      <c r="J995" s="85"/>
      <c r="K995" s="85"/>
      <c r="L995" s="85"/>
      <c r="M995" s="85"/>
      <c r="N995" s="85"/>
      <c r="O995" s="85"/>
      <c r="P995" s="85"/>
      <c r="Q995" s="85"/>
      <c r="R995" s="43"/>
      <c r="S995" s="43"/>
      <c r="T995" s="43"/>
      <c r="U995" s="43"/>
      <c r="V995" s="43"/>
      <c r="W995" s="43"/>
      <c r="X995" s="43"/>
      <c r="Y995" s="43"/>
      <c r="Z995" s="43"/>
    </row>
    <row r="996">
      <c r="A996" s="89"/>
      <c r="B996" s="89"/>
      <c r="C996" s="89"/>
      <c r="D996" s="90"/>
      <c r="E996" s="91"/>
      <c r="F996" s="91"/>
      <c r="G996" s="91"/>
      <c r="H996" s="91"/>
      <c r="I996" s="85"/>
      <c r="J996" s="85"/>
      <c r="K996" s="85"/>
      <c r="L996" s="85"/>
      <c r="M996" s="85"/>
      <c r="N996" s="85"/>
      <c r="O996" s="85"/>
      <c r="P996" s="85"/>
      <c r="Q996" s="85"/>
      <c r="R996" s="43"/>
      <c r="S996" s="43"/>
      <c r="T996" s="43"/>
      <c r="U996" s="43"/>
      <c r="V996" s="43"/>
      <c r="W996" s="43"/>
      <c r="X996" s="43"/>
      <c r="Y996" s="43"/>
      <c r="Z996" s="43"/>
    </row>
    <row r="997">
      <c r="A997" s="89"/>
      <c r="B997" s="89"/>
      <c r="C997" s="89"/>
      <c r="D997" s="90"/>
      <c r="E997" s="91"/>
      <c r="F997" s="91"/>
      <c r="G997" s="91"/>
      <c r="H997" s="91"/>
      <c r="I997" s="85"/>
      <c r="J997" s="85"/>
      <c r="K997" s="85"/>
      <c r="L997" s="85"/>
      <c r="M997" s="85"/>
      <c r="N997" s="85"/>
      <c r="O997" s="85"/>
      <c r="P997" s="85"/>
      <c r="Q997" s="85"/>
      <c r="R997" s="43"/>
      <c r="S997" s="43"/>
      <c r="T997" s="43"/>
      <c r="U997" s="43"/>
      <c r="V997" s="43"/>
      <c r="W997" s="43"/>
      <c r="X997" s="43"/>
      <c r="Y997" s="43"/>
      <c r="Z997" s="43"/>
    </row>
    <row r="998">
      <c r="A998" s="89"/>
      <c r="B998" s="89"/>
      <c r="C998" s="89"/>
      <c r="D998" s="90"/>
      <c r="E998" s="91"/>
      <c r="F998" s="91"/>
      <c r="G998" s="91"/>
      <c r="H998" s="91"/>
      <c r="I998" s="85"/>
      <c r="J998" s="85"/>
      <c r="K998" s="85"/>
      <c r="L998" s="85"/>
      <c r="M998" s="85"/>
      <c r="N998" s="85"/>
      <c r="O998" s="85"/>
      <c r="P998" s="85"/>
      <c r="Q998" s="85"/>
      <c r="R998" s="43"/>
      <c r="S998" s="43"/>
      <c r="T998" s="43"/>
      <c r="U998" s="43"/>
      <c r="V998" s="43"/>
      <c r="W998" s="43"/>
      <c r="X998" s="43"/>
      <c r="Y998" s="43"/>
      <c r="Z998" s="43"/>
    </row>
    <row r="999">
      <c r="A999" s="89"/>
      <c r="B999" s="89"/>
      <c r="C999" s="89"/>
      <c r="D999" s="90"/>
      <c r="E999" s="91"/>
      <c r="F999" s="91"/>
      <c r="G999" s="91"/>
      <c r="H999" s="91"/>
      <c r="I999" s="85"/>
      <c r="J999" s="85"/>
      <c r="K999" s="85"/>
      <c r="L999" s="85"/>
      <c r="M999" s="85"/>
      <c r="N999" s="85"/>
      <c r="O999" s="85"/>
      <c r="P999" s="85"/>
      <c r="Q999" s="85"/>
      <c r="R999" s="43"/>
      <c r="S999" s="43"/>
      <c r="T999" s="43"/>
      <c r="U999" s="43"/>
      <c r="V999" s="43"/>
      <c r="W999" s="43"/>
      <c r="X999" s="43"/>
      <c r="Y999" s="43"/>
      <c r="Z999" s="43"/>
    </row>
    <row r="1000">
      <c r="A1000" s="89"/>
      <c r="B1000" s="89"/>
      <c r="C1000" s="89"/>
      <c r="D1000" s="90"/>
      <c r="E1000" s="91"/>
      <c r="F1000" s="91"/>
      <c r="G1000" s="91"/>
      <c r="H1000" s="91"/>
      <c r="I1000" s="85"/>
      <c r="J1000" s="85"/>
      <c r="K1000" s="85"/>
      <c r="L1000" s="85"/>
      <c r="M1000" s="85"/>
      <c r="N1000" s="85"/>
      <c r="O1000" s="85"/>
      <c r="P1000" s="85"/>
      <c r="Q1000" s="85"/>
      <c r="R1000" s="43"/>
      <c r="S1000" s="43"/>
      <c r="T1000" s="43"/>
      <c r="U1000" s="43"/>
      <c r="V1000" s="43"/>
      <c r="W1000" s="43"/>
      <c r="X1000" s="43"/>
      <c r="Y1000" s="43"/>
      <c r="Z1000" s="4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7" width="17.38"/>
  </cols>
  <sheetData>
    <row r="1">
      <c r="A1" s="82" t="s">
        <v>2</v>
      </c>
      <c r="B1" s="82" t="s">
        <v>3</v>
      </c>
      <c r="C1" s="83" t="s">
        <v>3930</v>
      </c>
      <c r="D1" s="82" t="s">
        <v>3931</v>
      </c>
      <c r="E1" s="82" t="s">
        <v>4</v>
      </c>
      <c r="F1" s="82" t="s">
        <v>3274</v>
      </c>
      <c r="G1" s="84" t="s">
        <v>3275</v>
      </c>
      <c r="H1" s="85"/>
      <c r="I1" s="85"/>
      <c r="J1" s="85"/>
      <c r="K1" s="85"/>
      <c r="L1" s="85"/>
      <c r="M1" s="85"/>
      <c r="N1" s="85"/>
      <c r="O1" s="85"/>
      <c r="P1" s="85"/>
    </row>
    <row r="2">
      <c r="A2" s="87">
        <v>1.0</v>
      </c>
      <c r="B2" s="88" t="s">
        <v>3932</v>
      </c>
      <c r="C2" s="87" t="s">
        <v>3169</v>
      </c>
      <c r="D2" s="87" t="s">
        <v>3221</v>
      </c>
      <c r="E2" s="87" t="s">
        <v>3933</v>
      </c>
      <c r="F2" s="87">
        <v>-6.33318335253757</v>
      </c>
      <c r="G2" s="86">
        <v>106.774398292137</v>
      </c>
      <c r="H2" s="85"/>
      <c r="I2" s="85"/>
      <c r="J2" s="85"/>
      <c r="K2" s="85"/>
      <c r="L2" s="85"/>
      <c r="M2" s="85"/>
      <c r="N2" s="85"/>
      <c r="O2" s="85"/>
      <c r="P2" s="85"/>
    </row>
    <row r="3">
      <c r="A3" s="87">
        <v>2.0</v>
      </c>
      <c r="B3" s="88" t="s">
        <v>3934</v>
      </c>
      <c r="C3" s="87" t="s">
        <v>3207</v>
      </c>
      <c r="D3" s="87" t="s">
        <v>3214</v>
      </c>
      <c r="E3" s="87" t="s">
        <v>3935</v>
      </c>
      <c r="F3" s="87">
        <v>-6.27490527093247</v>
      </c>
      <c r="G3" s="86">
        <v>106.821413156849</v>
      </c>
      <c r="H3" s="85"/>
      <c r="I3" s="85"/>
      <c r="J3" s="85"/>
      <c r="K3" s="85"/>
      <c r="L3" s="85"/>
      <c r="M3" s="85"/>
      <c r="N3" s="85"/>
      <c r="O3" s="85"/>
      <c r="P3" s="85"/>
    </row>
    <row r="4">
      <c r="A4" s="87">
        <v>3.0</v>
      </c>
      <c r="B4" s="88" t="s">
        <v>3936</v>
      </c>
      <c r="C4" s="87" t="s">
        <v>3211</v>
      </c>
      <c r="D4" s="87" t="s">
        <v>3200</v>
      </c>
      <c r="E4" s="87" t="s">
        <v>3937</v>
      </c>
      <c r="F4" s="87">
        <v>-6.11496611328579</v>
      </c>
      <c r="G4" s="86">
        <v>106.839932356705</v>
      </c>
      <c r="H4" s="85"/>
      <c r="I4" s="85"/>
      <c r="J4" s="85"/>
      <c r="K4" s="85"/>
      <c r="L4" s="85"/>
      <c r="M4" s="85"/>
      <c r="N4" s="85"/>
      <c r="O4" s="85"/>
      <c r="P4" s="85"/>
    </row>
    <row r="5">
      <c r="A5" s="87">
        <v>4.0</v>
      </c>
      <c r="B5" s="88" t="s">
        <v>3938</v>
      </c>
      <c r="C5" s="87" t="s">
        <v>3167</v>
      </c>
      <c r="D5" s="87" t="s">
        <v>3196</v>
      </c>
      <c r="E5" s="87" t="s">
        <v>3939</v>
      </c>
      <c r="F5" s="87">
        <v>-6.13815615590365</v>
      </c>
      <c r="G5" s="86">
        <v>106.698396166007</v>
      </c>
      <c r="H5" s="85"/>
      <c r="I5" s="85"/>
      <c r="J5" s="85"/>
      <c r="K5" s="85"/>
      <c r="L5" s="85"/>
      <c r="M5" s="85"/>
      <c r="N5" s="85"/>
      <c r="O5" s="85"/>
      <c r="P5" s="85"/>
    </row>
    <row r="6">
      <c r="A6" s="87">
        <v>5.0</v>
      </c>
      <c r="B6" s="88" t="s">
        <v>3940</v>
      </c>
      <c r="C6" s="87" t="s">
        <v>3178</v>
      </c>
      <c r="D6" s="87" t="s">
        <v>3207</v>
      </c>
      <c r="E6" s="87" t="s">
        <v>3941</v>
      </c>
      <c r="F6" s="87">
        <v>-6.28131660156761</v>
      </c>
      <c r="G6" s="86">
        <v>106.688194871161</v>
      </c>
      <c r="H6" s="85"/>
      <c r="I6" s="85"/>
      <c r="J6" s="85"/>
      <c r="K6" s="85"/>
      <c r="L6" s="85"/>
      <c r="M6" s="85"/>
      <c r="N6" s="85"/>
      <c r="O6" s="85"/>
      <c r="P6" s="85"/>
    </row>
    <row r="7">
      <c r="A7" s="87">
        <v>6.0</v>
      </c>
      <c r="B7" s="88" t="s">
        <v>3942</v>
      </c>
      <c r="C7" s="87" t="s">
        <v>3173</v>
      </c>
      <c r="D7" s="87" t="s">
        <v>3180</v>
      </c>
      <c r="E7" s="87" t="s">
        <v>3943</v>
      </c>
      <c r="F7" s="87">
        <v>-6.26607032223485</v>
      </c>
      <c r="G7" s="86">
        <v>106.64830183513</v>
      </c>
      <c r="H7" s="85"/>
      <c r="I7" s="85"/>
      <c r="J7" s="85"/>
      <c r="K7" s="85"/>
      <c r="L7" s="85"/>
      <c r="M7" s="85"/>
      <c r="N7" s="85"/>
      <c r="O7" s="85"/>
      <c r="P7" s="85"/>
    </row>
    <row r="8">
      <c r="A8" s="87">
        <v>7.0</v>
      </c>
      <c r="B8" s="88" t="s">
        <v>3944</v>
      </c>
      <c r="C8" s="87" t="s">
        <v>3232</v>
      </c>
      <c r="D8" s="87" t="s">
        <v>3180</v>
      </c>
      <c r="E8" s="87" t="s">
        <v>3945</v>
      </c>
      <c r="F8" s="87">
        <v>-6.2185813675259</v>
      </c>
      <c r="G8" s="86">
        <v>106.635850556297</v>
      </c>
      <c r="H8" s="85"/>
      <c r="I8" s="85"/>
      <c r="J8" s="85"/>
      <c r="K8" s="85"/>
      <c r="L8" s="85"/>
      <c r="M8" s="85"/>
      <c r="N8" s="85"/>
      <c r="O8" s="85"/>
      <c r="P8" s="85"/>
    </row>
    <row r="9">
      <c r="A9" s="87">
        <v>8.0</v>
      </c>
      <c r="B9" s="88" t="s">
        <v>3946</v>
      </c>
      <c r="C9" s="87" t="s">
        <v>3235</v>
      </c>
      <c r="D9" s="87" t="s">
        <v>3169</v>
      </c>
      <c r="E9" s="87" t="s">
        <v>3947</v>
      </c>
      <c r="F9" s="87">
        <v>-6.11123629313511</v>
      </c>
      <c r="G9" s="86">
        <v>106.764848507322</v>
      </c>
      <c r="H9" s="85"/>
      <c r="I9" s="85"/>
      <c r="J9" s="85"/>
      <c r="K9" s="85"/>
      <c r="L9" s="85"/>
      <c r="M9" s="85"/>
      <c r="N9" s="85"/>
      <c r="O9" s="85"/>
      <c r="P9" s="85"/>
    </row>
    <row r="10">
      <c r="A10" s="87">
        <v>9.0</v>
      </c>
      <c r="B10" s="88" t="s">
        <v>3948</v>
      </c>
      <c r="C10" s="87" t="s">
        <v>3178</v>
      </c>
      <c r="D10" s="87" t="s">
        <v>3232</v>
      </c>
      <c r="E10" s="87" t="s">
        <v>3949</v>
      </c>
      <c r="F10" s="87">
        <v>-6.13772670293605</v>
      </c>
      <c r="G10" s="86">
        <v>106.606146277455</v>
      </c>
      <c r="H10" s="85"/>
      <c r="I10" s="85"/>
      <c r="J10" s="85"/>
      <c r="K10" s="85"/>
      <c r="L10" s="85"/>
      <c r="M10" s="85"/>
      <c r="N10" s="85"/>
      <c r="O10" s="85"/>
      <c r="P10" s="85"/>
    </row>
    <row r="11">
      <c r="A11" s="87">
        <v>10.0</v>
      </c>
      <c r="B11" s="88" t="s">
        <v>3950</v>
      </c>
      <c r="C11" s="87" t="s">
        <v>3214</v>
      </c>
      <c r="D11" s="87" t="s">
        <v>3249</v>
      </c>
      <c r="E11" s="87" t="s">
        <v>3951</v>
      </c>
      <c r="F11" s="87">
        <v>-6.11850576798502</v>
      </c>
      <c r="G11" s="86">
        <v>106.637647770006</v>
      </c>
      <c r="H11" s="85"/>
      <c r="I11" s="85"/>
      <c r="J11" s="85"/>
      <c r="K11" s="85"/>
      <c r="L11" s="85"/>
      <c r="M11" s="85"/>
      <c r="N11" s="85"/>
      <c r="O11" s="85"/>
      <c r="P11" s="85"/>
    </row>
    <row r="12">
      <c r="A12" s="87">
        <v>11.0</v>
      </c>
      <c r="B12" s="88" t="s">
        <v>3952</v>
      </c>
      <c r="C12" s="87" t="s">
        <v>3241</v>
      </c>
      <c r="D12" s="87" t="s">
        <v>3180</v>
      </c>
      <c r="E12" s="87" t="s">
        <v>3953</v>
      </c>
      <c r="F12" s="87">
        <v>-6.18585466317123</v>
      </c>
      <c r="G12" s="86">
        <v>106.57870170144</v>
      </c>
      <c r="H12" s="85"/>
      <c r="I12" s="85"/>
      <c r="J12" s="85"/>
      <c r="K12" s="85"/>
      <c r="L12" s="85"/>
      <c r="M12" s="85"/>
      <c r="N12" s="85"/>
      <c r="O12" s="85"/>
      <c r="P12" s="85"/>
    </row>
    <row r="13">
      <c r="A13" s="87">
        <v>12.0</v>
      </c>
      <c r="B13" s="88" t="s">
        <v>3954</v>
      </c>
      <c r="C13" s="87" t="s">
        <v>3173</v>
      </c>
      <c r="D13" s="87" t="s">
        <v>3225</v>
      </c>
      <c r="E13" s="87" t="s">
        <v>3955</v>
      </c>
      <c r="F13" s="87">
        <v>-6.11893570813835</v>
      </c>
      <c r="G13" s="86">
        <v>106.806809194208</v>
      </c>
      <c r="H13" s="85"/>
      <c r="I13" s="85"/>
      <c r="J13" s="85"/>
      <c r="K13" s="85"/>
      <c r="L13" s="85"/>
      <c r="M13" s="85"/>
      <c r="N13" s="85"/>
      <c r="O13" s="85"/>
      <c r="P13" s="85"/>
    </row>
    <row r="14">
      <c r="A14" s="87">
        <v>13.0</v>
      </c>
      <c r="B14" s="88" t="s">
        <v>3956</v>
      </c>
      <c r="C14" s="87" t="s">
        <v>3167</v>
      </c>
      <c r="D14" s="87" t="s">
        <v>3245</v>
      </c>
      <c r="E14" s="87" t="s">
        <v>3957</v>
      </c>
      <c r="F14" s="87">
        <v>-6.34190328874716</v>
      </c>
      <c r="G14" s="86">
        <v>106.771317994925</v>
      </c>
      <c r="H14" s="85"/>
      <c r="I14" s="85"/>
      <c r="J14" s="85"/>
      <c r="K14" s="85"/>
      <c r="L14" s="85"/>
      <c r="M14" s="85"/>
      <c r="N14" s="85"/>
      <c r="O14" s="85"/>
      <c r="P14" s="85"/>
    </row>
    <row r="15">
      <c r="A15" s="87">
        <v>14.0</v>
      </c>
      <c r="B15" s="88" t="s">
        <v>3958</v>
      </c>
      <c r="C15" s="87" t="s">
        <v>3173</v>
      </c>
      <c r="D15" s="87" t="s">
        <v>3196</v>
      </c>
      <c r="E15" s="87" t="s">
        <v>3959</v>
      </c>
      <c r="F15" s="87">
        <v>-6.09226780455274</v>
      </c>
      <c r="G15" s="86">
        <v>106.692896012431</v>
      </c>
      <c r="H15" s="85"/>
      <c r="I15" s="85"/>
      <c r="J15" s="85"/>
      <c r="K15" s="85"/>
      <c r="L15" s="85"/>
      <c r="M15" s="85"/>
      <c r="N15" s="85"/>
      <c r="O15" s="85"/>
      <c r="P15" s="85"/>
    </row>
    <row r="16">
      <c r="A16" s="87">
        <v>15.0</v>
      </c>
      <c r="B16" s="88" t="s">
        <v>3960</v>
      </c>
      <c r="C16" s="87" t="s">
        <v>3171</v>
      </c>
      <c r="D16" s="87" t="s">
        <v>3254</v>
      </c>
      <c r="E16" s="87" t="s">
        <v>3961</v>
      </c>
      <c r="F16" s="87">
        <v>-6.13655348619651</v>
      </c>
      <c r="G16" s="86">
        <v>106.643823213054</v>
      </c>
      <c r="H16" s="85"/>
      <c r="I16" s="85"/>
      <c r="J16" s="85"/>
      <c r="K16" s="85"/>
      <c r="L16" s="85"/>
      <c r="M16" s="85"/>
      <c r="N16" s="85"/>
      <c r="O16" s="85"/>
      <c r="P16" s="85"/>
    </row>
    <row r="17">
      <c r="A17" s="87">
        <v>16.0</v>
      </c>
      <c r="B17" s="88" t="s">
        <v>3962</v>
      </c>
      <c r="C17" s="87" t="s">
        <v>3171</v>
      </c>
      <c r="D17" s="87" t="s">
        <v>3178</v>
      </c>
      <c r="E17" s="87" t="s">
        <v>3963</v>
      </c>
      <c r="F17" s="87">
        <v>-6.24489613810583</v>
      </c>
      <c r="G17" s="86">
        <v>106.684196221731</v>
      </c>
      <c r="H17" s="85"/>
      <c r="I17" s="85"/>
      <c r="J17" s="85"/>
      <c r="K17" s="85"/>
      <c r="L17" s="85"/>
      <c r="M17" s="85"/>
      <c r="N17" s="85"/>
      <c r="O17" s="85"/>
      <c r="P17" s="85"/>
    </row>
    <row r="18">
      <c r="A18" s="87">
        <v>17.0</v>
      </c>
      <c r="B18" s="88" t="s">
        <v>3964</v>
      </c>
      <c r="C18" s="87" t="s">
        <v>3169</v>
      </c>
      <c r="D18" s="87" t="s">
        <v>3241</v>
      </c>
      <c r="E18" s="87" t="s">
        <v>3965</v>
      </c>
      <c r="F18" s="87">
        <v>-6.21987310345171</v>
      </c>
      <c r="G18" s="86">
        <v>106.58695949448</v>
      </c>
      <c r="H18" s="85"/>
      <c r="I18" s="85"/>
      <c r="J18" s="85"/>
      <c r="K18" s="85"/>
      <c r="L18" s="85"/>
      <c r="M18" s="85"/>
      <c r="N18" s="85"/>
      <c r="O18" s="85"/>
      <c r="P18" s="85"/>
    </row>
    <row r="19">
      <c r="A19" s="87">
        <v>18.0</v>
      </c>
      <c r="B19" s="88" t="s">
        <v>3966</v>
      </c>
      <c r="C19" s="87" t="s">
        <v>3196</v>
      </c>
      <c r="D19" s="87" t="s">
        <v>3225</v>
      </c>
      <c r="E19" s="87" t="s">
        <v>3967</v>
      </c>
      <c r="F19" s="87">
        <v>-6.09670206605991</v>
      </c>
      <c r="G19" s="86">
        <v>106.930842631196</v>
      </c>
      <c r="H19" s="85"/>
      <c r="I19" s="85"/>
      <c r="J19" s="85"/>
      <c r="K19" s="85"/>
      <c r="L19" s="85"/>
      <c r="M19" s="85"/>
      <c r="N19" s="85"/>
      <c r="O19" s="85"/>
      <c r="P19" s="85"/>
    </row>
    <row r="20">
      <c r="A20" s="87">
        <v>19.0</v>
      </c>
      <c r="B20" s="88" t="s">
        <v>3968</v>
      </c>
      <c r="C20" s="87" t="s">
        <v>3254</v>
      </c>
      <c r="D20" s="87" t="s">
        <v>3169</v>
      </c>
      <c r="E20" s="87" t="s">
        <v>3969</v>
      </c>
      <c r="F20" s="87">
        <v>-6.27383959873409</v>
      </c>
      <c r="G20" s="86">
        <v>106.619961834068</v>
      </c>
      <c r="H20" s="85"/>
      <c r="I20" s="85"/>
      <c r="J20" s="85"/>
      <c r="K20" s="85"/>
      <c r="L20" s="85"/>
      <c r="M20" s="85"/>
      <c r="N20" s="85"/>
      <c r="O20" s="85"/>
      <c r="P20" s="85"/>
    </row>
    <row r="21">
      <c r="A21" s="87">
        <v>20.0</v>
      </c>
      <c r="B21" s="88" t="s">
        <v>3970</v>
      </c>
      <c r="C21" s="87" t="s">
        <v>3207</v>
      </c>
      <c r="D21" s="87" t="s">
        <v>3173</v>
      </c>
      <c r="E21" s="87" t="s">
        <v>3971</v>
      </c>
      <c r="F21" s="87">
        <v>-6.16402077751184</v>
      </c>
      <c r="G21" s="86">
        <v>106.693384124086</v>
      </c>
      <c r="H21" s="85"/>
      <c r="I21" s="85"/>
      <c r="J21" s="85"/>
      <c r="K21" s="85"/>
      <c r="L21" s="85"/>
      <c r="M21" s="85"/>
      <c r="N21" s="85"/>
      <c r="O21" s="85"/>
      <c r="P21" s="85"/>
    </row>
    <row r="22">
      <c r="A22" s="87">
        <v>21.0</v>
      </c>
      <c r="B22" s="88" t="s">
        <v>3972</v>
      </c>
      <c r="C22" s="87" t="s">
        <v>3214</v>
      </c>
      <c r="D22" s="87" t="s">
        <v>3200</v>
      </c>
      <c r="E22" s="87" t="s">
        <v>3973</v>
      </c>
      <c r="F22" s="87">
        <v>-6.27303312440354</v>
      </c>
      <c r="G22" s="86">
        <v>106.958598839249</v>
      </c>
      <c r="H22" s="85"/>
      <c r="I22" s="85"/>
      <c r="J22" s="85"/>
      <c r="K22" s="85"/>
      <c r="L22" s="85"/>
      <c r="M22" s="85"/>
      <c r="N22" s="85"/>
      <c r="O22" s="85"/>
      <c r="P22" s="85"/>
    </row>
    <row r="23">
      <c r="A23" s="87">
        <v>22.0</v>
      </c>
      <c r="B23" s="88" t="s">
        <v>3964</v>
      </c>
      <c r="C23" s="87" t="s">
        <v>3194</v>
      </c>
      <c r="D23" s="87" t="s">
        <v>3167</v>
      </c>
      <c r="E23" s="87" t="s">
        <v>3974</v>
      </c>
      <c r="F23" s="87">
        <v>-6.13020138550931</v>
      </c>
      <c r="G23" s="86">
        <v>106.693322299244</v>
      </c>
      <c r="H23" s="85"/>
      <c r="I23" s="85"/>
      <c r="J23" s="85"/>
      <c r="K23" s="85"/>
      <c r="L23" s="85"/>
      <c r="M23" s="85"/>
      <c r="N23" s="85"/>
      <c r="O23" s="85"/>
      <c r="P23" s="85"/>
    </row>
    <row r="24">
      <c r="A24" s="87">
        <v>23.0</v>
      </c>
      <c r="B24" s="88" t="s">
        <v>3975</v>
      </c>
      <c r="C24" s="87" t="s">
        <v>3180</v>
      </c>
      <c r="D24" s="87" t="s">
        <v>3219</v>
      </c>
      <c r="E24" s="87" t="s">
        <v>3976</v>
      </c>
      <c r="F24" s="87">
        <v>-6.29763864191298</v>
      </c>
      <c r="G24" s="86">
        <v>106.880367776097</v>
      </c>
      <c r="H24" s="85"/>
      <c r="I24" s="85"/>
      <c r="J24" s="85"/>
      <c r="K24" s="85"/>
      <c r="L24" s="85"/>
      <c r="M24" s="85"/>
      <c r="N24" s="85"/>
      <c r="O24" s="85"/>
      <c r="P24" s="85"/>
    </row>
    <row r="25">
      <c r="A25" s="87">
        <v>24.0</v>
      </c>
      <c r="B25" s="88" t="s">
        <v>3977</v>
      </c>
      <c r="C25" s="87" t="s">
        <v>3180</v>
      </c>
      <c r="D25" s="87" t="s">
        <v>3194</v>
      </c>
      <c r="E25" s="87" t="s">
        <v>3978</v>
      </c>
      <c r="F25" s="87">
        <v>-6.246988043703</v>
      </c>
      <c r="G25" s="86">
        <v>106.606358147919</v>
      </c>
      <c r="H25" s="85"/>
      <c r="I25" s="85"/>
      <c r="J25" s="85"/>
      <c r="K25" s="85"/>
      <c r="L25" s="85"/>
      <c r="M25" s="85"/>
      <c r="N25" s="85"/>
      <c r="O25" s="85"/>
      <c r="P25" s="85"/>
    </row>
    <row r="26">
      <c r="A26" s="87">
        <v>25.0</v>
      </c>
      <c r="B26" s="88" t="s">
        <v>3979</v>
      </c>
      <c r="C26" s="87" t="s">
        <v>3178</v>
      </c>
      <c r="D26" s="87" t="s">
        <v>3173</v>
      </c>
      <c r="E26" s="87" t="s">
        <v>3980</v>
      </c>
      <c r="F26" s="87">
        <v>-6.21897111720914</v>
      </c>
      <c r="G26" s="86">
        <v>106.827762383557</v>
      </c>
      <c r="H26" s="85"/>
      <c r="I26" s="85"/>
      <c r="J26" s="85"/>
      <c r="K26" s="85"/>
      <c r="L26" s="85"/>
      <c r="M26" s="85"/>
      <c r="N26" s="85"/>
      <c r="O26" s="85"/>
      <c r="P26" s="85"/>
    </row>
    <row r="27">
      <c r="A27" s="87">
        <v>26.0</v>
      </c>
      <c r="B27" s="88" t="s">
        <v>3981</v>
      </c>
      <c r="C27" s="87" t="s">
        <v>3169</v>
      </c>
      <c r="D27" s="87" t="s">
        <v>3188</v>
      </c>
      <c r="E27" s="87" t="s">
        <v>3982</v>
      </c>
      <c r="F27" s="87">
        <v>-6.11912373319762</v>
      </c>
      <c r="G27" s="86">
        <v>106.815018537837</v>
      </c>
      <c r="H27" s="85"/>
      <c r="I27" s="85"/>
      <c r="J27" s="85"/>
      <c r="K27" s="85"/>
      <c r="L27" s="85"/>
      <c r="M27" s="85"/>
      <c r="N27" s="85"/>
      <c r="O27" s="85"/>
      <c r="P27" s="85"/>
    </row>
    <row r="28">
      <c r="A28" s="87">
        <v>27.0</v>
      </c>
      <c r="B28" s="88" t="s">
        <v>3983</v>
      </c>
      <c r="C28" s="87" t="s">
        <v>3196</v>
      </c>
      <c r="D28" s="87" t="s">
        <v>3182</v>
      </c>
      <c r="E28" s="87" t="s">
        <v>3984</v>
      </c>
      <c r="F28" s="87">
        <v>-6.21700112319076</v>
      </c>
      <c r="G28" s="86">
        <v>106.736298359885</v>
      </c>
      <c r="H28" s="85"/>
      <c r="I28" s="85"/>
      <c r="J28" s="85"/>
      <c r="K28" s="85"/>
      <c r="L28" s="85"/>
      <c r="M28" s="85"/>
      <c r="N28" s="85"/>
      <c r="O28" s="85"/>
      <c r="P28" s="85"/>
    </row>
    <row r="29">
      <c r="A29" s="87">
        <v>28.0</v>
      </c>
      <c r="B29" s="88" t="s">
        <v>3985</v>
      </c>
      <c r="C29" s="87" t="s">
        <v>3238</v>
      </c>
      <c r="D29" s="87" t="s">
        <v>3188</v>
      </c>
      <c r="E29" s="87" t="s">
        <v>3986</v>
      </c>
      <c r="F29" s="87">
        <v>-6.30740018916843</v>
      </c>
      <c r="G29" s="86">
        <v>107.017957536094</v>
      </c>
      <c r="H29" s="85"/>
      <c r="I29" s="85"/>
      <c r="J29" s="85"/>
      <c r="K29" s="85"/>
      <c r="L29" s="85"/>
      <c r="M29" s="85"/>
      <c r="N29" s="85"/>
      <c r="O29" s="85"/>
      <c r="P29" s="85"/>
    </row>
    <row r="30">
      <c r="A30" s="87">
        <v>29.0</v>
      </c>
      <c r="B30" s="88" t="s">
        <v>3987</v>
      </c>
      <c r="C30" s="87" t="s">
        <v>3198</v>
      </c>
      <c r="D30" s="87" t="s">
        <v>3235</v>
      </c>
      <c r="E30" s="87" t="s">
        <v>3988</v>
      </c>
      <c r="F30" s="87">
        <v>-6.19848380848975</v>
      </c>
      <c r="G30" s="86">
        <v>106.930614693309</v>
      </c>
      <c r="H30" s="85"/>
      <c r="I30" s="85"/>
      <c r="J30" s="85"/>
      <c r="K30" s="85"/>
      <c r="L30" s="85"/>
      <c r="M30" s="85"/>
      <c r="N30" s="85"/>
      <c r="O30" s="85"/>
      <c r="P30" s="85"/>
    </row>
    <row r="31">
      <c r="A31" s="87">
        <v>30.0</v>
      </c>
      <c r="B31" s="88" t="s">
        <v>3989</v>
      </c>
      <c r="C31" s="87" t="s">
        <v>3180</v>
      </c>
      <c r="D31" s="87" t="s">
        <v>3171</v>
      </c>
      <c r="E31" s="87" t="s">
        <v>3990</v>
      </c>
      <c r="F31" s="87">
        <v>-6.10707194988724</v>
      </c>
      <c r="G31" s="86">
        <v>106.886379377364</v>
      </c>
      <c r="H31" s="85"/>
      <c r="I31" s="85"/>
      <c r="J31" s="85"/>
      <c r="K31" s="85"/>
      <c r="L31" s="85"/>
      <c r="M31" s="85"/>
      <c r="N31" s="85"/>
      <c r="O31" s="85"/>
      <c r="P31" s="85"/>
    </row>
    <row r="32">
      <c r="A32" s="87">
        <v>31.0</v>
      </c>
      <c r="B32" s="88" t="s">
        <v>3991</v>
      </c>
      <c r="C32" s="87" t="s">
        <v>3221</v>
      </c>
      <c r="D32" s="87" t="s">
        <v>3227</v>
      </c>
      <c r="E32" s="87" t="s">
        <v>3992</v>
      </c>
      <c r="F32" s="87">
        <v>-6.24757099034711</v>
      </c>
      <c r="G32" s="86">
        <v>106.604038575517</v>
      </c>
      <c r="H32" s="85"/>
      <c r="I32" s="85"/>
      <c r="J32" s="85"/>
      <c r="K32" s="85"/>
      <c r="L32" s="85"/>
      <c r="M32" s="85"/>
      <c r="N32" s="85"/>
      <c r="O32" s="85"/>
      <c r="P32" s="85"/>
    </row>
    <row r="33">
      <c r="A33" s="87">
        <v>32.0</v>
      </c>
      <c r="B33" s="88" t="s">
        <v>3993</v>
      </c>
      <c r="C33" s="87" t="s">
        <v>3215</v>
      </c>
      <c r="D33" s="87" t="s">
        <v>3173</v>
      </c>
      <c r="E33" s="87" t="s">
        <v>3994</v>
      </c>
      <c r="F33" s="87">
        <v>-6.24574264587543</v>
      </c>
      <c r="G33" s="86">
        <v>106.609436376304</v>
      </c>
      <c r="H33" s="85"/>
      <c r="I33" s="85"/>
      <c r="J33" s="85"/>
      <c r="K33" s="85"/>
      <c r="L33" s="85"/>
      <c r="M33" s="85"/>
      <c r="N33" s="85"/>
      <c r="O33" s="85"/>
      <c r="P33" s="85"/>
    </row>
    <row r="34">
      <c r="A34" s="87">
        <v>33.0</v>
      </c>
      <c r="B34" s="88" t="s">
        <v>3995</v>
      </c>
      <c r="C34" s="87" t="s">
        <v>3238</v>
      </c>
      <c r="D34" s="87" t="s">
        <v>3225</v>
      </c>
      <c r="E34" s="87" t="s">
        <v>3996</v>
      </c>
      <c r="F34" s="87">
        <v>-6.13769067565789</v>
      </c>
      <c r="G34" s="86">
        <v>106.937218276097</v>
      </c>
      <c r="H34" s="85"/>
      <c r="I34" s="85"/>
      <c r="J34" s="85"/>
      <c r="K34" s="85"/>
      <c r="L34" s="85"/>
      <c r="M34" s="85"/>
      <c r="N34" s="85"/>
      <c r="O34" s="85"/>
      <c r="P34" s="85"/>
    </row>
    <row r="35">
      <c r="A35" s="87">
        <v>34.0</v>
      </c>
      <c r="B35" s="88" t="s">
        <v>3987</v>
      </c>
      <c r="C35" s="87" t="s">
        <v>3211</v>
      </c>
      <c r="D35" s="87" t="s">
        <v>3227</v>
      </c>
      <c r="E35" s="87" t="s">
        <v>3997</v>
      </c>
      <c r="F35" s="87">
        <v>-6.31954242700096</v>
      </c>
      <c r="G35" s="86">
        <v>106.895295199305</v>
      </c>
      <c r="H35" s="85"/>
      <c r="I35" s="85"/>
      <c r="J35" s="85"/>
      <c r="K35" s="85"/>
      <c r="L35" s="85"/>
      <c r="M35" s="85"/>
      <c r="N35" s="85"/>
      <c r="O35" s="85"/>
      <c r="P35" s="85"/>
    </row>
    <row r="36">
      <c r="A36" s="87">
        <v>35.0</v>
      </c>
      <c r="B36" s="88" t="s">
        <v>3998</v>
      </c>
      <c r="C36" s="87" t="s">
        <v>3232</v>
      </c>
      <c r="D36" s="87" t="s">
        <v>3196</v>
      </c>
      <c r="E36" s="87" t="s">
        <v>3999</v>
      </c>
      <c r="F36" s="87">
        <v>-6.24412900838206</v>
      </c>
      <c r="G36" s="86">
        <v>106.632025199598</v>
      </c>
      <c r="H36" s="85"/>
      <c r="I36" s="85"/>
      <c r="J36" s="85"/>
      <c r="K36" s="85"/>
      <c r="L36" s="85"/>
      <c r="M36" s="85"/>
      <c r="N36" s="85"/>
      <c r="O36" s="85"/>
      <c r="P36" s="85"/>
    </row>
    <row r="37">
      <c r="A37" s="87">
        <v>36.0</v>
      </c>
      <c r="B37" s="88" t="s">
        <v>4000</v>
      </c>
      <c r="C37" s="87" t="s">
        <v>3257</v>
      </c>
      <c r="D37" s="87" t="s">
        <v>3227</v>
      </c>
      <c r="E37" s="87" t="s">
        <v>4001</v>
      </c>
      <c r="F37" s="87">
        <v>-6.19575534599764</v>
      </c>
      <c r="G37" s="86">
        <v>106.693740645745</v>
      </c>
      <c r="H37" s="85"/>
      <c r="I37" s="85"/>
      <c r="J37" s="85"/>
      <c r="K37" s="85"/>
      <c r="L37" s="85"/>
      <c r="M37" s="85"/>
      <c r="N37" s="85"/>
      <c r="O37" s="85"/>
      <c r="P37" s="85"/>
    </row>
    <row r="38">
      <c r="A38" s="87">
        <v>37.0</v>
      </c>
      <c r="B38" s="88" t="s">
        <v>4002</v>
      </c>
      <c r="C38" s="87" t="s">
        <v>3173</v>
      </c>
      <c r="D38" s="87" t="s">
        <v>3194</v>
      </c>
      <c r="E38" s="87" t="s">
        <v>4003</v>
      </c>
      <c r="F38" s="87">
        <v>-6.34461538980739</v>
      </c>
      <c r="G38" s="86">
        <v>106.908589321126</v>
      </c>
      <c r="H38" s="85"/>
      <c r="I38" s="85"/>
      <c r="J38" s="85"/>
      <c r="K38" s="85"/>
      <c r="L38" s="85"/>
      <c r="M38" s="85"/>
      <c r="N38" s="85"/>
      <c r="O38" s="85"/>
      <c r="P38" s="85"/>
    </row>
    <row r="39">
      <c r="A39" s="87">
        <v>38.0</v>
      </c>
      <c r="B39" s="88" t="s">
        <v>4004</v>
      </c>
      <c r="C39" s="87" t="s">
        <v>3171</v>
      </c>
      <c r="D39" s="87" t="s">
        <v>3169</v>
      </c>
      <c r="E39" s="87" t="s">
        <v>4005</v>
      </c>
      <c r="F39" s="87">
        <v>-6.30146204163851</v>
      </c>
      <c r="G39" s="86">
        <v>106.705518076447</v>
      </c>
      <c r="H39" s="85"/>
      <c r="I39" s="85"/>
      <c r="J39" s="85"/>
      <c r="K39" s="85"/>
      <c r="L39" s="85"/>
      <c r="M39" s="85"/>
      <c r="N39" s="85"/>
      <c r="O39" s="85"/>
      <c r="P39" s="85"/>
    </row>
    <row r="40">
      <c r="A40" s="87">
        <v>39.0</v>
      </c>
      <c r="B40" s="88" t="s">
        <v>4006</v>
      </c>
      <c r="C40" s="87" t="s">
        <v>3254</v>
      </c>
      <c r="D40" s="87" t="s">
        <v>3254</v>
      </c>
      <c r="E40" s="87" t="s">
        <v>4007</v>
      </c>
      <c r="F40" s="87">
        <v>-6.34426325635418</v>
      </c>
      <c r="G40" s="86">
        <v>106.882947182917</v>
      </c>
      <c r="H40" s="85"/>
      <c r="I40" s="85"/>
      <c r="J40" s="85"/>
      <c r="K40" s="85"/>
      <c r="L40" s="85"/>
      <c r="M40" s="85"/>
      <c r="N40" s="85"/>
      <c r="O40" s="85"/>
      <c r="P40" s="85"/>
    </row>
    <row r="41">
      <c r="A41" s="87">
        <v>40.0</v>
      </c>
      <c r="B41" s="88" t="s">
        <v>4008</v>
      </c>
      <c r="C41" s="87" t="s">
        <v>3173</v>
      </c>
      <c r="D41" s="87" t="s">
        <v>3221</v>
      </c>
      <c r="E41" s="87" t="s">
        <v>4009</v>
      </c>
      <c r="F41" s="87">
        <v>-6.24572948693772</v>
      </c>
      <c r="G41" s="86">
        <v>106.841470785383</v>
      </c>
      <c r="H41" s="85"/>
      <c r="I41" s="85"/>
      <c r="J41" s="85"/>
      <c r="K41" s="85"/>
      <c r="L41" s="85"/>
      <c r="M41" s="85"/>
      <c r="N41" s="85"/>
      <c r="O41" s="85"/>
      <c r="P41" s="85"/>
    </row>
    <row r="42">
      <c r="A42" s="87">
        <v>41.0</v>
      </c>
      <c r="B42" s="88" t="s">
        <v>4010</v>
      </c>
      <c r="C42" s="87" t="s">
        <v>3225</v>
      </c>
      <c r="D42" s="87" t="s">
        <v>3238</v>
      </c>
      <c r="E42" s="87" t="s">
        <v>4011</v>
      </c>
      <c r="F42" s="87">
        <v>-6.09584921403951</v>
      </c>
      <c r="G42" s="86">
        <v>106.710285756035</v>
      </c>
      <c r="H42" s="85"/>
      <c r="I42" s="85"/>
      <c r="J42" s="85"/>
      <c r="K42" s="85"/>
      <c r="L42" s="85"/>
      <c r="M42" s="85"/>
      <c r="N42" s="85"/>
      <c r="O42" s="85"/>
      <c r="P42" s="85"/>
    </row>
    <row r="43">
      <c r="A43" s="87">
        <v>42.0</v>
      </c>
      <c r="B43" s="88" t="s">
        <v>4012</v>
      </c>
      <c r="C43" s="87" t="s">
        <v>3200</v>
      </c>
      <c r="D43" s="87" t="s">
        <v>3182</v>
      </c>
      <c r="E43" s="87" t="s">
        <v>4013</v>
      </c>
      <c r="F43" s="87">
        <v>-6.18836378100224</v>
      </c>
      <c r="G43" s="86">
        <v>106.7314462513</v>
      </c>
      <c r="H43" s="85"/>
      <c r="I43" s="85"/>
      <c r="J43" s="85"/>
      <c r="K43" s="85"/>
      <c r="L43" s="85"/>
      <c r="M43" s="85"/>
      <c r="N43" s="85"/>
      <c r="O43" s="85"/>
      <c r="P43" s="85"/>
    </row>
    <row r="44">
      <c r="A44" s="87">
        <v>43.0</v>
      </c>
      <c r="B44" s="88" t="s">
        <v>4014</v>
      </c>
      <c r="C44" s="87" t="s">
        <v>3200</v>
      </c>
      <c r="D44" s="87" t="s">
        <v>3214</v>
      </c>
      <c r="E44" s="87" t="s">
        <v>4015</v>
      </c>
      <c r="F44" s="87">
        <v>-6.33454526460775</v>
      </c>
      <c r="G44" s="86">
        <v>106.851742337186</v>
      </c>
      <c r="H44" s="85"/>
      <c r="I44" s="85"/>
      <c r="J44" s="85"/>
      <c r="K44" s="85"/>
      <c r="L44" s="85"/>
      <c r="M44" s="85"/>
      <c r="N44" s="85"/>
      <c r="O44" s="85"/>
      <c r="P44" s="85"/>
    </row>
    <row r="45">
      <c r="A45" s="87">
        <v>44.0</v>
      </c>
      <c r="B45" s="88" t="s">
        <v>3952</v>
      </c>
      <c r="C45" s="87" t="s">
        <v>3238</v>
      </c>
      <c r="D45" s="87" t="s">
        <v>3239</v>
      </c>
      <c r="E45" s="87" t="s">
        <v>4016</v>
      </c>
      <c r="F45" s="87">
        <v>-6.30789232918822</v>
      </c>
      <c r="G45" s="86">
        <v>106.863207336659</v>
      </c>
      <c r="H45" s="85"/>
      <c r="I45" s="85"/>
      <c r="J45" s="85"/>
      <c r="K45" s="85"/>
      <c r="L45" s="85"/>
      <c r="M45" s="85"/>
      <c r="N45" s="85"/>
      <c r="O45" s="85"/>
      <c r="P45" s="85"/>
    </row>
    <row r="46">
      <c r="A46" s="87">
        <v>45.0</v>
      </c>
      <c r="B46" s="88" t="s">
        <v>4017</v>
      </c>
      <c r="C46" s="87" t="s">
        <v>3245</v>
      </c>
      <c r="D46" s="87" t="s">
        <v>3241</v>
      </c>
      <c r="E46" s="87" t="s">
        <v>4018</v>
      </c>
      <c r="F46" s="87">
        <v>-6.1601875771767</v>
      </c>
      <c r="G46" s="86">
        <v>106.862713542403</v>
      </c>
      <c r="H46" s="85"/>
      <c r="I46" s="85"/>
      <c r="J46" s="85"/>
      <c r="K46" s="85"/>
      <c r="L46" s="85"/>
      <c r="M46" s="85"/>
      <c r="N46" s="85"/>
      <c r="O46" s="85"/>
      <c r="P46" s="85"/>
    </row>
    <row r="47">
      <c r="A47" s="87">
        <v>46.0</v>
      </c>
      <c r="B47" s="88" t="s">
        <v>4019</v>
      </c>
      <c r="C47" s="87" t="s">
        <v>3262</v>
      </c>
      <c r="D47" s="87" t="s">
        <v>3194</v>
      </c>
      <c r="E47" s="87" t="s">
        <v>4020</v>
      </c>
      <c r="F47" s="87">
        <v>-6.09596645772221</v>
      </c>
      <c r="G47" s="86">
        <v>106.792673336342</v>
      </c>
      <c r="H47" s="85"/>
      <c r="I47" s="85"/>
      <c r="J47" s="85"/>
      <c r="K47" s="85"/>
      <c r="L47" s="85"/>
      <c r="M47" s="85"/>
      <c r="N47" s="85"/>
      <c r="O47" s="85"/>
      <c r="P47" s="85"/>
    </row>
    <row r="48">
      <c r="A48" s="87">
        <v>47.0</v>
      </c>
      <c r="B48" s="88" t="s">
        <v>4021</v>
      </c>
      <c r="C48" s="87" t="s">
        <v>3211</v>
      </c>
      <c r="D48" s="87" t="s">
        <v>3221</v>
      </c>
      <c r="E48" s="87" t="s">
        <v>4022</v>
      </c>
      <c r="F48" s="87">
        <v>-6.0915518389245</v>
      </c>
      <c r="G48" s="86">
        <v>106.690067184466</v>
      </c>
      <c r="H48" s="85"/>
      <c r="I48" s="85"/>
      <c r="J48" s="85"/>
      <c r="K48" s="85"/>
      <c r="L48" s="85"/>
      <c r="M48" s="85"/>
      <c r="N48" s="85"/>
      <c r="O48" s="85"/>
      <c r="P48" s="85"/>
    </row>
    <row r="49">
      <c r="A49" s="87">
        <v>48.0</v>
      </c>
      <c r="B49" s="88" t="s">
        <v>4023</v>
      </c>
      <c r="C49" s="87" t="s">
        <v>3227</v>
      </c>
      <c r="D49" s="87" t="s">
        <v>3232</v>
      </c>
      <c r="E49" s="87" t="s">
        <v>4024</v>
      </c>
      <c r="F49" s="87">
        <v>-6.10984395614984</v>
      </c>
      <c r="G49" s="86">
        <v>106.946286379814</v>
      </c>
      <c r="H49" s="85"/>
      <c r="I49" s="85"/>
      <c r="J49" s="85"/>
      <c r="K49" s="85"/>
      <c r="L49" s="85"/>
      <c r="M49" s="85"/>
      <c r="N49" s="85"/>
      <c r="O49" s="85"/>
      <c r="P49" s="85"/>
    </row>
    <row r="50">
      <c r="A50" s="87">
        <v>49.0</v>
      </c>
      <c r="B50" s="88" t="s">
        <v>4025</v>
      </c>
      <c r="C50" s="87" t="s">
        <v>3169</v>
      </c>
      <c r="D50" s="87" t="s">
        <v>3254</v>
      </c>
      <c r="E50" s="87" t="s">
        <v>4026</v>
      </c>
      <c r="F50" s="87">
        <v>-6.27399847639925</v>
      </c>
      <c r="G50" s="86">
        <v>106.630079467914</v>
      </c>
      <c r="H50" s="85"/>
      <c r="I50" s="85"/>
      <c r="J50" s="85"/>
      <c r="K50" s="85"/>
      <c r="L50" s="85"/>
      <c r="M50" s="85"/>
      <c r="N50" s="85"/>
      <c r="O50" s="85"/>
      <c r="P50" s="85"/>
    </row>
    <row r="51">
      <c r="A51" s="87">
        <v>50.0</v>
      </c>
      <c r="B51" s="88" t="s">
        <v>4027</v>
      </c>
      <c r="C51" s="87" t="s">
        <v>3182</v>
      </c>
      <c r="D51" s="87" t="s">
        <v>3238</v>
      </c>
      <c r="E51" s="87" t="s">
        <v>4028</v>
      </c>
      <c r="F51" s="87">
        <v>-6.1832639914257</v>
      </c>
      <c r="G51" s="86">
        <v>106.803894748406</v>
      </c>
      <c r="H51" s="85"/>
      <c r="I51" s="85"/>
      <c r="J51" s="85"/>
      <c r="K51" s="85"/>
      <c r="L51" s="85"/>
      <c r="M51" s="85"/>
      <c r="N51" s="85"/>
      <c r="O51" s="85"/>
      <c r="P51" s="85"/>
    </row>
    <row r="52">
      <c r="A52" s="87">
        <v>51.0</v>
      </c>
      <c r="B52" s="88" t="s">
        <v>4029</v>
      </c>
      <c r="C52" s="87" t="s">
        <v>3182</v>
      </c>
      <c r="D52" s="87" t="s">
        <v>3169</v>
      </c>
      <c r="E52" s="87" t="s">
        <v>4030</v>
      </c>
      <c r="F52" s="87">
        <v>-6.32672143415552</v>
      </c>
      <c r="G52" s="86">
        <v>106.958863746232</v>
      </c>
      <c r="H52" s="85"/>
      <c r="I52" s="85"/>
      <c r="J52" s="85"/>
      <c r="K52" s="85"/>
      <c r="L52" s="85"/>
      <c r="M52" s="85"/>
      <c r="N52" s="85"/>
      <c r="O52" s="85"/>
      <c r="P52" s="85"/>
    </row>
    <row r="53">
      <c r="A53" s="87">
        <v>52.0</v>
      </c>
      <c r="B53" s="88" t="s">
        <v>4031</v>
      </c>
      <c r="C53" s="87" t="s">
        <v>3194</v>
      </c>
      <c r="D53" s="87" t="s">
        <v>3194</v>
      </c>
      <c r="E53" s="87" t="s">
        <v>4032</v>
      </c>
      <c r="F53" s="87">
        <v>-6.33309065279389</v>
      </c>
      <c r="G53" s="86">
        <v>107.021600712743</v>
      </c>
      <c r="H53" s="85"/>
      <c r="I53" s="85"/>
      <c r="J53" s="85"/>
      <c r="K53" s="85"/>
      <c r="L53" s="85"/>
      <c r="M53" s="85"/>
      <c r="N53" s="85"/>
      <c r="O53" s="85"/>
      <c r="P53" s="85"/>
    </row>
    <row r="54">
      <c r="A54" s="87">
        <v>53.0</v>
      </c>
      <c r="B54" s="88" t="s">
        <v>4033</v>
      </c>
      <c r="C54" s="87" t="s">
        <v>3192</v>
      </c>
      <c r="D54" s="87" t="s">
        <v>3249</v>
      </c>
      <c r="E54" s="87" t="s">
        <v>4034</v>
      </c>
      <c r="F54" s="87">
        <v>-6.16496036476307</v>
      </c>
      <c r="G54" s="86">
        <v>106.922816551048</v>
      </c>
      <c r="H54" s="85"/>
      <c r="I54" s="85"/>
      <c r="J54" s="85"/>
      <c r="K54" s="85"/>
      <c r="L54" s="85"/>
      <c r="M54" s="85"/>
      <c r="N54" s="85"/>
      <c r="O54" s="85"/>
      <c r="P54" s="85"/>
    </row>
    <row r="55">
      <c r="A55" s="87">
        <v>54.0</v>
      </c>
      <c r="B55" s="88" t="s">
        <v>4035</v>
      </c>
      <c r="C55" s="87" t="s">
        <v>3182</v>
      </c>
      <c r="D55" s="87" t="s">
        <v>3215</v>
      </c>
      <c r="E55" s="87" t="s">
        <v>4036</v>
      </c>
      <c r="F55" s="87">
        <v>-6.13719145091802</v>
      </c>
      <c r="G55" s="86">
        <v>106.673959160298</v>
      </c>
      <c r="H55" s="85"/>
      <c r="I55" s="85"/>
      <c r="J55" s="85"/>
      <c r="K55" s="85"/>
      <c r="L55" s="85"/>
      <c r="M55" s="85"/>
      <c r="N55" s="85"/>
      <c r="O55" s="85"/>
      <c r="P55" s="85"/>
    </row>
    <row r="56">
      <c r="A56" s="87">
        <v>55.0</v>
      </c>
      <c r="B56" s="88" t="s">
        <v>4008</v>
      </c>
      <c r="C56" s="87" t="s">
        <v>3211</v>
      </c>
      <c r="D56" s="87" t="s">
        <v>3198</v>
      </c>
      <c r="E56" s="87" t="s">
        <v>4037</v>
      </c>
      <c r="F56" s="87">
        <v>-6.12417010506712</v>
      </c>
      <c r="G56" s="86">
        <v>106.721156753275</v>
      </c>
      <c r="H56" s="85"/>
      <c r="I56" s="85"/>
      <c r="J56" s="85"/>
      <c r="K56" s="85"/>
      <c r="L56" s="85"/>
      <c r="M56" s="85"/>
      <c r="N56" s="85"/>
      <c r="O56" s="85"/>
      <c r="P56" s="85"/>
    </row>
    <row r="57">
      <c r="A57" s="87">
        <v>56.0</v>
      </c>
      <c r="B57" s="88" t="s">
        <v>4012</v>
      </c>
      <c r="C57" s="87" t="s">
        <v>3227</v>
      </c>
      <c r="D57" s="87" t="s">
        <v>3186</v>
      </c>
      <c r="E57" s="87" t="s">
        <v>4038</v>
      </c>
      <c r="F57" s="87">
        <v>-6.27078491935305</v>
      </c>
      <c r="G57" s="86">
        <v>106.901808531639</v>
      </c>
      <c r="H57" s="85"/>
      <c r="I57" s="85"/>
      <c r="J57" s="85"/>
      <c r="K57" s="85"/>
      <c r="L57" s="85"/>
      <c r="M57" s="85"/>
      <c r="N57" s="85"/>
      <c r="O57" s="85"/>
      <c r="P57" s="85"/>
    </row>
    <row r="58">
      <c r="A58" s="87">
        <v>57.0</v>
      </c>
      <c r="B58" s="88" t="s">
        <v>4039</v>
      </c>
      <c r="C58" s="87" t="s">
        <v>3203</v>
      </c>
      <c r="D58" s="87" t="s">
        <v>3239</v>
      </c>
      <c r="E58" s="87" t="s">
        <v>4040</v>
      </c>
      <c r="F58" s="87">
        <v>-6.25241931620008</v>
      </c>
      <c r="G58" s="86">
        <v>106.888994987395</v>
      </c>
      <c r="H58" s="85"/>
      <c r="I58" s="85"/>
      <c r="J58" s="85"/>
      <c r="K58" s="85"/>
      <c r="L58" s="85"/>
      <c r="M58" s="85"/>
      <c r="N58" s="85"/>
      <c r="O58" s="85"/>
      <c r="P58" s="85"/>
    </row>
    <row r="59">
      <c r="A59" s="87">
        <v>58.0</v>
      </c>
      <c r="B59" s="88" t="s">
        <v>4041</v>
      </c>
      <c r="C59" s="87" t="s">
        <v>3182</v>
      </c>
      <c r="D59" s="87" t="s">
        <v>3257</v>
      </c>
      <c r="E59" s="87" t="s">
        <v>4042</v>
      </c>
      <c r="F59" s="87">
        <v>-6.18083595309598</v>
      </c>
      <c r="G59" s="86">
        <v>106.854399553577</v>
      </c>
      <c r="H59" s="85"/>
      <c r="I59" s="85"/>
      <c r="J59" s="85"/>
      <c r="K59" s="85"/>
      <c r="L59" s="85"/>
      <c r="M59" s="85"/>
      <c r="N59" s="85"/>
      <c r="O59" s="85"/>
      <c r="P59" s="85"/>
    </row>
    <row r="60">
      <c r="A60" s="87">
        <v>59.0</v>
      </c>
      <c r="B60" s="88" t="s">
        <v>4043</v>
      </c>
      <c r="C60" s="87" t="s">
        <v>3192</v>
      </c>
      <c r="D60" s="87" t="s">
        <v>3227</v>
      </c>
      <c r="E60" s="87" t="s">
        <v>4044</v>
      </c>
      <c r="F60" s="87">
        <v>-6.29884789888643</v>
      </c>
      <c r="G60" s="86">
        <v>106.985275381991</v>
      </c>
      <c r="H60" s="85"/>
      <c r="I60" s="85"/>
      <c r="J60" s="85"/>
      <c r="K60" s="85"/>
      <c r="L60" s="85"/>
      <c r="M60" s="85"/>
      <c r="N60" s="85"/>
      <c r="O60" s="85"/>
      <c r="P60" s="85"/>
    </row>
    <row r="61">
      <c r="A61" s="87">
        <v>60.0</v>
      </c>
      <c r="B61" s="88" t="s">
        <v>4045</v>
      </c>
      <c r="C61" s="87" t="s">
        <v>3167</v>
      </c>
      <c r="D61" s="87" t="s">
        <v>3196</v>
      </c>
      <c r="E61" s="87" t="s">
        <v>4046</v>
      </c>
      <c r="F61" s="87">
        <v>-6.16581075124171</v>
      </c>
      <c r="G61" s="86">
        <v>106.704603900844</v>
      </c>
      <c r="H61" s="85"/>
      <c r="I61" s="85"/>
      <c r="J61" s="85"/>
      <c r="K61" s="85"/>
      <c r="L61" s="85"/>
      <c r="M61" s="85"/>
      <c r="N61" s="85"/>
      <c r="O61" s="85"/>
      <c r="P61" s="85"/>
    </row>
    <row r="62">
      <c r="A62" s="87">
        <v>61.0</v>
      </c>
      <c r="B62" s="88" t="s">
        <v>4047</v>
      </c>
      <c r="C62" s="87" t="s">
        <v>3167</v>
      </c>
      <c r="D62" s="87" t="s">
        <v>3249</v>
      </c>
      <c r="E62" s="87" t="s">
        <v>4048</v>
      </c>
      <c r="F62" s="87">
        <v>-6.12834155628419</v>
      </c>
      <c r="G62" s="86">
        <v>106.62923426584</v>
      </c>
      <c r="H62" s="85"/>
      <c r="I62" s="85"/>
      <c r="J62" s="85"/>
      <c r="K62" s="85"/>
      <c r="L62" s="85"/>
      <c r="M62" s="85"/>
      <c r="N62" s="85"/>
      <c r="O62" s="85"/>
      <c r="P62" s="85"/>
    </row>
    <row r="63">
      <c r="A63" s="87">
        <v>62.0</v>
      </c>
      <c r="B63" s="88" t="s">
        <v>4008</v>
      </c>
      <c r="C63" s="87" t="s">
        <v>3196</v>
      </c>
      <c r="D63" s="87" t="s">
        <v>3200</v>
      </c>
      <c r="E63" s="87" t="s">
        <v>4049</v>
      </c>
      <c r="F63" s="87">
        <v>-6.14267883654512</v>
      </c>
      <c r="G63" s="86">
        <v>106.636045242422</v>
      </c>
      <c r="H63" s="85"/>
      <c r="I63" s="85"/>
      <c r="J63" s="85"/>
      <c r="K63" s="85"/>
      <c r="L63" s="85"/>
      <c r="M63" s="85"/>
      <c r="N63" s="85"/>
      <c r="O63" s="85"/>
      <c r="P63" s="85"/>
    </row>
    <row r="64">
      <c r="A64" s="87">
        <v>63.0</v>
      </c>
      <c r="B64" s="88" t="s">
        <v>4012</v>
      </c>
      <c r="C64" s="87" t="s">
        <v>3186</v>
      </c>
      <c r="D64" s="87" t="s">
        <v>3257</v>
      </c>
      <c r="E64" s="87" t="s">
        <v>4050</v>
      </c>
      <c r="F64" s="87">
        <v>-6.22005784923106</v>
      </c>
      <c r="G64" s="86">
        <v>106.942469107522</v>
      </c>
      <c r="H64" s="85"/>
      <c r="I64" s="85"/>
      <c r="J64" s="85"/>
      <c r="K64" s="85"/>
      <c r="L64" s="85"/>
      <c r="M64" s="85"/>
      <c r="N64" s="85"/>
      <c r="O64" s="85"/>
      <c r="P64" s="85"/>
    </row>
    <row r="65">
      <c r="A65" s="87">
        <v>64.0</v>
      </c>
      <c r="B65" s="88" t="s">
        <v>4051</v>
      </c>
      <c r="C65" s="87" t="s">
        <v>3221</v>
      </c>
      <c r="D65" s="87" t="s">
        <v>3180</v>
      </c>
      <c r="E65" s="87" t="s">
        <v>4052</v>
      </c>
      <c r="F65" s="87">
        <v>-6.25249416204439</v>
      </c>
      <c r="G65" s="86">
        <v>106.648194874227</v>
      </c>
      <c r="H65" s="85"/>
      <c r="I65" s="85"/>
      <c r="J65" s="85"/>
      <c r="K65" s="85"/>
      <c r="L65" s="85"/>
      <c r="M65" s="85"/>
      <c r="N65" s="85"/>
      <c r="O65" s="85"/>
      <c r="P65" s="85"/>
    </row>
    <row r="66">
      <c r="A66" s="87">
        <v>65.0</v>
      </c>
      <c r="B66" s="88" t="s">
        <v>4053</v>
      </c>
      <c r="C66" s="87" t="s">
        <v>3239</v>
      </c>
      <c r="D66" s="87" t="s">
        <v>3221</v>
      </c>
      <c r="E66" s="87" t="s">
        <v>4054</v>
      </c>
      <c r="F66" s="87">
        <v>-6.15434546065982</v>
      </c>
      <c r="G66" s="86">
        <v>106.814094257911</v>
      </c>
      <c r="H66" s="85"/>
      <c r="I66" s="85"/>
      <c r="J66" s="85"/>
      <c r="K66" s="85"/>
      <c r="L66" s="85"/>
      <c r="M66" s="85"/>
      <c r="N66" s="85"/>
      <c r="O66" s="85"/>
      <c r="P66" s="85"/>
    </row>
    <row r="67">
      <c r="A67" s="87">
        <v>66.0</v>
      </c>
      <c r="B67" s="88" t="s">
        <v>4055</v>
      </c>
      <c r="C67" s="87" t="s">
        <v>3219</v>
      </c>
      <c r="D67" s="87" t="s">
        <v>3171</v>
      </c>
      <c r="E67" s="87" t="s">
        <v>4056</v>
      </c>
      <c r="F67" s="87">
        <v>-6.22451411300905</v>
      </c>
      <c r="G67" s="86">
        <v>106.606554093452</v>
      </c>
      <c r="H67" s="85"/>
      <c r="I67" s="85"/>
      <c r="J67" s="85"/>
      <c r="K67" s="85"/>
      <c r="L67" s="85"/>
      <c r="M67" s="85"/>
      <c r="N67" s="85"/>
      <c r="O67" s="85"/>
      <c r="P67" s="85"/>
    </row>
    <row r="68">
      <c r="A68" s="87">
        <v>67.0</v>
      </c>
      <c r="B68" s="88" t="s">
        <v>4057</v>
      </c>
      <c r="C68" s="87" t="s">
        <v>3171</v>
      </c>
      <c r="D68" s="87" t="s">
        <v>3186</v>
      </c>
      <c r="E68" s="87" t="s">
        <v>4058</v>
      </c>
      <c r="F68" s="87">
        <v>-6.24808914754641</v>
      </c>
      <c r="G68" s="86">
        <v>106.597707564515</v>
      </c>
      <c r="H68" s="85"/>
      <c r="I68" s="85"/>
      <c r="J68" s="85"/>
      <c r="K68" s="85"/>
      <c r="L68" s="85"/>
      <c r="M68" s="85"/>
      <c r="N68" s="85"/>
      <c r="O68" s="85"/>
      <c r="P68" s="85"/>
    </row>
    <row r="69">
      <c r="A69" s="87">
        <v>68.0</v>
      </c>
      <c r="B69" s="88" t="s">
        <v>4059</v>
      </c>
      <c r="C69" s="87" t="s">
        <v>3245</v>
      </c>
      <c r="D69" s="87" t="s">
        <v>3182</v>
      </c>
      <c r="E69" s="87" t="s">
        <v>4060</v>
      </c>
      <c r="F69" s="87">
        <v>-6.13391810158101</v>
      </c>
      <c r="G69" s="86">
        <v>106.947441092138</v>
      </c>
      <c r="H69" s="85"/>
      <c r="I69" s="85"/>
      <c r="J69" s="85"/>
      <c r="K69" s="85"/>
      <c r="L69" s="85"/>
      <c r="M69" s="85"/>
      <c r="N69" s="85"/>
      <c r="O69" s="85"/>
      <c r="P69" s="85"/>
    </row>
    <row r="70">
      <c r="A70" s="87">
        <v>69.0</v>
      </c>
      <c r="B70" s="88" t="s">
        <v>4061</v>
      </c>
      <c r="C70" s="87" t="s">
        <v>3176</v>
      </c>
      <c r="D70" s="87" t="s">
        <v>3203</v>
      </c>
      <c r="E70" s="87" t="s">
        <v>4062</v>
      </c>
      <c r="F70" s="87">
        <v>-6.15413871752397</v>
      </c>
      <c r="G70" s="86">
        <v>106.945936149366</v>
      </c>
      <c r="H70" s="85"/>
      <c r="I70" s="85"/>
      <c r="J70" s="85"/>
      <c r="K70" s="85"/>
      <c r="L70" s="85"/>
      <c r="M70" s="85"/>
      <c r="N70" s="85"/>
      <c r="O70" s="85"/>
      <c r="P70" s="85"/>
    </row>
    <row r="71">
      <c r="A71" s="87">
        <v>70.0</v>
      </c>
      <c r="B71" s="88" t="s">
        <v>4063</v>
      </c>
      <c r="C71" s="87" t="s">
        <v>3180</v>
      </c>
      <c r="D71" s="87" t="s">
        <v>3222</v>
      </c>
      <c r="E71" s="87" t="s">
        <v>4064</v>
      </c>
      <c r="F71" s="87">
        <v>-6.18421438763692</v>
      </c>
      <c r="G71" s="86">
        <v>106.692359220325</v>
      </c>
      <c r="H71" s="85"/>
      <c r="I71" s="85"/>
      <c r="J71" s="85"/>
      <c r="K71" s="85"/>
      <c r="L71" s="85"/>
      <c r="M71" s="85"/>
      <c r="N71" s="85"/>
      <c r="O71" s="85"/>
      <c r="P71" s="85"/>
    </row>
    <row r="72">
      <c r="A72" s="87">
        <v>71.0</v>
      </c>
      <c r="B72" s="88" t="s">
        <v>4065</v>
      </c>
      <c r="C72" s="87" t="s">
        <v>3167</v>
      </c>
      <c r="D72" s="87" t="s">
        <v>3176</v>
      </c>
      <c r="E72" s="87" t="s">
        <v>4066</v>
      </c>
      <c r="F72" s="87">
        <v>-6.15590553846606</v>
      </c>
      <c r="G72" s="86">
        <v>106.981258769081</v>
      </c>
      <c r="H72" s="85"/>
      <c r="I72" s="85"/>
      <c r="J72" s="85"/>
      <c r="K72" s="85"/>
      <c r="L72" s="85"/>
      <c r="M72" s="85"/>
      <c r="N72" s="85"/>
      <c r="O72" s="85"/>
      <c r="P72" s="85"/>
    </row>
    <row r="73">
      <c r="A73" s="87">
        <v>72.0</v>
      </c>
      <c r="B73" s="88" t="s">
        <v>4067</v>
      </c>
      <c r="C73" s="87" t="s">
        <v>3180</v>
      </c>
      <c r="D73" s="87" t="s">
        <v>3171</v>
      </c>
      <c r="E73" s="87" t="s">
        <v>4068</v>
      </c>
      <c r="F73" s="87">
        <v>-6.11524551049817</v>
      </c>
      <c r="G73" s="86">
        <v>106.913761283198</v>
      </c>
      <c r="H73" s="85"/>
      <c r="I73" s="85"/>
      <c r="J73" s="85"/>
      <c r="K73" s="85"/>
      <c r="L73" s="85"/>
      <c r="M73" s="85"/>
      <c r="N73" s="85"/>
      <c r="O73" s="85"/>
      <c r="P73" s="85"/>
    </row>
    <row r="74">
      <c r="A74" s="87">
        <v>73.0</v>
      </c>
      <c r="B74" s="88" t="s">
        <v>4027</v>
      </c>
      <c r="C74" s="87" t="s">
        <v>3221</v>
      </c>
      <c r="D74" s="87" t="s">
        <v>3173</v>
      </c>
      <c r="E74" s="87" t="s">
        <v>4069</v>
      </c>
      <c r="F74" s="87">
        <v>-6.19522465529604</v>
      </c>
      <c r="G74" s="86">
        <v>106.965972157828</v>
      </c>
      <c r="H74" s="85"/>
      <c r="I74" s="85"/>
      <c r="J74" s="85"/>
      <c r="K74" s="85"/>
      <c r="L74" s="85"/>
      <c r="M74" s="85"/>
      <c r="N74" s="85"/>
      <c r="O74" s="85"/>
      <c r="P74" s="85"/>
    </row>
    <row r="75">
      <c r="A75" s="87">
        <v>74.0</v>
      </c>
      <c r="B75" s="88" t="s">
        <v>4070</v>
      </c>
      <c r="C75" s="87" t="s">
        <v>3180</v>
      </c>
      <c r="D75" s="87" t="s">
        <v>3190</v>
      </c>
      <c r="E75" s="87" t="s">
        <v>4071</v>
      </c>
      <c r="F75" s="87">
        <v>-6.21068574435054</v>
      </c>
      <c r="G75" s="86">
        <v>106.85221900166</v>
      </c>
      <c r="H75" s="85"/>
      <c r="I75" s="85"/>
      <c r="J75" s="85"/>
      <c r="K75" s="85"/>
      <c r="L75" s="85"/>
      <c r="M75" s="85"/>
      <c r="N75" s="85"/>
      <c r="O75" s="85"/>
      <c r="P75" s="85"/>
    </row>
    <row r="76">
      <c r="A76" s="87">
        <v>75.0</v>
      </c>
      <c r="B76" s="88" t="s">
        <v>3981</v>
      </c>
      <c r="C76" s="87" t="s">
        <v>3178</v>
      </c>
      <c r="D76" s="87" t="s">
        <v>3257</v>
      </c>
      <c r="E76" s="87" t="s">
        <v>4072</v>
      </c>
      <c r="F76" s="87">
        <v>-6.20473246957695</v>
      </c>
      <c r="G76" s="86">
        <v>106.958241964481</v>
      </c>
      <c r="H76" s="85"/>
      <c r="I76" s="85"/>
      <c r="J76" s="85"/>
      <c r="K76" s="85"/>
      <c r="L76" s="85"/>
      <c r="M76" s="85"/>
      <c r="N76" s="85"/>
      <c r="O76" s="85"/>
      <c r="P76" s="85"/>
    </row>
    <row r="77">
      <c r="A77" s="87">
        <v>76.0</v>
      </c>
      <c r="B77" s="88" t="s">
        <v>4073</v>
      </c>
      <c r="C77" s="87" t="s">
        <v>3188</v>
      </c>
      <c r="D77" s="87" t="s">
        <v>3190</v>
      </c>
      <c r="E77" s="87" t="s">
        <v>4074</v>
      </c>
      <c r="F77" s="87">
        <v>-6.21502709417077</v>
      </c>
      <c r="G77" s="86">
        <v>106.601736480892</v>
      </c>
      <c r="H77" s="85"/>
      <c r="I77" s="85"/>
      <c r="J77" s="85"/>
      <c r="K77" s="85"/>
      <c r="L77" s="85"/>
      <c r="M77" s="85"/>
      <c r="N77" s="85"/>
      <c r="O77" s="85"/>
      <c r="P77" s="85"/>
    </row>
    <row r="78">
      <c r="A78" s="87">
        <v>77.0</v>
      </c>
      <c r="B78" s="88" t="s">
        <v>4075</v>
      </c>
      <c r="C78" s="87" t="s">
        <v>3215</v>
      </c>
      <c r="D78" s="87" t="s">
        <v>3254</v>
      </c>
      <c r="E78" s="87" t="s">
        <v>4076</v>
      </c>
      <c r="F78" s="87">
        <v>-6.33961719047682</v>
      </c>
      <c r="G78" s="86">
        <v>106.923118669709</v>
      </c>
      <c r="H78" s="85"/>
      <c r="I78" s="85"/>
      <c r="J78" s="85"/>
      <c r="K78" s="85"/>
      <c r="L78" s="85"/>
      <c r="M78" s="85"/>
      <c r="N78" s="85"/>
      <c r="O78" s="85"/>
      <c r="P78" s="85"/>
    </row>
    <row r="79">
      <c r="A79" s="87">
        <v>78.0</v>
      </c>
      <c r="B79" s="88" t="s">
        <v>3985</v>
      </c>
      <c r="C79" s="87" t="s">
        <v>3190</v>
      </c>
      <c r="D79" s="87" t="s">
        <v>3176</v>
      </c>
      <c r="E79" s="87" t="s">
        <v>4077</v>
      </c>
      <c r="F79" s="87">
        <v>-6.34418057846838</v>
      </c>
      <c r="G79" s="86">
        <v>106.753233674412</v>
      </c>
      <c r="H79" s="85"/>
      <c r="I79" s="85"/>
      <c r="J79" s="85"/>
      <c r="K79" s="85"/>
      <c r="L79" s="85"/>
      <c r="M79" s="85"/>
      <c r="N79" s="85"/>
      <c r="O79" s="85"/>
      <c r="P79" s="85"/>
    </row>
    <row r="80">
      <c r="A80" s="87">
        <v>79.0</v>
      </c>
      <c r="B80" s="88" t="s">
        <v>4078</v>
      </c>
      <c r="C80" s="87" t="s">
        <v>3200</v>
      </c>
      <c r="D80" s="87" t="s">
        <v>3232</v>
      </c>
      <c r="E80" s="87" t="s">
        <v>4079</v>
      </c>
      <c r="F80" s="87">
        <v>-6.24143778458296</v>
      </c>
      <c r="G80" s="86">
        <v>107.007926631047</v>
      </c>
      <c r="H80" s="85"/>
      <c r="I80" s="85"/>
      <c r="J80" s="85"/>
      <c r="K80" s="85"/>
      <c r="L80" s="85"/>
      <c r="M80" s="85"/>
      <c r="N80" s="85"/>
      <c r="O80" s="85"/>
      <c r="P80" s="85"/>
    </row>
    <row r="81">
      <c r="A81" s="87">
        <v>80.0</v>
      </c>
      <c r="B81" s="88" t="s">
        <v>4080</v>
      </c>
      <c r="C81" s="87" t="s">
        <v>3203</v>
      </c>
      <c r="D81" s="87" t="s">
        <v>3180</v>
      </c>
      <c r="E81" s="87" t="s">
        <v>4081</v>
      </c>
      <c r="F81" s="87">
        <v>-6.34214214322749</v>
      </c>
      <c r="G81" s="86">
        <v>106.917695712519</v>
      </c>
      <c r="H81" s="85"/>
      <c r="I81" s="85"/>
      <c r="J81" s="85"/>
      <c r="K81" s="85"/>
      <c r="L81" s="85"/>
      <c r="M81" s="85"/>
      <c r="N81" s="85"/>
      <c r="O81" s="85"/>
      <c r="P81" s="85"/>
    </row>
    <row r="82">
      <c r="A82" s="87">
        <v>81.0</v>
      </c>
      <c r="B82" s="88" t="s">
        <v>4082</v>
      </c>
      <c r="C82" s="87" t="s">
        <v>3239</v>
      </c>
      <c r="D82" s="87" t="s">
        <v>3169</v>
      </c>
      <c r="E82" s="87" t="s">
        <v>4083</v>
      </c>
      <c r="F82" s="87">
        <v>-6.09345889403517</v>
      </c>
      <c r="G82" s="86">
        <v>106.767319379438</v>
      </c>
      <c r="H82" s="85"/>
      <c r="I82" s="85"/>
      <c r="J82" s="85"/>
      <c r="K82" s="85"/>
      <c r="L82" s="85"/>
      <c r="M82" s="85"/>
      <c r="N82" s="85"/>
      <c r="O82" s="85"/>
      <c r="P82" s="85"/>
    </row>
    <row r="83">
      <c r="A83" s="87">
        <v>82.0</v>
      </c>
      <c r="B83" s="88" t="s">
        <v>4084</v>
      </c>
      <c r="C83" s="87" t="s">
        <v>3180</v>
      </c>
      <c r="D83" s="87" t="s">
        <v>3190</v>
      </c>
      <c r="E83" s="87" t="s">
        <v>4085</v>
      </c>
      <c r="F83" s="87">
        <v>-6.09454937808736</v>
      </c>
      <c r="G83" s="86">
        <v>106.914544728732</v>
      </c>
      <c r="H83" s="85"/>
      <c r="I83" s="85"/>
      <c r="J83" s="85"/>
      <c r="K83" s="85"/>
      <c r="L83" s="85"/>
      <c r="M83" s="85"/>
      <c r="N83" s="85"/>
      <c r="O83" s="85"/>
      <c r="P83" s="85"/>
    </row>
    <row r="84">
      <c r="A84" s="87">
        <v>83.0</v>
      </c>
      <c r="B84" s="88" t="s">
        <v>4086</v>
      </c>
      <c r="C84" s="87" t="s">
        <v>3232</v>
      </c>
      <c r="D84" s="87" t="s">
        <v>3203</v>
      </c>
      <c r="E84" s="87" t="s">
        <v>4087</v>
      </c>
      <c r="F84" s="87">
        <v>-6.21985736261536</v>
      </c>
      <c r="G84" s="86">
        <v>106.724761488041</v>
      </c>
      <c r="H84" s="85"/>
      <c r="I84" s="85"/>
      <c r="J84" s="85"/>
      <c r="K84" s="85"/>
      <c r="L84" s="85"/>
      <c r="M84" s="85"/>
      <c r="N84" s="85"/>
      <c r="O84" s="85"/>
      <c r="P84" s="85"/>
    </row>
    <row r="85">
      <c r="A85" s="87">
        <v>84.0</v>
      </c>
      <c r="B85" s="88" t="s">
        <v>4088</v>
      </c>
      <c r="C85" s="87" t="s">
        <v>3249</v>
      </c>
      <c r="D85" s="87" t="s">
        <v>3203</v>
      </c>
      <c r="E85" s="87" t="s">
        <v>4089</v>
      </c>
      <c r="F85" s="87">
        <v>-6.14297241451457</v>
      </c>
      <c r="G85" s="86">
        <v>106.829134648597</v>
      </c>
      <c r="H85" s="85"/>
      <c r="I85" s="85"/>
      <c r="J85" s="85"/>
      <c r="K85" s="85"/>
      <c r="L85" s="85"/>
      <c r="M85" s="85"/>
      <c r="N85" s="85"/>
      <c r="O85" s="85"/>
      <c r="P85" s="85"/>
    </row>
    <row r="86">
      <c r="A86" s="87">
        <v>85.0</v>
      </c>
      <c r="B86" s="88" t="s">
        <v>4090</v>
      </c>
      <c r="C86" s="87" t="s">
        <v>3257</v>
      </c>
      <c r="D86" s="87" t="s">
        <v>3192</v>
      </c>
      <c r="E86" s="87" t="s">
        <v>4091</v>
      </c>
      <c r="F86" s="87">
        <v>-6.27062084459108</v>
      </c>
      <c r="G86" s="86">
        <v>106.966034998976</v>
      </c>
      <c r="H86" s="85"/>
      <c r="I86" s="85"/>
      <c r="J86" s="85"/>
      <c r="K86" s="85"/>
      <c r="L86" s="85"/>
      <c r="M86" s="85"/>
      <c r="N86" s="85"/>
      <c r="O86" s="85"/>
      <c r="P86" s="85"/>
    </row>
    <row r="87">
      <c r="A87" s="87">
        <v>86.0</v>
      </c>
      <c r="B87" s="88" t="s">
        <v>4092</v>
      </c>
      <c r="C87" s="87" t="s">
        <v>3200</v>
      </c>
      <c r="D87" s="87" t="s">
        <v>3245</v>
      </c>
      <c r="E87" s="87" t="s">
        <v>4093</v>
      </c>
      <c r="F87" s="87">
        <v>-6.27299009424512</v>
      </c>
      <c r="G87" s="86">
        <v>106.924622443123</v>
      </c>
      <c r="H87" s="85"/>
      <c r="I87" s="85"/>
      <c r="J87" s="85"/>
      <c r="K87" s="85"/>
      <c r="L87" s="85"/>
      <c r="M87" s="85"/>
      <c r="N87" s="85"/>
      <c r="O87" s="85"/>
      <c r="P87" s="85"/>
    </row>
    <row r="88">
      <c r="A88" s="87">
        <v>87.0</v>
      </c>
      <c r="B88" s="88" t="s">
        <v>4094</v>
      </c>
      <c r="C88" s="87" t="s">
        <v>3227</v>
      </c>
      <c r="D88" s="87" t="s">
        <v>3227</v>
      </c>
      <c r="E88" s="87" t="s">
        <v>4087</v>
      </c>
      <c r="F88" s="87">
        <v>-6.31308123474797</v>
      </c>
      <c r="G88" s="86">
        <v>106.616065182022</v>
      </c>
      <c r="H88" s="85"/>
      <c r="I88" s="85"/>
      <c r="J88" s="85"/>
      <c r="K88" s="85"/>
      <c r="L88" s="85"/>
      <c r="M88" s="85"/>
      <c r="N88" s="85"/>
      <c r="O88" s="85"/>
      <c r="P88" s="85"/>
    </row>
    <row r="89">
      <c r="A89" s="87">
        <v>88.0</v>
      </c>
      <c r="B89" s="88" t="s">
        <v>4095</v>
      </c>
      <c r="C89" s="87" t="s">
        <v>3239</v>
      </c>
      <c r="D89" s="87" t="s">
        <v>3167</v>
      </c>
      <c r="E89" s="87" t="s">
        <v>4096</v>
      </c>
      <c r="F89" s="87">
        <v>-6.24279491726996</v>
      </c>
      <c r="G89" s="86">
        <v>106.637675255917</v>
      </c>
      <c r="H89" s="85"/>
      <c r="I89" s="85"/>
      <c r="J89" s="85"/>
      <c r="K89" s="85"/>
      <c r="L89" s="85"/>
      <c r="M89" s="85"/>
      <c r="N89" s="85"/>
      <c r="O89" s="85"/>
      <c r="P89" s="85"/>
    </row>
    <row r="90">
      <c r="A90" s="87">
        <v>89.0</v>
      </c>
      <c r="B90" s="88" t="s">
        <v>4097</v>
      </c>
      <c r="C90" s="87" t="s">
        <v>3194</v>
      </c>
      <c r="D90" s="87" t="s">
        <v>3262</v>
      </c>
      <c r="E90" s="87" t="s">
        <v>4098</v>
      </c>
      <c r="F90" s="87">
        <v>-6.10041708575728</v>
      </c>
      <c r="G90" s="86">
        <v>106.831710141316</v>
      </c>
      <c r="H90" s="85"/>
      <c r="I90" s="85"/>
      <c r="J90" s="85"/>
      <c r="K90" s="85"/>
      <c r="L90" s="85"/>
      <c r="M90" s="85"/>
      <c r="N90" s="85"/>
      <c r="O90" s="85"/>
      <c r="P90" s="85"/>
    </row>
    <row r="91">
      <c r="A91" s="87">
        <v>90.0</v>
      </c>
      <c r="B91" s="88" t="s">
        <v>4099</v>
      </c>
      <c r="C91" s="87" t="s">
        <v>3190</v>
      </c>
      <c r="D91" s="87" t="s">
        <v>3178</v>
      </c>
      <c r="E91" s="87" t="s">
        <v>4100</v>
      </c>
      <c r="F91" s="87">
        <v>-6.26848861602986</v>
      </c>
      <c r="G91" s="86">
        <v>106.717226380246</v>
      </c>
      <c r="H91" s="85"/>
      <c r="I91" s="85"/>
      <c r="J91" s="85"/>
      <c r="K91" s="85"/>
      <c r="L91" s="85"/>
      <c r="M91" s="85"/>
      <c r="N91" s="85"/>
      <c r="O91" s="85"/>
      <c r="P91" s="85"/>
    </row>
    <row r="92">
      <c r="A92" s="87">
        <v>91.0</v>
      </c>
      <c r="B92" s="88" t="s">
        <v>4101</v>
      </c>
      <c r="C92" s="87" t="s">
        <v>3173</v>
      </c>
      <c r="D92" s="87" t="s">
        <v>3178</v>
      </c>
      <c r="E92" s="87" t="s">
        <v>4102</v>
      </c>
      <c r="F92" s="87">
        <v>-6.07909584611125</v>
      </c>
      <c r="G92" s="86">
        <v>106.699613163085</v>
      </c>
      <c r="H92" s="85"/>
      <c r="I92" s="85"/>
      <c r="J92" s="85"/>
      <c r="K92" s="85"/>
      <c r="L92" s="85"/>
      <c r="M92" s="85"/>
      <c r="N92" s="85"/>
      <c r="O92" s="85"/>
      <c r="P92" s="85"/>
    </row>
    <row r="93">
      <c r="A93" s="87">
        <v>92.0</v>
      </c>
      <c r="B93" s="88" t="s">
        <v>4103</v>
      </c>
      <c r="C93" s="87" t="s">
        <v>3188</v>
      </c>
      <c r="D93" s="87" t="s">
        <v>3215</v>
      </c>
      <c r="E93" s="87" t="s">
        <v>4104</v>
      </c>
      <c r="F93" s="87">
        <v>-6.28379184611528</v>
      </c>
      <c r="G93" s="86">
        <v>107.027384629984</v>
      </c>
      <c r="H93" s="85"/>
      <c r="I93" s="85"/>
      <c r="J93" s="85"/>
      <c r="K93" s="85"/>
      <c r="L93" s="85"/>
      <c r="M93" s="85"/>
      <c r="N93" s="85"/>
      <c r="O93" s="85"/>
      <c r="P93" s="85"/>
    </row>
    <row r="94">
      <c r="A94" s="87">
        <v>93.0</v>
      </c>
      <c r="B94" s="88" t="s">
        <v>4065</v>
      </c>
      <c r="C94" s="87" t="s">
        <v>3232</v>
      </c>
      <c r="D94" s="87" t="s">
        <v>3221</v>
      </c>
      <c r="E94" s="87" t="s">
        <v>4105</v>
      </c>
      <c r="F94" s="87">
        <v>-6.10206723626905</v>
      </c>
      <c r="G94" s="86">
        <v>106.745744913324</v>
      </c>
      <c r="H94" s="85"/>
      <c r="I94" s="85"/>
      <c r="J94" s="85"/>
      <c r="K94" s="85"/>
      <c r="L94" s="85"/>
      <c r="M94" s="85"/>
      <c r="N94" s="85"/>
      <c r="O94" s="85"/>
      <c r="P94" s="85"/>
    </row>
    <row r="95">
      <c r="A95" s="87">
        <v>94.0</v>
      </c>
      <c r="B95" s="88" t="s">
        <v>4106</v>
      </c>
      <c r="C95" s="87" t="s">
        <v>3227</v>
      </c>
      <c r="D95" s="87" t="s">
        <v>3239</v>
      </c>
      <c r="E95" s="87" t="s">
        <v>4107</v>
      </c>
      <c r="F95" s="87">
        <v>-6.32312927808491</v>
      </c>
      <c r="G95" s="86">
        <v>106.818794873801</v>
      </c>
      <c r="H95" s="85"/>
      <c r="I95" s="85"/>
      <c r="J95" s="85"/>
      <c r="K95" s="85"/>
      <c r="L95" s="85"/>
      <c r="M95" s="85"/>
      <c r="N95" s="85"/>
      <c r="O95" s="85"/>
      <c r="P95" s="85"/>
    </row>
    <row r="96">
      <c r="A96" s="87">
        <v>95.0</v>
      </c>
      <c r="B96" s="88" t="s">
        <v>4108</v>
      </c>
      <c r="C96" s="87" t="s">
        <v>3245</v>
      </c>
      <c r="D96" s="87" t="s">
        <v>3227</v>
      </c>
      <c r="E96" s="87" t="s">
        <v>4109</v>
      </c>
      <c r="F96" s="87">
        <v>-6.29677905240476</v>
      </c>
      <c r="G96" s="86">
        <v>107.007988701792</v>
      </c>
      <c r="H96" s="85"/>
      <c r="I96" s="85"/>
      <c r="J96" s="85"/>
      <c r="K96" s="85"/>
      <c r="L96" s="85"/>
      <c r="M96" s="85"/>
      <c r="N96" s="85"/>
      <c r="O96" s="85"/>
      <c r="P96" s="85"/>
    </row>
    <row r="97">
      <c r="A97" s="87">
        <v>96.0</v>
      </c>
      <c r="B97" s="88" t="s">
        <v>4110</v>
      </c>
      <c r="C97" s="87" t="s">
        <v>3235</v>
      </c>
      <c r="D97" s="87" t="s">
        <v>3190</v>
      </c>
      <c r="E97" s="87" t="s">
        <v>4111</v>
      </c>
      <c r="F97" s="87">
        <v>-6.26772040941689</v>
      </c>
      <c r="G97" s="86">
        <v>106.73838861307</v>
      </c>
      <c r="H97" s="85"/>
      <c r="I97" s="85"/>
      <c r="J97" s="85"/>
      <c r="K97" s="85"/>
      <c r="L97" s="85"/>
      <c r="M97" s="85"/>
      <c r="N97" s="85"/>
      <c r="O97" s="85"/>
      <c r="P97" s="85"/>
    </row>
    <row r="98">
      <c r="A98" s="87">
        <v>97.0</v>
      </c>
      <c r="B98" s="88" t="s">
        <v>4112</v>
      </c>
      <c r="C98" s="87" t="s">
        <v>3225</v>
      </c>
      <c r="D98" s="87" t="s">
        <v>3194</v>
      </c>
      <c r="E98" s="87" t="s">
        <v>4113</v>
      </c>
      <c r="F98" s="87">
        <v>-6.25425077893356</v>
      </c>
      <c r="G98" s="86">
        <v>106.86243381576</v>
      </c>
      <c r="H98" s="85"/>
      <c r="I98" s="85"/>
      <c r="J98" s="85"/>
      <c r="K98" s="85"/>
      <c r="L98" s="85"/>
      <c r="M98" s="85"/>
      <c r="N98" s="85"/>
      <c r="O98" s="85"/>
      <c r="P98" s="85"/>
    </row>
    <row r="99">
      <c r="A99" s="87">
        <v>98.0</v>
      </c>
      <c r="B99" s="88" t="s">
        <v>4114</v>
      </c>
      <c r="C99" s="87" t="s">
        <v>3192</v>
      </c>
      <c r="D99" s="87" t="s">
        <v>3211</v>
      </c>
      <c r="E99" s="87" t="s">
        <v>4115</v>
      </c>
      <c r="F99" s="87">
        <v>-6.19006043427466</v>
      </c>
      <c r="G99" s="86">
        <v>106.572197256101</v>
      </c>
      <c r="H99" s="85"/>
      <c r="I99" s="85"/>
      <c r="J99" s="85"/>
      <c r="K99" s="85"/>
      <c r="L99" s="85"/>
      <c r="M99" s="85"/>
      <c r="N99" s="85"/>
      <c r="O99" s="85"/>
      <c r="P99" s="85"/>
    </row>
    <row r="100">
      <c r="A100" s="87">
        <v>99.0</v>
      </c>
      <c r="B100" s="88" t="s">
        <v>3998</v>
      </c>
      <c r="C100" s="87" t="s">
        <v>3171</v>
      </c>
      <c r="D100" s="87" t="s">
        <v>3200</v>
      </c>
      <c r="E100" s="87" t="s">
        <v>4116</v>
      </c>
      <c r="F100" s="87">
        <v>-6.2763022390095</v>
      </c>
      <c r="G100" s="86">
        <v>106.84653109845</v>
      </c>
      <c r="H100" s="85"/>
      <c r="I100" s="85"/>
      <c r="J100" s="85"/>
      <c r="K100" s="85"/>
      <c r="L100" s="85"/>
      <c r="M100" s="85"/>
      <c r="N100" s="85"/>
      <c r="O100" s="85"/>
      <c r="P100" s="85"/>
    </row>
    <row r="101">
      <c r="A101" s="87">
        <v>100.0</v>
      </c>
      <c r="B101" s="88" t="s">
        <v>4082</v>
      </c>
      <c r="C101" s="87" t="s">
        <v>3254</v>
      </c>
      <c r="D101" s="87" t="s">
        <v>3196</v>
      </c>
      <c r="E101" s="87" t="s">
        <v>4117</v>
      </c>
      <c r="F101" s="87">
        <v>-6.32070891138158</v>
      </c>
      <c r="G101" s="86">
        <v>106.644092416724</v>
      </c>
      <c r="H101" s="85"/>
      <c r="I101" s="85"/>
      <c r="J101" s="85"/>
      <c r="K101" s="85"/>
      <c r="L101" s="85"/>
      <c r="M101" s="85"/>
      <c r="N101" s="85"/>
      <c r="O101" s="85"/>
      <c r="P101" s="85"/>
    </row>
    <row r="102">
      <c r="A102" s="87">
        <v>101.0</v>
      </c>
      <c r="B102" s="88" t="s">
        <v>4118</v>
      </c>
      <c r="C102" s="87" t="s">
        <v>3222</v>
      </c>
      <c r="D102" s="87" t="s">
        <v>3238</v>
      </c>
      <c r="E102" s="87" t="s">
        <v>4119</v>
      </c>
      <c r="F102" s="87">
        <v>-6.10600608377378</v>
      </c>
      <c r="G102" s="86">
        <v>106.854228980372</v>
      </c>
      <c r="H102" s="85"/>
      <c r="I102" s="85"/>
      <c r="J102" s="85"/>
      <c r="K102" s="85"/>
      <c r="L102" s="85"/>
      <c r="M102" s="85"/>
      <c r="N102" s="85"/>
      <c r="O102" s="85"/>
      <c r="P102" s="85"/>
    </row>
    <row r="103">
      <c r="A103" s="87">
        <v>102.0</v>
      </c>
      <c r="B103" s="88" t="s">
        <v>4120</v>
      </c>
      <c r="C103" s="87" t="s">
        <v>3239</v>
      </c>
      <c r="D103" s="87" t="s">
        <v>3178</v>
      </c>
      <c r="E103" s="87" t="s">
        <v>4121</v>
      </c>
      <c r="F103" s="87">
        <v>-6.29263065471002</v>
      </c>
      <c r="G103" s="86">
        <v>106.743850832544</v>
      </c>
      <c r="H103" s="85"/>
      <c r="I103" s="85"/>
      <c r="J103" s="85"/>
      <c r="K103" s="85"/>
      <c r="L103" s="85"/>
      <c r="M103" s="85"/>
      <c r="N103" s="85"/>
      <c r="O103" s="85"/>
      <c r="P103" s="85"/>
    </row>
    <row r="104">
      <c r="A104" s="87">
        <v>103.0</v>
      </c>
      <c r="B104" s="88" t="s">
        <v>4039</v>
      </c>
      <c r="C104" s="87" t="s">
        <v>3173</v>
      </c>
      <c r="D104" s="87" t="s">
        <v>3254</v>
      </c>
      <c r="E104" s="87" t="s">
        <v>3988</v>
      </c>
      <c r="F104" s="87">
        <v>-6.2032828601735</v>
      </c>
      <c r="G104" s="86">
        <v>106.57465277111</v>
      </c>
      <c r="H104" s="85"/>
      <c r="I104" s="85"/>
      <c r="J104" s="85"/>
      <c r="K104" s="85"/>
      <c r="L104" s="85"/>
      <c r="M104" s="85"/>
      <c r="N104" s="85"/>
      <c r="O104" s="85"/>
      <c r="P104" s="85"/>
    </row>
    <row r="105">
      <c r="A105" s="87">
        <v>104.0</v>
      </c>
      <c r="B105" s="88" t="s">
        <v>4051</v>
      </c>
      <c r="C105" s="87" t="s">
        <v>3190</v>
      </c>
      <c r="D105" s="87" t="s">
        <v>3257</v>
      </c>
      <c r="E105" s="87" t="s">
        <v>4122</v>
      </c>
      <c r="F105" s="87">
        <v>-6.15528941038137</v>
      </c>
      <c r="G105" s="86">
        <v>106.994177793208</v>
      </c>
      <c r="H105" s="85"/>
      <c r="I105" s="85"/>
      <c r="J105" s="85"/>
      <c r="K105" s="85"/>
      <c r="L105" s="85"/>
      <c r="M105" s="85"/>
      <c r="N105" s="85"/>
      <c r="O105" s="85"/>
      <c r="P105" s="85"/>
    </row>
    <row r="106">
      <c r="A106" s="87">
        <v>105.0</v>
      </c>
      <c r="B106" s="88" t="s">
        <v>4123</v>
      </c>
      <c r="C106" s="87" t="s">
        <v>3232</v>
      </c>
      <c r="D106" s="87" t="s">
        <v>3167</v>
      </c>
      <c r="E106" s="87" t="s">
        <v>4124</v>
      </c>
      <c r="F106" s="87">
        <v>-6.19836982725516</v>
      </c>
      <c r="G106" s="86">
        <v>106.991341767294</v>
      </c>
      <c r="H106" s="85"/>
      <c r="I106" s="85"/>
      <c r="J106" s="85"/>
      <c r="K106" s="85"/>
      <c r="L106" s="85"/>
      <c r="M106" s="85"/>
      <c r="N106" s="85"/>
      <c r="O106" s="85"/>
      <c r="P106" s="85"/>
    </row>
    <row r="107">
      <c r="A107" s="87">
        <v>106.0</v>
      </c>
      <c r="B107" s="88" t="s">
        <v>4125</v>
      </c>
      <c r="C107" s="87" t="s">
        <v>3227</v>
      </c>
      <c r="D107" s="87" t="s">
        <v>3167</v>
      </c>
      <c r="E107" s="87" t="s">
        <v>4126</v>
      </c>
      <c r="F107" s="87">
        <v>-6.14557525546307</v>
      </c>
      <c r="G107" s="86">
        <v>106.769882726023</v>
      </c>
      <c r="H107" s="85"/>
      <c r="I107" s="85"/>
      <c r="J107" s="85"/>
      <c r="K107" s="85"/>
      <c r="L107" s="85"/>
      <c r="M107" s="85"/>
      <c r="N107" s="85"/>
      <c r="O107" s="85"/>
      <c r="P107" s="85"/>
    </row>
    <row r="108">
      <c r="A108" s="87">
        <v>107.0</v>
      </c>
      <c r="B108" s="88" t="s">
        <v>4061</v>
      </c>
      <c r="C108" s="87" t="s">
        <v>3245</v>
      </c>
      <c r="D108" s="87" t="s">
        <v>3207</v>
      </c>
      <c r="E108" s="87" t="s">
        <v>4127</v>
      </c>
      <c r="F108" s="87">
        <v>-6.30629086423532</v>
      </c>
      <c r="G108" s="86">
        <v>106.835855694622</v>
      </c>
      <c r="H108" s="85"/>
      <c r="I108" s="85"/>
      <c r="J108" s="85"/>
      <c r="K108" s="85"/>
      <c r="L108" s="85"/>
      <c r="M108" s="85"/>
      <c r="N108" s="85"/>
      <c r="O108" s="85"/>
      <c r="P108" s="85"/>
    </row>
    <row r="109">
      <c r="A109" s="87">
        <v>108.0</v>
      </c>
      <c r="B109" s="88" t="s">
        <v>4128</v>
      </c>
      <c r="C109" s="87" t="s">
        <v>3235</v>
      </c>
      <c r="D109" s="87" t="s">
        <v>3198</v>
      </c>
      <c r="E109" s="87" t="s">
        <v>4129</v>
      </c>
      <c r="F109" s="87">
        <v>-6.21472303122382</v>
      </c>
      <c r="G109" s="86">
        <v>106.620542329821</v>
      </c>
      <c r="H109" s="85"/>
      <c r="I109" s="85"/>
      <c r="J109" s="85"/>
      <c r="K109" s="85"/>
      <c r="L109" s="85"/>
      <c r="M109" s="85"/>
      <c r="N109" s="85"/>
      <c r="O109" s="85"/>
      <c r="P109" s="85"/>
    </row>
    <row r="110">
      <c r="A110" s="87">
        <v>109.0</v>
      </c>
      <c r="B110" s="88" t="s">
        <v>4130</v>
      </c>
      <c r="C110" s="87" t="s">
        <v>3186</v>
      </c>
      <c r="D110" s="87" t="s">
        <v>3249</v>
      </c>
      <c r="E110" s="87" t="s">
        <v>4131</v>
      </c>
      <c r="F110" s="87">
        <v>-6.32175491515775</v>
      </c>
      <c r="G110" s="86">
        <v>106.787395984368</v>
      </c>
      <c r="H110" s="85"/>
      <c r="I110" s="85"/>
      <c r="J110" s="85"/>
      <c r="K110" s="85"/>
      <c r="L110" s="85"/>
      <c r="M110" s="85"/>
      <c r="N110" s="85"/>
      <c r="O110" s="85"/>
      <c r="P110" s="85"/>
    </row>
    <row r="111">
      <c r="A111" s="87">
        <v>110.0</v>
      </c>
      <c r="B111" s="88" t="s">
        <v>3964</v>
      </c>
      <c r="C111" s="87" t="s">
        <v>3190</v>
      </c>
      <c r="D111" s="87" t="s">
        <v>3211</v>
      </c>
      <c r="E111" s="87" t="s">
        <v>4132</v>
      </c>
      <c r="F111" s="87">
        <v>-6.22410045087531</v>
      </c>
      <c r="G111" s="86">
        <v>106.715341589991</v>
      </c>
      <c r="H111" s="85"/>
      <c r="I111" s="85"/>
      <c r="J111" s="85"/>
      <c r="K111" s="85"/>
      <c r="L111" s="85"/>
      <c r="M111" s="85"/>
      <c r="N111" s="85"/>
      <c r="O111" s="85"/>
      <c r="P111" s="85"/>
    </row>
    <row r="112">
      <c r="A112" s="87">
        <v>111.0</v>
      </c>
      <c r="B112" s="88" t="s">
        <v>3956</v>
      </c>
      <c r="C112" s="87" t="s">
        <v>3254</v>
      </c>
      <c r="D112" s="87" t="s">
        <v>3235</v>
      </c>
      <c r="E112" s="87" t="s">
        <v>4133</v>
      </c>
      <c r="F112" s="87">
        <v>-6.27179829318935</v>
      </c>
      <c r="G112" s="86">
        <v>106.812464432247</v>
      </c>
      <c r="H112" s="85"/>
      <c r="I112" s="85"/>
      <c r="J112" s="85"/>
      <c r="K112" s="85"/>
      <c r="L112" s="85"/>
      <c r="M112" s="85"/>
      <c r="N112" s="85"/>
      <c r="O112" s="85"/>
      <c r="P112" s="85"/>
    </row>
    <row r="113">
      <c r="A113" s="87">
        <v>112.0</v>
      </c>
      <c r="B113" s="88" t="s">
        <v>4134</v>
      </c>
      <c r="C113" s="87" t="s">
        <v>3214</v>
      </c>
      <c r="D113" s="87" t="s">
        <v>3227</v>
      </c>
      <c r="E113" s="87" t="s">
        <v>4135</v>
      </c>
      <c r="F113" s="87">
        <v>-6.18933216935754</v>
      </c>
      <c r="G113" s="86">
        <v>106.814915964123</v>
      </c>
      <c r="H113" s="85"/>
      <c r="I113" s="85"/>
      <c r="J113" s="85"/>
      <c r="K113" s="85"/>
      <c r="L113" s="85"/>
      <c r="M113" s="85"/>
      <c r="N113" s="85"/>
      <c r="O113" s="85"/>
      <c r="P113" s="85"/>
    </row>
    <row r="114">
      <c r="A114" s="87">
        <v>113.0</v>
      </c>
      <c r="B114" s="88" t="s">
        <v>4136</v>
      </c>
      <c r="C114" s="87" t="s">
        <v>3173</v>
      </c>
      <c r="D114" s="87" t="s">
        <v>3207</v>
      </c>
      <c r="E114" s="87" t="s">
        <v>4137</v>
      </c>
      <c r="F114" s="87">
        <v>-6.26207851485892</v>
      </c>
      <c r="G114" s="86">
        <v>106.84074249411</v>
      </c>
      <c r="H114" s="85"/>
      <c r="I114" s="85"/>
      <c r="J114" s="85"/>
      <c r="K114" s="85"/>
      <c r="L114" s="85"/>
      <c r="M114" s="85"/>
      <c r="N114" s="85"/>
      <c r="O114" s="85"/>
      <c r="P114" s="85"/>
    </row>
    <row r="115">
      <c r="A115" s="87">
        <v>114.0</v>
      </c>
      <c r="B115" s="88" t="s">
        <v>4130</v>
      </c>
      <c r="C115" s="87" t="s">
        <v>3190</v>
      </c>
      <c r="D115" s="87" t="s">
        <v>3245</v>
      </c>
      <c r="E115" s="87" t="s">
        <v>4138</v>
      </c>
      <c r="F115" s="87">
        <v>-6.10772002411632</v>
      </c>
      <c r="G115" s="86">
        <v>106.778011604849</v>
      </c>
      <c r="H115" s="85"/>
      <c r="I115" s="85"/>
      <c r="J115" s="85"/>
      <c r="K115" s="85"/>
      <c r="L115" s="85"/>
      <c r="M115" s="85"/>
      <c r="N115" s="85"/>
      <c r="O115" s="85"/>
      <c r="P115" s="85"/>
    </row>
    <row r="116">
      <c r="A116" s="87">
        <v>115.0</v>
      </c>
      <c r="B116" s="88" t="s">
        <v>4139</v>
      </c>
      <c r="C116" s="87" t="s">
        <v>3178</v>
      </c>
      <c r="D116" s="87" t="s">
        <v>3173</v>
      </c>
      <c r="E116" s="87" t="s">
        <v>4140</v>
      </c>
      <c r="F116" s="87">
        <v>-6.1451879012725</v>
      </c>
      <c r="G116" s="86">
        <v>106.722070521512</v>
      </c>
      <c r="H116" s="85"/>
      <c r="I116" s="85"/>
      <c r="J116" s="85"/>
      <c r="K116" s="85"/>
      <c r="L116" s="85"/>
      <c r="M116" s="85"/>
      <c r="N116" s="85"/>
      <c r="O116" s="85"/>
      <c r="P116" s="85"/>
    </row>
    <row r="117">
      <c r="A117" s="87">
        <v>116.0</v>
      </c>
      <c r="B117" s="88" t="s">
        <v>4141</v>
      </c>
      <c r="C117" s="87" t="s">
        <v>3169</v>
      </c>
      <c r="D117" s="87" t="s">
        <v>3169</v>
      </c>
      <c r="E117" s="87" t="s">
        <v>4142</v>
      </c>
      <c r="F117" s="87">
        <v>-6.14595291023516</v>
      </c>
      <c r="G117" s="86">
        <v>107.000802644647</v>
      </c>
      <c r="H117" s="85"/>
      <c r="I117" s="85"/>
      <c r="J117" s="85"/>
      <c r="K117" s="85"/>
      <c r="L117" s="85"/>
      <c r="M117" s="85"/>
      <c r="N117" s="85"/>
      <c r="O117" s="85"/>
      <c r="P117" s="85"/>
    </row>
    <row r="118">
      <c r="A118" s="87">
        <v>117.0</v>
      </c>
      <c r="B118" s="88" t="s">
        <v>4143</v>
      </c>
      <c r="C118" s="87" t="s">
        <v>3215</v>
      </c>
      <c r="D118" s="87" t="s">
        <v>3225</v>
      </c>
      <c r="E118" s="87" t="s">
        <v>4144</v>
      </c>
      <c r="F118" s="87">
        <v>-6.21469546038793</v>
      </c>
      <c r="G118" s="86">
        <v>106.860898267299</v>
      </c>
      <c r="H118" s="85"/>
      <c r="I118" s="85"/>
      <c r="J118" s="85"/>
      <c r="K118" s="85"/>
      <c r="L118" s="85"/>
      <c r="M118" s="85"/>
      <c r="N118" s="85"/>
      <c r="O118" s="85"/>
      <c r="P118" s="85"/>
    </row>
    <row r="119">
      <c r="A119" s="87">
        <v>118.0</v>
      </c>
      <c r="B119" s="88" t="s">
        <v>4145</v>
      </c>
      <c r="C119" s="87" t="s">
        <v>3225</v>
      </c>
      <c r="D119" s="87" t="s">
        <v>3200</v>
      </c>
      <c r="E119" s="87" t="s">
        <v>4146</v>
      </c>
      <c r="F119" s="87">
        <v>-6.14798162789222</v>
      </c>
      <c r="G119" s="86">
        <v>106.838733605442</v>
      </c>
      <c r="H119" s="85"/>
      <c r="I119" s="85"/>
      <c r="J119" s="85"/>
      <c r="K119" s="85"/>
      <c r="L119" s="85"/>
      <c r="M119" s="85"/>
      <c r="N119" s="85"/>
      <c r="O119" s="85"/>
      <c r="P119" s="85"/>
    </row>
    <row r="120">
      <c r="A120" s="87">
        <v>119.0</v>
      </c>
      <c r="B120" s="88" t="s">
        <v>4147</v>
      </c>
      <c r="C120" s="87" t="s">
        <v>3190</v>
      </c>
      <c r="D120" s="87" t="s">
        <v>3178</v>
      </c>
      <c r="E120" s="87" t="s">
        <v>4148</v>
      </c>
      <c r="F120" s="87">
        <v>-6.090329157623</v>
      </c>
      <c r="G120" s="86">
        <v>106.704401251654</v>
      </c>
      <c r="H120" s="85"/>
      <c r="I120" s="85"/>
      <c r="J120" s="85"/>
      <c r="K120" s="85"/>
      <c r="L120" s="85"/>
      <c r="M120" s="85"/>
      <c r="N120" s="85"/>
      <c r="O120" s="85"/>
      <c r="P120" s="85"/>
    </row>
    <row r="121">
      <c r="A121" s="87">
        <v>120.0</v>
      </c>
      <c r="B121" s="88" t="s">
        <v>4139</v>
      </c>
      <c r="C121" s="87" t="s">
        <v>3196</v>
      </c>
      <c r="D121" s="87" t="s">
        <v>3171</v>
      </c>
      <c r="E121" s="87" t="s">
        <v>4149</v>
      </c>
      <c r="F121" s="87">
        <v>-6.19941134796282</v>
      </c>
      <c r="G121" s="86">
        <v>106.767309389786</v>
      </c>
      <c r="H121" s="85"/>
      <c r="I121" s="85"/>
      <c r="J121" s="85"/>
      <c r="K121" s="85"/>
      <c r="L121" s="85"/>
      <c r="M121" s="85"/>
      <c r="N121" s="85"/>
      <c r="O121" s="85"/>
      <c r="P121" s="85"/>
    </row>
    <row r="122">
      <c r="A122" s="87">
        <v>121.0</v>
      </c>
      <c r="B122" s="88" t="s">
        <v>4150</v>
      </c>
      <c r="C122" s="87" t="s">
        <v>3196</v>
      </c>
      <c r="D122" s="87" t="s">
        <v>3173</v>
      </c>
      <c r="E122" s="87" t="s">
        <v>4151</v>
      </c>
      <c r="F122" s="87">
        <v>-6.2051624988196</v>
      </c>
      <c r="G122" s="86">
        <v>106.901614864299</v>
      </c>
      <c r="H122" s="85"/>
      <c r="I122" s="85"/>
      <c r="J122" s="85"/>
      <c r="K122" s="85"/>
      <c r="L122" s="85"/>
      <c r="M122" s="85"/>
      <c r="N122" s="85"/>
      <c r="O122" s="85"/>
      <c r="P122" s="85"/>
    </row>
    <row r="123">
      <c r="A123" s="87">
        <v>122.0</v>
      </c>
      <c r="B123" s="88" t="s">
        <v>4152</v>
      </c>
      <c r="C123" s="87" t="s">
        <v>3257</v>
      </c>
      <c r="D123" s="87" t="s">
        <v>3232</v>
      </c>
      <c r="E123" s="87" t="s">
        <v>4153</v>
      </c>
      <c r="F123" s="87">
        <v>-6.13363433209048</v>
      </c>
      <c r="G123" s="86">
        <v>106.953042717676</v>
      </c>
      <c r="H123" s="85"/>
      <c r="I123" s="85"/>
      <c r="J123" s="85"/>
      <c r="K123" s="85"/>
      <c r="L123" s="85"/>
      <c r="M123" s="85"/>
      <c r="N123" s="85"/>
      <c r="O123" s="85"/>
      <c r="P123" s="85"/>
    </row>
    <row r="124">
      <c r="A124" s="87">
        <v>123.0</v>
      </c>
      <c r="B124" s="88" t="s">
        <v>4154</v>
      </c>
      <c r="C124" s="87" t="s">
        <v>3227</v>
      </c>
      <c r="D124" s="87" t="s">
        <v>3192</v>
      </c>
      <c r="E124" s="87" t="s">
        <v>4155</v>
      </c>
      <c r="F124" s="87">
        <v>-6.19790529040065</v>
      </c>
      <c r="G124" s="86">
        <v>106.999533627551</v>
      </c>
      <c r="H124" s="85"/>
      <c r="I124" s="85"/>
      <c r="J124" s="85"/>
      <c r="K124" s="85"/>
      <c r="L124" s="85"/>
      <c r="M124" s="85"/>
      <c r="N124" s="85"/>
      <c r="O124" s="85"/>
      <c r="P124" s="85"/>
    </row>
    <row r="125">
      <c r="A125" s="87">
        <v>124.0</v>
      </c>
      <c r="B125" s="88" t="s">
        <v>4156</v>
      </c>
      <c r="C125" s="87" t="s">
        <v>3215</v>
      </c>
      <c r="D125" s="87" t="s">
        <v>3238</v>
      </c>
      <c r="E125" s="87" t="s">
        <v>4157</v>
      </c>
      <c r="F125" s="87">
        <v>-6.11690070620951</v>
      </c>
      <c r="G125" s="86">
        <v>106.800113088667</v>
      </c>
      <c r="H125" s="85"/>
      <c r="I125" s="85"/>
      <c r="J125" s="85"/>
      <c r="K125" s="85"/>
      <c r="L125" s="85"/>
      <c r="M125" s="85"/>
      <c r="N125" s="85"/>
      <c r="O125" s="85"/>
      <c r="P125" s="85"/>
    </row>
    <row r="126">
      <c r="A126" s="87">
        <v>125.0</v>
      </c>
      <c r="B126" s="88" t="s">
        <v>4158</v>
      </c>
      <c r="C126" s="87" t="s">
        <v>3173</v>
      </c>
      <c r="D126" s="87" t="s">
        <v>3180</v>
      </c>
      <c r="E126" s="87" t="s">
        <v>4159</v>
      </c>
      <c r="F126" s="87">
        <v>-6.23007942309998</v>
      </c>
      <c r="G126" s="86">
        <v>106.854031050306</v>
      </c>
      <c r="H126" s="85"/>
      <c r="I126" s="85"/>
      <c r="J126" s="85"/>
      <c r="K126" s="85"/>
      <c r="L126" s="85"/>
      <c r="M126" s="85"/>
      <c r="N126" s="85"/>
      <c r="O126" s="85"/>
      <c r="P126" s="85"/>
    </row>
    <row r="127">
      <c r="A127" s="87">
        <v>126.0</v>
      </c>
      <c r="B127" s="88" t="s">
        <v>4160</v>
      </c>
      <c r="C127" s="87" t="s">
        <v>3190</v>
      </c>
      <c r="D127" s="87" t="s">
        <v>3211</v>
      </c>
      <c r="E127" s="87" t="s">
        <v>3955</v>
      </c>
      <c r="F127" s="87">
        <v>-6.2216032395291</v>
      </c>
      <c r="G127" s="86">
        <v>106.799941467584</v>
      </c>
      <c r="H127" s="85"/>
      <c r="I127" s="85"/>
      <c r="J127" s="85"/>
      <c r="K127" s="85"/>
      <c r="L127" s="85"/>
      <c r="M127" s="85"/>
      <c r="N127" s="85"/>
      <c r="O127" s="85"/>
      <c r="P127" s="85"/>
    </row>
    <row r="128">
      <c r="A128" s="87">
        <v>127.0</v>
      </c>
      <c r="B128" s="88" t="s">
        <v>4161</v>
      </c>
      <c r="C128" s="87" t="s">
        <v>3200</v>
      </c>
      <c r="D128" s="87" t="s">
        <v>3262</v>
      </c>
      <c r="E128" s="87" t="s">
        <v>4162</v>
      </c>
      <c r="F128" s="87">
        <v>-6.20403647835027</v>
      </c>
      <c r="G128" s="86">
        <v>106.960466852829</v>
      </c>
      <c r="H128" s="85"/>
      <c r="I128" s="85"/>
      <c r="J128" s="85"/>
      <c r="K128" s="85"/>
      <c r="L128" s="85"/>
      <c r="M128" s="85"/>
      <c r="N128" s="85"/>
      <c r="O128" s="85"/>
      <c r="P128" s="85"/>
    </row>
    <row r="129">
      <c r="A129" s="87">
        <v>128.0</v>
      </c>
      <c r="B129" s="88" t="s">
        <v>4163</v>
      </c>
      <c r="C129" s="87" t="s">
        <v>3186</v>
      </c>
      <c r="D129" s="87" t="s">
        <v>3211</v>
      </c>
      <c r="E129" s="87" t="s">
        <v>4164</v>
      </c>
      <c r="F129" s="87">
        <v>-6.19919009372947</v>
      </c>
      <c r="G129" s="86">
        <v>106.586550644111</v>
      </c>
      <c r="H129" s="85"/>
      <c r="I129" s="85"/>
      <c r="J129" s="85"/>
      <c r="K129" s="85"/>
      <c r="L129" s="85"/>
      <c r="M129" s="85"/>
      <c r="N129" s="85"/>
      <c r="O129" s="85"/>
      <c r="P129" s="85"/>
    </row>
    <row r="130">
      <c r="A130" s="87">
        <v>129.0</v>
      </c>
      <c r="B130" s="88" t="s">
        <v>4023</v>
      </c>
      <c r="C130" s="87" t="s">
        <v>3200</v>
      </c>
      <c r="D130" s="87" t="s">
        <v>3182</v>
      </c>
      <c r="E130" s="87" t="s">
        <v>4165</v>
      </c>
      <c r="F130" s="87">
        <v>-6.16582884878979</v>
      </c>
      <c r="G130" s="86">
        <v>106.878232106007</v>
      </c>
      <c r="H130" s="85"/>
      <c r="I130" s="85"/>
      <c r="J130" s="85"/>
      <c r="K130" s="85"/>
      <c r="L130" s="85"/>
      <c r="M130" s="85"/>
      <c r="N130" s="85"/>
      <c r="O130" s="85"/>
      <c r="P130" s="85"/>
    </row>
    <row r="131">
      <c r="A131" s="87">
        <v>130.0</v>
      </c>
      <c r="B131" s="88" t="s">
        <v>4166</v>
      </c>
      <c r="C131" s="87" t="s">
        <v>3245</v>
      </c>
      <c r="D131" s="87" t="s">
        <v>3232</v>
      </c>
      <c r="E131" s="87" t="s">
        <v>4167</v>
      </c>
      <c r="F131" s="87">
        <v>-6.33111357611535</v>
      </c>
      <c r="G131" s="86">
        <v>106.758303300407</v>
      </c>
      <c r="H131" s="85"/>
      <c r="I131" s="85"/>
      <c r="J131" s="85"/>
      <c r="K131" s="85"/>
      <c r="L131" s="85"/>
      <c r="M131" s="85"/>
      <c r="N131" s="85"/>
      <c r="O131" s="85"/>
      <c r="P131" s="85"/>
    </row>
    <row r="132">
      <c r="A132" s="87">
        <v>131.0</v>
      </c>
      <c r="B132" s="88" t="s">
        <v>4168</v>
      </c>
      <c r="C132" s="87" t="s">
        <v>3238</v>
      </c>
      <c r="D132" s="87" t="s">
        <v>3227</v>
      </c>
      <c r="E132" s="87" t="s">
        <v>4169</v>
      </c>
      <c r="F132" s="87">
        <v>-6.20510061654135</v>
      </c>
      <c r="G132" s="86">
        <v>106.675636094004</v>
      </c>
      <c r="H132" s="85"/>
      <c r="I132" s="85"/>
      <c r="J132" s="85"/>
      <c r="K132" s="85"/>
      <c r="L132" s="85"/>
      <c r="M132" s="85"/>
      <c r="N132" s="85"/>
      <c r="O132" s="85"/>
      <c r="P132" s="85"/>
    </row>
    <row r="133">
      <c r="A133" s="87">
        <v>132.0</v>
      </c>
      <c r="B133" s="88" t="s">
        <v>4170</v>
      </c>
      <c r="C133" s="87" t="s">
        <v>3194</v>
      </c>
      <c r="D133" s="87" t="s">
        <v>3186</v>
      </c>
      <c r="E133" s="87" t="s">
        <v>4171</v>
      </c>
      <c r="F133" s="87">
        <v>-6.13833474890615</v>
      </c>
      <c r="G133" s="86">
        <v>106.828907141286</v>
      </c>
      <c r="H133" s="85"/>
      <c r="I133" s="85"/>
      <c r="J133" s="85"/>
      <c r="K133" s="85"/>
      <c r="L133" s="85"/>
      <c r="M133" s="85"/>
      <c r="N133" s="85"/>
      <c r="O133" s="85"/>
      <c r="P133" s="85"/>
    </row>
    <row r="134">
      <c r="A134" s="87">
        <v>133.0</v>
      </c>
      <c r="B134" s="88" t="s">
        <v>4172</v>
      </c>
      <c r="C134" s="87" t="s">
        <v>3194</v>
      </c>
      <c r="D134" s="87" t="s">
        <v>3192</v>
      </c>
      <c r="E134" s="87" t="s">
        <v>4173</v>
      </c>
      <c r="F134" s="87">
        <v>-6.27202161862543</v>
      </c>
      <c r="G134" s="86">
        <v>106.69541282559</v>
      </c>
      <c r="H134" s="85"/>
      <c r="I134" s="85"/>
      <c r="J134" s="85"/>
      <c r="K134" s="85"/>
      <c r="L134" s="85"/>
      <c r="M134" s="85"/>
      <c r="N134" s="85"/>
      <c r="O134" s="85"/>
      <c r="P134" s="85"/>
    </row>
    <row r="135">
      <c r="A135" s="87">
        <v>134.0</v>
      </c>
      <c r="B135" s="88" t="s">
        <v>4174</v>
      </c>
      <c r="C135" s="87" t="s">
        <v>3182</v>
      </c>
      <c r="D135" s="87" t="s">
        <v>3239</v>
      </c>
      <c r="E135" s="87" t="s">
        <v>4175</v>
      </c>
      <c r="F135" s="87">
        <v>-6.22636641440642</v>
      </c>
      <c r="G135" s="86">
        <v>106.710809213233</v>
      </c>
      <c r="H135" s="85"/>
      <c r="I135" s="85"/>
      <c r="J135" s="85"/>
      <c r="K135" s="85"/>
      <c r="L135" s="85"/>
      <c r="M135" s="85"/>
      <c r="N135" s="85"/>
      <c r="O135" s="85"/>
      <c r="P135" s="85"/>
    </row>
    <row r="136">
      <c r="A136" s="87">
        <v>135.0</v>
      </c>
      <c r="B136" s="88" t="s">
        <v>4176</v>
      </c>
      <c r="C136" s="87" t="s">
        <v>3200</v>
      </c>
      <c r="D136" s="87" t="s">
        <v>3207</v>
      </c>
      <c r="E136" s="87" t="s">
        <v>4066</v>
      </c>
      <c r="F136" s="87">
        <v>-6.08705795413683</v>
      </c>
      <c r="G136" s="86">
        <v>106.800898863648</v>
      </c>
      <c r="H136" s="85"/>
      <c r="I136" s="85"/>
      <c r="J136" s="85"/>
      <c r="K136" s="85"/>
      <c r="L136" s="85"/>
      <c r="M136" s="85"/>
      <c r="N136" s="85"/>
      <c r="O136" s="85"/>
      <c r="P136" s="85"/>
    </row>
    <row r="137">
      <c r="A137" s="87">
        <v>136.0</v>
      </c>
      <c r="B137" s="88" t="s">
        <v>3983</v>
      </c>
      <c r="C137" s="87" t="s">
        <v>3176</v>
      </c>
      <c r="D137" s="87" t="s">
        <v>3221</v>
      </c>
      <c r="E137" s="87" t="s">
        <v>4177</v>
      </c>
      <c r="F137" s="87">
        <v>-6.24366256741684</v>
      </c>
      <c r="G137" s="86">
        <v>106.709614241489</v>
      </c>
      <c r="H137" s="85"/>
      <c r="I137" s="85"/>
      <c r="J137" s="85"/>
      <c r="K137" s="85"/>
      <c r="L137" s="85"/>
      <c r="M137" s="85"/>
      <c r="N137" s="85"/>
      <c r="O137" s="85"/>
      <c r="P137" s="85"/>
    </row>
    <row r="138">
      <c r="A138" s="87">
        <v>137.0</v>
      </c>
      <c r="B138" s="88" t="s">
        <v>3948</v>
      </c>
      <c r="C138" s="87" t="s">
        <v>3173</v>
      </c>
      <c r="D138" s="87" t="s">
        <v>3215</v>
      </c>
      <c r="E138" s="87" t="s">
        <v>4178</v>
      </c>
      <c r="F138" s="87">
        <v>-6.0940873010706</v>
      </c>
      <c r="G138" s="86">
        <v>106.855308811902</v>
      </c>
      <c r="H138" s="85"/>
      <c r="I138" s="85"/>
      <c r="J138" s="85"/>
      <c r="K138" s="85"/>
      <c r="L138" s="85"/>
      <c r="M138" s="85"/>
      <c r="N138" s="85"/>
      <c r="O138" s="85"/>
      <c r="P138" s="85"/>
    </row>
    <row r="139">
      <c r="A139" s="87">
        <v>138.0</v>
      </c>
      <c r="B139" s="88" t="s">
        <v>4179</v>
      </c>
      <c r="C139" s="87" t="s">
        <v>3249</v>
      </c>
      <c r="D139" s="87" t="s">
        <v>3219</v>
      </c>
      <c r="E139" s="87" t="s">
        <v>4180</v>
      </c>
      <c r="F139" s="87">
        <v>-6.27610717719172</v>
      </c>
      <c r="G139" s="86">
        <v>106.876436498586</v>
      </c>
      <c r="H139" s="85"/>
      <c r="I139" s="85"/>
      <c r="J139" s="85"/>
      <c r="K139" s="85"/>
      <c r="L139" s="85"/>
      <c r="M139" s="85"/>
      <c r="N139" s="85"/>
      <c r="O139" s="85"/>
      <c r="P139" s="85"/>
    </row>
    <row r="140">
      <c r="A140" s="87">
        <v>139.0</v>
      </c>
      <c r="B140" s="88" t="s">
        <v>4181</v>
      </c>
      <c r="C140" s="87" t="s">
        <v>3167</v>
      </c>
      <c r="D140" s="87" t="s">
        <v>3182</v>
      </c>
      <c r="E140" s="87" t="s">
        <v>4182</v>
      </c>
      <c r="F140" s="87">
        <v>-6.11283045206161</v>
      </c>
      <c r="G140" s="86">
        <v>106.684192663319</v>
      </c>
      <c r="H140" s="85"/>
      <c r="I140" s="85"/>
      <c r="J140" s="85"/>
      <c r="K140" s="85"/>
      <c r="L140" s="85"/>
      <c r="M140" s="85"/>
      <c r="N140" s="85"/>
      <c r="O140" s="85"/>
      <c r="P140" s="85"/>
    </row>
    <row r="141">
      <c r="A141" s="87">
        <v>140.0</v>
      </c>
      <c r="B141" s="88" t="s">
        <v>4183</v>
      </c>
      <c r="C141" s="87" t="s">
        <v>3192</v>
      </c>
      <c r="D141" s="87" t="s">
        <v>3190</v>
      </c>
      <c r="E141" s="87" t="s">
        <v>4184</v>
      </c>
      <c r="F141" s="87">
        <v>-6.28506791170827</v>
      </c>
      <c r="G141" s="86">
        <v>106.830089347105</v>
      </c>
      <c r="H141" s="85"/>
      <c r="I141" s="85"/>
      <c r="J141" s="85"/>
      <c r="K141" s="85"/>
      <c r="L141" s="85"/>
      <c r="M141" s="85"/>
      <c r="N141" s="85"/>
      <c r="O141" s="85"/>
      <c r="P141" s="85"/>
    </row>
    <row r="142">
      <c r="A142" s="87">
        <v>141.0</v>
      </c>
      <c r="B142" s="88" t="s">
        <v>4185</v>
      </c>
      <c r="C142" s="87" t="s">
        <v>3257</v>
      </c>
      <c r="D142" s="87" t="s">
        <v>3171</v>
      </c>
      <c r="E142" s="87" t="s">
        <v>4186</v>
      </c>
      <c r="F142" s="87">
        <v>-6.22163326649791</v>
      </c>
      <c r="G142" s="86">
        <v>106.642031853927</v>
      </c>
      <c r="H142" s="85"/>
      <c r="I142" s="85"/>
      <c r="J142" s="85"/>
      <c r="K142" s="85"/>
      <c r="L142" s="85"/>
      <c r="M142" s="85"/>
      <c r="N142" s="85"/>
      <c r="O142" s="85"/>
      <c r="P142" s="85"/>
    </row>
    <row r="143">
      <c r="A143" s="87">
        <v>142.0</v>
      </c>
      <c r="B143" s="88" t="s">
        <v>4043</v>
      </c>
      <c r="C143" s="87" t="s">
        <v>3227</v>
      </c>
      <c r="D143" s="87" t="s">
        <v>3173</v>
      </c>
      <c r="E143" s="87" t="s">
        <v>4187</v>
      </c>
      <c r="F143" s="87">
        <v>-6.13659335636173</v>
      </c>
      <c r="G143" s="86">
        <v>106.913427702173</v>
      </c>
      <c r="H143" s="85"/>
      <c r="I143" s="85"/>
      <c r="J143" s="85"/>
      <c r="K143" s="85"/>
      <c r="L143" s="85"/>
      <c r="M143" s="85"/>
      <c r="N143" s="85"/>
      <c r="O143" s="85"/>
      <c r="P143" s="85"/>
    </row>
    <row r="144">
      <c r="A144" s="87">
        <v>143.0</v>
      </c>
      <c r="B144" s="88" t="s">
        <v>4188</v>
      </c>
      <c r="C144" s="87" t="s">
        <v>3169</v>
      </c>
      <c r="D144" s="87" t="s">
        <v>3176</v>
      </c>
      <c r="E144" s="87" t="s">
        <v>4189</v>
      </c>
      <c r="F144" s="87">
        <v>-6.24860623922227</v>
      </c>
      <c r="G144" s="86">
        <v>106.742263936661</v>
      </c>
      <c r="H144" s="85"/>
      <c r="I144" s="85"/>
      <c r="J144" s="85"/>
      <c r="K144" s="85"/>
      <c r="L144" s="85"/>
      <c r="M144" s="85"/>
      <c r="N144" s="85"/>
      <c r="O144" s="85"/>
      <c r="P144" s="85"/>
    </row>
    <row r="145">
      <c r="A145" s="87">
        <v>144.0</v>
      </c>
      <c r="B145" s="88" t="s">
        <v>4190</v>
      </c>
      <c r="C145" s="87" t="s">
        <v>3169</v>
      </c>
      <c r="D145" s="87" t="s">
        <v>3173</v>
      </c>
      <c r="E145" s="87" t="s">
        <v>4191</v>
      </c>
      <c r="F145" s="87">
        <v>-6.22608549641721</v>
      </c>
      <c r="G145" s="86">
        <v>106.705995680485</v>
      </c>
      <c r="H145" s="85"/>
      <c r="I145" s="85"/>
      <c r="J145" s="85"/>
      <c r="K145" s="85"/>
      <c r="L145" s="85"/>
      <c r="M145" s="85"/>
      <c r="N145" s="85"/>
      <c r="O145" s="85"/>
      <c r="P145" s="85"/>
    </row>
    <row r="146">
      <c r="A146" s="87">
        <v>145.0</v>
      </c>
      <c r="B146" s="88" t="s">
        <v>4078</v>
      </c>
      <c r="C146" s="87" t="s">
        <v>3238</v>
      </c>
      <c r="D146" s="87" t="s">
        <v>3222</v>
      </c>
      <c r="E146" s="87" t="s">
        <v>4140</v>
      </c>
      <c r="F146" s="87">
        <v>-6.32406569620179</v>
      </c>
      <c r="G146" s="86">
        <v>106.632828085101</v>
      </c>
      <c r="H146" s="85"/>
      <c r="I146" s="85"/>
      <c r="J146" s="85"/>
      <c r="K146" s="85"/>
      <c r="L146" s="85"/>
      <c r="M146" s="85"/>
      <c r="N146" s="85"/>
      <c r="O146" s="85"/>
      <c r="P146" s="85"/>
    </row>
    <row r="147">
      <c r="A147" s="87">
        <v>146.0</v>
      </c>
      <c r="B147" s="88" t="s">
        <v>4192</v>
      </c>
      <c r="C147" s="87" t="s">
        <v>3238</v>
      </c>
      <c r="D147" s="87" t="s">
        <v>3200</v>
      </c>
      <c r="E147" s="87" t="s">
        <v>4193</v>
      </c>
      <c r="F147" s="87">
        <v>-6.27081847332291</v>
      </c>
      <c r="G147" s="86">
        <v>106.796311076729</v>
      </c>
      <c r="H147" s="85"/>
      <c r="I147" s="85"/>
      <c r="J147" s="85"/>
      <c r="K147" s="85"/>
      <c r="L147" s="85"/>
      <c r="M147" s="85"/>
      <c r="N147" s="85"/>
      <c r="O147" s="85"/>
      <c r="P147" s="85"/>
    </row>
    <row r="148">
      <c r="A148" s="87">
        <v>147.0</v>
      </c>
      <c r="B148" s="88" t="s">
        <v>4194</v>
      </c>
      <c r="C148" s="87" t="s">
        <v>3207</v>
      </c>
      <c r="D148" s="87" t="s">
        <v>3196</v>
      </c>
      <c r="E148" s="87" t="s">
        <v>4195</v>
      </c>
      <c r="F148" s="87">
        <v>-6.16310233307301</v>
      </c>
      <c r="G148" s="86">
        <v>106.891164820187</v>
      </c>
      <c r="H148" s="85"/>
      <c r="I148" s="85"/>
      <c r="J148" s="85"/>
      <c r="K148" s="85"/>
      <c r="L148" s="85"/>
      <c r="M148" s="85"/>
      <c r="N148" s="85"/>
      <c r="O148" s="85"/>
      <c r="P148" s="85"/>
    </row>
    <row r="149">
      <c r="A149" s="87">
        <v>148.0</v>
      </c>
      <c r="B149" s="88" t="s">
        <v>4196</v>
      </c>
      <c r="C149" s="87" t="s">
        <v>3221</v>
      </c>
      <c r="D149" s="87" t="s">
        <v>3262</v>
      </c>
      <c r="E149" s="87" t="s">
        <v>4197</v>
      </c>
      <c r="F149" s="87">
        <v>-6.3542497270999</v>
      </c>
      <c r="G149" s="86">
        <v>106.867710420528</v>
      </c>
      <c r="H149" s="85"/>
      <c r="I149" s="85"/>
      <c r="J149" s="85"/>
      <c r="K149" s="85"/>
      <c r="L149" s="85"/>
      <c r="M149" s="85"/>
      <c r="N149" s="85"/>
      <c r="O149" s="85"/>
      <c r="P149" s="85"/>
    </row>
    <row r="150">
      <c r="A150" s="87">
        <v>149.0</v>
      </c>
      <c r="B150" s="88" t="s">
        <v>4198</v>
      </c>
      <c r="C150" s="87" t="s">
        <v>3232</v>
      </c>
      <c r="D150" s="87" t="s">
        <v>3239</v>
      </c>
      <c r="E150" s="87" t="s">
        <v>4199</v>
      </c>
      <c r="F150" s="87">
        <v>-6.12099122718595</v>
      </c>
      <c r="G150" s="86">
        <v>106.735684977134</v>
      </c>
      <c r="H150" s="85"/>
      <c r="I150" s="85"/>
      <c r="J150" s="85"/>
      <c r="K150" s="85"/>
      <c r="L150" s="85"/>
      <c r="M150" s="85"/>
      <c r="N150" s="85"/>
      <c r="O150" s="85"/>
      <c r="P150" s="85"/>
    </row>
    <row r="151">
      <c r="A151" s="87">
        <v>150.0</v>
      </c>
      <c r="B151" s="88" t="s">
        <v>3950</v>
      </c>
      <c r="C151" s="87" t="s">
        <v>3219</v>
      </c>
      <c r="D151" s="87" t="s">
        <v>3167</v>
      </c>
      <c r="E151" s="87" t="s">
        <v>4200</v>
      </c>
      <c r="F151" s="87">
        <v>-6.21615395690517</v>
      </c>
      <c r="G151" s="86">
        <v>106.679021708711</v>
      </c>
      <c r="H151" s="85"/>
      <c r="I151" s="85"/>
      <c r="J151" s="85"/>
      <c r="K151" s="85"/>
      <c r="L151" s="85"/>
      <c r="M151" s="85"/>
      <c r="N151" s="85"/>
      <c r="O151" s="85"/>
      <c r="P151" s="85"/>
    </row>
    <row r="152">
      <c r="A152" s="87">
        <v>151.0</v>
      </c>
      <c r="B152" s="88" t="s">
        <v>4201</v>
      </c>
      <c r="C152" s="87" t="s">
        <v>3167</v>
      </c>
      <c r="D152" s="87" t="s">
        <v>3232</v>
      </c>
      <c r="E152" s="87" t="s">
        <v>4202</v>
      </c>
      <c r="F152" s="87">
        <v>-6.31191388429041</v>
      </c>
      <c r="G152" s="86">
        <v>106.714050044332</v>
      </c>
      <c r="H152" s="85"/>
      <c r="I152" s="85"/>
      <c r="J152" s="85"/>
      <c r="K152" s="85"/>
      <c r="L152" s="85"/>
      <c r="M152" s="85"/>
      <c r="N152" s="85"/>
      <c r="O152" s="85"/>
      <c r="P152" s="85"/>
    </row>
    <row r="153">
      <c r="A153" s="87">
        <v>152.0</v>
      </c>
      <c r="B153" s="88" t="s">
        <v>4203</v>
      </c>
      <c r="C153" s="87" t="s">
        <v>3225</v>
      </c>
      <c r="D153" s="87" t="s">
        <v>3203</v>
      </c>
      <c r="E153" s="87" t="s">
        <v>4204</v>
      </c>
      <c r="F153" s="87">
        <v>-6.20837733045467</v>
      </c>
      <c r="G153" s="86">
        <v>106.741064312442</v>
      </c>
      <c r="H153" s="85"/>
      <c r="I153" s="85"/>
      <c r="J153" s="85"/>
      <c r="K153" s="85"/>
      <c r="L153" s="85"/>
      <c r="M153" s="85"/>
      <c r="N153" s="85"/>
      <c r="O153" s="85"/>
      <c r="P153" s="85"/>
    </row>
    <row r="154">
      <c r="A154" s="87">
        <v>153.0</v>
      </c>
      <c r="B154" s="88" t="s">
        <v>4205</v>
      </c>
      <c r="C154" s="87" t="s">
        <v>3219</v>
      </c>
      <c r="D154" s="87" t="s">
        <v>3180</v>
      </c>
      <c r="E154" s="87" t="s">
        <v>4206</v>
      </c>
      <c r="F154" s="87">
        <v>-6.13001476705452</v>
      </c>
      <c r="G154" s="86">
        <v>106.690638132864</v>
      </c>
      <c r="H154" s="85"/>
      <c r="I154" s="85"/>
      <c r="J154" s="85"/>
      <c r="K154" s="85"/>
      <c r="L154" s="85"/>
      <c r="M154" s="85"/>
      <c r="N154" s="85"/>
      <c r="O154" s="85"/>
      <c r="P154" s="85"/>
    </row>
    <row r="155">
      <c r="A155" s="87">
        <v>154.0</v>
      </c>
      <c r="B155" s="88" t="s">
        <v>4207</v>
      </c>
      <c r="C155" s="87" t="s">
        <v>3188</v>
      </c>
      <c r="D155" s="87" t="s">
        <v>3171</v>
      </c>
      <c r="E155" s="87" t="s">
        <v>4208</v>
      </c>
      <c r="F155" s="87">
        <v>-6.10016184340767</v>
      </c>
      <c r="G155" s="86">
        <v>106.812544084048</v>
      </c>
      <c r="H155" s="85"/>
      <c r="I155" s="85"/>
      <c r="J155" s="85"/>
      <c r="K155" s="85"/>
      <c r="L155" s="85"/>
      <c r="M155" s="85"/>
      <c r="N155" s="85"/>
      <c r="O155" s="85"/>
      <c r="P155" s="85"/>
    </row>
    <row r="156">
      <c r="A156" s="87">
        <v>155.0</v>
      </c>
      <c r="B156" s="88" t="s">
        <v>4209</v>
      </c>
      <c r="C156" s="87" t="s">
        <v>3262</v>
      </c>
      <c r="D156" s="87" t="s">
        <v>3180</v>
      </c>
      <c r="E156" s="87" t="s">
        <v>4210</v>
      </c>
      <c r="F156" s="87">
        <v>-6.202193073385</v>
      </c>
      <c r="G156" s="86">
        <v>106.605814086129</v>
      </c>
      <c r="H156" s="85"/>
      <c r="I156" s="85"/>
      <c r="J156" s="85"/>
      <c r="K156" s="85"/>
      <c r="L156" s="85"/>
      <c r="M156" s="85"/>
      <c r="N156" s="85"/>
      <c r="O156" s="85"/>
      <c r="P156" s="85"/>
    </row>
    <row r="157">
      <c r="A157" s="87">
        <v>156.0</v>
      </c>
      <c r="B157" s="88" t="s">
        <v>4211</v>
      </c>
      <c r="C157" s="87" t="s">
        <v>3176</v>
      </c>
      <c r="D157" s="87" t="s">
        <v>3245</v>
      </c>
      <c r="E157" s="87" t="s">
        <v>4212</v>
      </c>
      <c r="F157" s="87">
        <v>-6.08828445758999</v>
      </c>
      <c r="G157" s="86">
        <v>106.720303712651</v>
      </c>
      <c r="H157" s="85"/>
      <c r="I157" s="85"/>
      <c r="J157" s="85"/>
      <c r="K157" s="85"/>
      <c r="L157" s="85"/>
      <c r="M157" s="85"/>
      <c r="N157" s="85"/>
      <c r="O157" s="85"/>
      <c r="P157" s="85"/>
    </row>
    <row r="158">
      <c r="A158" s="87">
        <v>157.0</v>
      </c>
      <c r="B158" s="88" t="s">
        <v>4106</v>
      </c>
      <c r="C158" s="87" t="s">
        <v>3171</v>
      </c>
      <c r="D158" s="87" t="s">
        <v>3219</v>
      </c>
      <c r="E158" s="87" t="s">
        <v>4213</v>
      </c>
      <c r="F158" s="87">
        <v>-6.17066939396635</v>
      </c>
      <c r="G158" s="86">
        <v>106.765438204594</v>
      </c>
      <c r="H158" s="85"/>
      <c r="I158" s="85"/>
      <c r="J158" s="85"/>
      <c r="K158" s="85"/>
      <c r="L158" s="85"/>
      <c r="M158" s="85"/>
      <c r="N158" s="85"/>
      <c r="O158" s="85"/>
      <c r="P158" s="85"/>
    </row>
    <row r="159">
      <c r="A159" s="87">
        <v>158.0</v>
      </c>
      <c r="B159" s="88" t="s">
        <v>4183</v>
      </c>
      <c r="C159" s="87" t="s">
        <v>3180</v>
      </c>
      <c r="D159" s="87" t="s">
        <v>3235</v>
      </c>
      <c r="E159" s="87" t="s">
        <v>4214</v>
      </c>
      <c r="F159" s="87">
        <v>-6.31059151970041</v>
      </c>
      <c r="G159" s="86">
        <v>106.708630923007</v>
      </c>
      <c r="H159" s="85"/>
      <c r="I159" s="85"/>
      <c r="J159" s="85"/>
      <c r="K159" s="85"/>
      <c r="L159" s="85"/>
      <c r="M159" s="85"/>
      <c r="N159" s="85"/>
      <c r="O159" s="85"/>
      <c r="P159" s="85"/>
    </row>
    <row r="160">
      <c r="A160" s="87">
        <v>159.0</v>
      </c>
      <c r="B160" s="88" t="s">
        <v>3966</v>
      </c>
      <c r="C160" s="87" t="s">
        <v>3196</v>
      </c>
      <c r="D160" s="87" t="s">
        <v>3188</v>
      </c>
      <c r="E160" s="87" t="s">
        <v>4215</v>
      </c>
      <c r="F160" s="87">
        <v>-6.17236073245123</v>
      </c>
      <c r="G160" s="86">
        <v>106.870037479342</v>
      </c>
      <c r="H160" s="85"/>
      <c r="I160" s="85"/>
      <c r="J160" s="85"/>
      <c r="K160" s="85"/>
      <c r="L160" s="85"/>
      <c r="M160" s="85"/>
      <c r="N160" s="85"/>
      <c r="O160" s="85"/>
      <c r="P160" s="85"/>
    </row>
    <row r="161">
      <c r="A161" s="87">
        <v>160.0</v>
      </c>
      <c r="B161" s="88" t="s">
        <v>4216</v>
      </c>
      <c r="C161" s="87" t="s">
        <v>3254</v>
      </c>
      <c r="D161" s="87" t="s">
        <v>3239</v>
      </c>
      <c r="E161" s="87" t="s">
        <v>4217</v>
      </c>
      <c r="F161" s="87">
        <v>-6.26932481185707</v>
      </c>
      <c r="G161" s="86">
        <v>106.810108030237</v>
      </c>
      <c r="H161" s="85"/>
      <c r="I161" s="85"/>
      <c r="J161" s="85"/>
      <c r="K161" s="85"/>
      <c r="L161" s="85"/>
      <c r="M161" s="85"/>
      <c r="N161" s="85"/>
      <c r="O161" s="85"/>
      <c r="P161" s="85"/>
    </row>
    <row r="162">
      <c r="A162" s="87">
        <v>161.0</v>
      </c>
      <c r="B162" s="88" t="s">
        <v>4218</v>
      </c>
      <c r="C162" s="87" t="s">
        <v>3257</v>
      </c>
      <c r="D162" s="87" t="s">
        <v>3192</v>
      </c>
      <c r="E162" s="87" t="s">
        <v>4219</v>
      </c>
      <c r="F162" s="87">
        <v>-6.29113317397085</v>
      </c>
      <c r="G162" s="86">
        <v>106.65164241509</v>
      </c>
      <c r="H162" s="85"/>
      <c r="I162" s="85"/>
      <c r="J162" s="85"/>
      <c r="K162" s="85"/>
      <c r="L162" s="85"/>
      <c r="M162" s="85"/>
      <c r="N162" s="85"/>
      <c r="O162" s="85"/>
      <c r="P162" s="85"/>
    </row>
    <row r="163">
      <c r="A163" s="87">
        <v>162.0</v>
      </c>
      <c r="B163" s="88" t="s">
        <v>4220</v>
      </c>
      <c r="C163" s="87" t="s">
        <v>3222</v>
      </c>
      <c r="D163" s="87" t="s">
        <v>3257</v>
      </c>
      <c r="E163" s="87" t="s">
        <v>4221</v>
      </c>
      <c r="F163" s="87">
        <v>-6.23075609439918</v>
      </c>
      <c r="G163" s="86">
        <v>106.693011563945</v>
      </c>
      <c r="H163" s="85"/>
      <c r="I163" s="85"/>
      <c r="J163" s="85"/>
      <c r="K163" s="85"/>
      <c r="L163" s="85"/>
      <c r="M163" s="85"/>
      <c r="N163" s="85"/>
      <c r="O163" s="85"/>
      <c r="P163" s="85"/>
    </row>
    <row r="164">
      <c r="A164" s="87">
        <v>163.0</v>
      </c>
      <c r="B164" s="88" t="s">
        <v>4222</v>
      </c>
      <c r="C164" s="87" t="s">
        <v>3222</v>
      </c>
      <c r="D164" s="87" t="s">
        <v>3173</v>
      </c>
      <c r="E164" s="87" t="s">
        <v>4223</v>
      </c>
      <c r="F164" s="87">
        <v>-6.15241182528298</v>
      </c>
      <c r="G164" s="86">
        <v>106.884521904566</v>
      </c>
      <c r="H164" s="85"/>
      <c r="I164" s="85"/>
      <c r="J164" s="85"/>
      <c r="K164" s="85"/>
      <c r="L164" s="85"/>
      <c r="M164" s="85"/>
      <c r="N164" s="85"/>
      <c r="O164" s="85"/>
      <c r="P164" s="85"/>
    </row>
    <row r="165">
      <c r="A165" s="87">
        <v>164.0</v>
      </c>
      <c r="B165" s="88" t="s">
        <v>4224</v>
      </c>
      <c r="C165" s="87" t="s">
        <v>3169</v>
      </c>
      <c r="D165" s="87" t="s">
        <v>3232</v>
      </c>
      <c r="E165" s="87" t="s">
        <v>4225</v>
      </c>
      <c r="F165" s="87">
        <v>-6.27060178506215</v>
      </c>
      <c r="G165" s="86">
        <v>106.782477797875</v>
      </c>
      <c r="H165" s="85"/>
      <c r="I165" s="85"/>
      <c r="J165" s="85"/>
      <c r="K165" s="85"/>
      <c r="L165" s="85"/>
      <c r="M165" s="85"/>
      <c r="N165" s="85"/>
      <c r="O165" s="85"/>
      <c r="P165" s="85"/>
    </row>
    <row r="166">
      <c r="A166" s="87">
        <v>165.0</v>
      </c>
      <c r="B166" s="88" t="s">
        <v>4226</v>
      </c>
      <c r="C166" s="87" t="s">
        <v>3221</v>
      </c>
      <c r="D166" s="87" t="s">
        <v>3196</v>
      </c>
      <c r="E166" s="87" t="s">
        <v>4227</v>
      </c>
      <c r="F166" s="87">
        <v>-6.1100086016264</v>
      </c>
      <c r="G166" s="86">
        <v>106.785469270225</v>
      </c>
      <c r="H166" s="85"/>
      <c r="I166" s="85"/>
      <c r="J166" s="85"/>
      <c r="K166" s="85"/>
      <c r="L166" s="85"/>
      <c r="M166" s="85"/>
      <c r="N166" s="85"/>
      <c r="O166" s="85"/>
      <c r="P166" s="85"/>
    </row>
    <row r="167">
      <c r="A167" s="87">
        <v>166.0</v>
      </c>
      <c r="B167" s="88" t="s">
        <v>4228</v>
      </c>
      <c r="C167" s="87" t="s">
        <v>3227</v>
      </c>
      <c r="D167" s="87" t="s">
        <v>3227</v>
      </c>
      <c r="E167" s="87" t="s">
        <v>4229</v>
      </c>
      <c r="F167" s="87">
        <v>-6.18088643145842</v>
      </c>
      <c r="G167" s="86">
        <v>106.608010650905</v>
      </c>
      <c r="H167" s="85"/>
      <c r="I167" s="85"/>
      <c r="J167" s="85"/>
      <c r="K167" s="85"/>
      <c r="L167" s="85"/>
      <c r="M167" s="85"/>
      <c r="N167" s="85"/>
      <c r="O167" s="85"/>
      <c r="P167" s="85"/>
    </row>
    <row r="168">
      <c r="A168" s="87">
        <v>167.0</v>
      </c>
      <c r="B168" s="88" t="s">
        <v>4230</v>
      </c>
      <c r="C168" s="87" t="s">
        <v>3188</v>
      </c>
      <c r="D168" s="87" t="s">
        <v>3254</v>
      </c>
      <c r="E168" s="87" t="s">
        <v>4231</v>
      </c>
      <c r="F168" s="87">
        <v>-6.35564218852523</v>
      </c>
      <c r="G168" s="86">
        <v>106.86658597927</v>
      </c>
      <c r="H168" s="85"/>
      <c r="I168" s="85"/>
      <c r="J168" s="85"/>
      <c r="K168" s="85"/>
      <c r="L168" s="85"/>
      <c r="M168" s="85"/>
      <c r="N168" s="85"/>
      <c r="O168" s="85"/>
      <c r="P168" s="85"/>
    </row>
    <row r="169">
      <c r="A169" s="87">
        <v>168.0</v>
      </c>
      <c r="B169" s="88" t="s">
        <v>4232</v>
      </c>
      <c r="C169" s="87" t="s">
        <v>3249</v>
      </c>
      <c r="D169" s="87" t="s">
        <v>3194</v>
      </c>
      <c r="E169" s="87" t="s">
        <v>4233</v>
      </c>
      <c r="F169" s="87">
        <v>-6.19082070697498</v>
      </c>
      <c r="G169" s="86">
        <v>106.928239545034</v>
      </c>
      <c r="H169" s="85"/>
      <c r="I169" s="85"/>
      <c r="J169" s="85"/>
      <c r="K169" s="85"/>
      <c r="L169" s="85"/>
      <c r="M169" s="85"/>
      <c r="N169" s="85"/>
      <c r="O169" s="85"/>
      <c r="P169" s="85"/>
    </row>
    <row r="170">
      <c r="A170" s="87">
        <v>169.0</v>
      </c>
      <c r="B170" s="88" t="s">
        <v>4234</v>
      </c>
      <c r="C170" s="87" t="s">
        <v>3203</v>
      </c>
      <c r="D170" s="87" t="s">
        <v>3200</v>
      </c>
      <c r="E170" s="87" t="s">
        <v>4235</v>
      </c>
      <c r="F170" s="87">
        <v>-6.31636415710541</v>
      </c>
      <c r="G170" s="86">
        <v>106.926295490123</v>
      </c>
      <c r="H170" s="85"/>
      <c r="I170" s="85"/>
      <c r="J170" s="85"/>
      <c r="K170" s="85"/>
      <c r="L170" s="85"/>
      <c r="M170" s="85"/>
      <c r="N170" s="85"/>
      <c r="O170" s="85"/>
      <c r="P170" s="85"/>
    </row>
    <row r="171">
      <c r="A171" s="87">
        <v>170.0</v>
      </c>
      <c r="B171" s="88" t="s">
        <v>4236</v>
      </c>
      <c r="C171" s="87" t="s">
        <v>3203</v>
      </c>
      <c r="D171" s="87" t="s">
        <v>3182</v>
      </c>
      <c r="E171" s="87" t="s">
        <v>4237</v>
      </c>
      <c r="F171" s="87">
        <v>-6.28329343832168</v>
      </c>
      <c r="G171" s="86">
        <v>106.946592938421</v>
      </c>
      <c r="H171" s="85"/>
      <c r="I171" s="85"/>
      <c r="J171" s="85"/>
      <c r="K171" s="85"/>
      <c r="L171" s="85"/>
      <c r="M171" s="85"/>
      <c r="N171" s="85"/>
      <c r="O171" s="85"/>
      <c r="P171" s="85"/>
    </row>
    <row r="172">
      <c r="A172" s="87">
        <v>171.0</v>
      </c>
      <c r="B172" s="88" t="s">
        <v>4238</v>
      </c>
      <c r="C172" s="87" t="s">
        <v>3169</v>
      </c>
      <c r="D172" s="87" t="s">
        <v>3245</v>
      </c>
      <c r="E172" s="87" t="s">
        <v>4239</v>
      </c>
      <c r="F172" s="87">
        <v>-6.31083163528977</v>
      </c>
      <c r="G172" s="86">
        <v>106.769239933193</v>
      </c>
      <c r="H172" s="85"/>
      <c r="I172" s="85"/>
      <c r="J172" s="85"/>
      <c r="K172" s="85"/>
      <c r="L172" s="85"/>
      <c r="M172" s="85"/>
      <c r="N172" s="85"/>
      <c r="O172" s="85"/>
      <c r="P172" s="85"/>
    </row>
    <row r="173">
      <c r="A173" s="87">
        <v>172.0</v>
      </c>
      <c r="B173" s="88" t="s">
        <v>4240</v>
      </c>
      <c r="C173" s="87" t="s">
        <v>3239</v>
      </c>
      <c r="D173" s="87" t="s">
        <v>3178</v>
      </c>
      <c r="E173" s="87" t="s">
        <v>4241</v>
      </c>
      <c r="F173" s="87">
        <v>-6.16620175117047</v>
      </c>
      <c r="G173" s="86">
        <v>106.72155270271</v>
      </c>
      <c r="H173" s="85"/>
      <c r="I173" s="85"/>
      <c r="J173" s="85"/>
      <c r="K173" s="85"/>
      <c r="L173" s="85"/>
      <c r="M173" s="85"/>
      <c r="N173" s="85"/>
      <c r="O173" s="85"/>
      <c r="P173" s="85"/>
    </row>
    <row r="174">
      <c r="A174" s="87">
        <v>173.0</v>
      </c>
      <c r="B174" s="88" t="s">
        <v>4242</v>
      </c>
      <c r="C174" s="87" t="s">
        <v>3239</v>
      </c>
      <c r="D174" s="87" t="s">
        <v>3167</v>
      </c>
      <c r="E174" s="87" t="s">
        <v>4243</v>
      </c>
      <c r="F174" s="87">
        <v>-6.10509513803206</v>
      </c>
      <c r="G174" s="86">
        <v>106.926261075891</v>
      </c>
      <c r="H174" s="85"/>
      <c r="I174" s="85"/>
      <c r="J174" s="85"/>
      <c r="K174" s="85"/>
      <c r="L174" s="85"/>
      <c r="M174" s="85"/>
      <c r="N174" s="85"/>
      <c r="O174" s="85"/>
      <c r="P174" s="85"/>
    </row>
    <row r="175">
      <c r="A175" s="87">
        <v>174.0</v>
      </c>
      <c r="B175" s="88" t="s">
        <v>4244</v>
      </c>
      <c r="C175" s="87" t="s">
        <v>3207</v>
      </c>
      <c r="D175" s="87" t="s">
        <v>3188</v>
      </c>
      <c r="E175" s="87" t="s">
        <v>4245</v>
      </c>
      <c r="F175" s="87">
        <v>-6.31846576753631</v>
      </c>
      <c r="G175" s="86">
        <v>106.616955966945</v>
      </c>
      <c r="H175" s="85"/>
      <c r="I175" s="85"/>
      <c r="J175" s="85"/>
      <c r="K175" s="85"/>
      <c r="L175" s="85"/>
      <c r="M175" s="85"/>
      <c r="N175" s="85"/>
      <c r="O175" s="85"/>
      <c r="P175" s="85"/>
    </row>
    <row r="176">
      <c r="A176" s="87">
        <v>175.0</v>
      </c>
      <c r="B176" s="88" t="s">
        <v>4246</v>
      </c>
      <c r="C176" s="87" t="s">
        <v>3182</v>
      </c>
      <c r="D176" s="87" t="s">
        <v>3257</v>
      </c>
      <c r="E176" s="87" t="s">
        <v>4247</v>
      </c>
      <c r="F176" s="87">
        <v>-6.14057576987682</v>
      </c>
      <c r="G176" s="86">
        <v>106.964647395732</v>
      </c>
      <c r="H176" s="85"/>
      <c r="I176" s="85"/>
      <c r="J176" s="85"/>
      <c r="K176" s="85"/>
      <c r="L176" s="85"/>
      <c r="M176" s="85"/>
      <c r="N176" s="85"/>
      <c r="O176" s="85"/>
      <c r="P176" s="85"/>
    </row>
    <row r="177">
      <c r="A177" s="87">
        <v>176.0</v>
      </c>
      <c r="B177" s="88" t="s">
        <v>4248</v>
      </c>
      <c r="C177" s="87" t="s">
        <v>3232</v>
      </c>
      <c r="D177" s="87" t="s">
        <v>3232</v>
      </c>
      <c r="E177" s="87" t="s">
        <v>4249</v>
      </c>
      <c r="F177" s="87">
        <v>-6.11880374735774</v>
      </c>
      <c r="G177" s="86">
        <v>106.878841100353</v>
      </c>
      <c r="H177" s="85"/>
      <c r="I177" s="85"/>
      <c r="J177" s="85"/>
      <c r="K177" s="85"/>
      <c r="L177" s="85"/>
      <c r="M177" s="85"/>
      <c r="N177" s="85"/>
      <c r="O177" s="85"/>
      <c r="P177" s="85"/>
    </row>
    <row r="178">
      <c r="A178" s="87">
        <v>177.0</v>
      </c>
      <c r="B178" s="88" t="s">
        <v>4103</v>
      </c>
      <c r="C178" s="87" t="s">
        <v>3254</v>
      </c>
      <c r="D178" s="87" t="s">
        <v>3167</v>
      </c>
      <c r="E178" s="87" t="s">
        <v>4250</v>
      </c>
      <c r="F178" s="87">
        <v>-6.16981908592871</v>
      </c>
      <c r="G178" s="86">
        <v>106.750907443528</v>
      </c>
      <c r="H178" s="85"/>
      <c r="I178" s="85"/>
      <c r="J178" s="85"/>
      <c r="K178" s="85"/>
      <c r="L178" s="85"/>
      <c r="M178" s="85"/>
      <c r="N178" s="85"/>
      <c r="O178" s="85"/>
      <c r="P178" s="85"/>
    </row>
    <row r="179">
      <c r="A179" s="87">
        <v>178.0</v>
      </c>
      <c r="B179" s="88" t="s">
        <v>4112</v>
      </c>
      <c r="C179" s="87" t="s">
        <v>3186</v>
      </c>
      <c r="D179" s="87" t="s">
        <v>3190</v>
      </c>
      <c r="E179" s="87" t="s">
        <v>4251</v>
      </c>
      <c r="F179" s="87">
        <v>-6.29762200887867</v>
      </c>
      <c r="G179" s="86">
        <v>107.021131945435</v>
      </c>
      <c r="H179" s="85"/>
      <c r="I179" s="85"/>
      <c r="J179" s="85"/>
      <c r="K179" s="85"/>
      <c r="L179" s="85"/>
      <c r="M179" s="85"/>
      <c r="N179" s="85"/>
      <c r="O179" s="85"/>
      <c r="P179" s="85"/>
    </row>
    <row r="180">
      <c r="A180" s="87">
        <v>179.0</v>
      </c>
      <c r="B180" s="88" t="s">
        <v>4103</v>
      </c>
      <c r="C180" s="87" t="s">
        <v>3198</v>
      </c>
      <c r="D180" s="87" t="s">
        <v>3214</v>
      </c>
      <c r="E180" s="87" t="s">
        <v>4252</v>
      </c>
      <c r="F180" s="87">
        <v>-6.23175843444168</v>
      </c>
      <c r="G180" s="86">
        <v>106.597049863733</v>
      </c>
      <c r="H180" s="85"/>
      <c r="I180" s="85"/>
      <c r="J180" s="85"/>
      <c r="K180" s="85"/>
      <c r="L180" s="85"/>
      <c r="M180" s="85"/>
      <c r="N180" s="85"/>
      <c r="O180" s="85"/>
      <c r="P180" s="85"/>
    </row>
    <row r="181">
      <c r="A181" s="87">
        <v>180.0</v>
      </c>
      <c r="B181" s="88" t="s">
        <v>4103</v>
      </c>
      <c r="C181" s="87" t="s">
        <v>3254</v>
      </c>
      <c r="D181" s="87" t="s">
        <v>3192</v>
      </c>
      <c r="E181" s="87" t="s">
        <v>4253</v>
      </c>
      <c r="F181" s="87">
        <v>-6.28237054094163</v>
      </c>
      <c r="G181" s="86">
        <v>106.943111418322</v>
      </c>
      <c r="H181" s="85"/>
      <c r="I181" s="85"/>
      <c r="J181" s="85"/>
      <c r="K181" s="85"/>
      <c r="L181" s="85"/>
      <c r="M181" s="85"/>
      <c r="N181" s="85"/>
      <c r="O181" s="85"/>
      <c r="P181" s="85"/>
    </row>
    <row r="182">
      <c r="A182" s="87">
        <v>181.0</v>
      </c>
      <c r="B182" s="88" t="s">
        <v>4254</v>
      </c>
      <c r="C182" s="87" t="s">
        <v>3227</v>
      </c>
      <c r="D182" s="87" t="s">
        <v>3190</v>
      </c>
      <c r="E182" s="87" t="s">
        <v>4255</v>
      </c>
      <c r="F182" s="87">
        <v>-6.3487994315465</v>
      </c>
      <c r="G182" s="86">
        <v>106.836478583063</v>
      </c>
      <c r="H182" s="85"/>
      <c r="I182" s="85"/>
      <c r="J182" s="85"/>
      <c r="K182" s="85"/>
      <c r="L182" s="85"/>
      <c r="M182" s="85"/>
      <c r="N182" s="85"/>
      <c r="O182" s="85"/>
      <c r="P182" s="85"/>
    </row>
    <row r="183">
      <c r="A183" s="87">
        <v>182.0</v>
      </c>
      <c r="B183" s="88" t="s">
        <v>3962</v>
      </c>
      <c r="C183" s="87" t="s">
        <v>3239</v>
      </c>
      <c r="D183" s="87" t="s">
        <v>3238</v>
      </c>
      <c r="E183" s="87" t="s">
        <v>4256</v>
      </c>
      <c r="F183" s="87">
        <v>-6.27211047550037</v>
      </c>
      <c r="G183" s="86">
        <v>107.025886346839</v>
      </c>
      <c r="H183" s="85"/>
      <c r="I183" s="85"/>
      <c r="J183" s="85"/>
      <c r="K183" s="85"/>
      <c r="L183" s="85"/>
      <c r="M183" s="85"/>
      <c r="N183" s="85"/>
      <c r="O183" s="85"/>
      <c r="P183" s="85"/>
    </row>
    <row r="184">
      <c r="A184" s="87">
        <v>183.0</v>
      </c>
      <c r="B184" s="88" t="s">
        <v>4257</v>
      </c>
      <c r="C184" s="87" t="s">
        <v>3173</v>
      </c>
      <c r="D184" s="87" t="s">
        <v>3182</v>
      </c>
      <c r="E184" s="87" t="s">
        <v>4258</v>
      </c>
      <c r="F184" s="87">
        <v>-6.12131528387058</v>
      </c>
      <c r="G184" s="86">
        <v>106.622407207137</v>
      </c>
      <c r="H184" s="85"/>
      <c r="I184" s="85"/>
      <c r="J184" s="85"/>
      <c r="K184" s="85"/>
      <c r="L184" s="85"/>
      <c r="M184" s="85"/>
      <c r="N184" s="85"/>
      <c r="O184" s="85"/>
      <c r="P184" s="85"/>
    </row>
    <row r="185">
      <c r="A185" s="87">
        <v>184.0</v>
      </c>
      <c r="B185" s="88" t="s">
        <v>4128</v>
      </c>
      <c r="C185" s="87" t="s">
        <v>3196</v>
      </c>
      <c r="D185" s="87" t="s">
        <v>3169</v>
      </c>
      <c r="E185" s="87" t="s">
        <v>4259</v>
      </c>
      <c r="F185" s="87">
        <v>-6.13814634273759</v>
      </c>
      <c r="G185" s="86">
        <v>106.977023328066</v>
      </c>
      <c r="H185" s="85"/>
      <c r="I185" s="85"/>
      <c r="J185" s="85"/>
      <c r="K185" s="85"/>
      <c r="L185" s="85"/>
      <c r="M185" s="85"/>
      <c r="N185" s="85"/>
      <c r="O185" s="85"/>
      <c r="P185" s="85"/>
    </row>
    <row r="186">
      <c r="A186" s="87">
        <v>185.0</v>
      </c>
      <c r="B186" s="88" t="s">
        <v>4136</v>
      </c>
      <c r="C186" s="87" t="s">
        <v>3178</v>
      </c>
      <c r="D186" s="87" t="s">
        <v>3173</v>
      </c>
      <c r="E186" s="87" t="s">
        <v>4260</v>
      </c>
      <c r="F186" s="87">
        <v>-6.10044679772307</v>
      </c>
      <c r="G186" s="86">
        <v>106.829579241994</v>
      </c>
      <c r="H186" s="85"/>
      <c r="I186" s="85"/>
      <c r="J186" s="85"/>
      <c r="K186" s="85"/>
      <c r="L186" s="85"/>
      <c r="M186" s="85"/>
      <c r="N186" s="85"/>
      <c r="O186" s="85"/>
      <c r="P186" s="85"/>
    </row>
    <row r="187">
      <c r="A187" s="87">
        <v>186.0</v>
      </c>
      <c r="B187" s="88" t="s">
        <v>4136</v>
      </c>
      <c r="C187" s="87" t="s">
        <v>3198</v>
      </c>
      <c r="D187" s="87" t="s">
        <v>3222</v>
      </c>
      <c r="E187" s="87" t="s">
        <v>4261</v>
      </c>
      <c r="F187" s="87">
        <v>-6.24398512093736</v>
      </c>
      <c r="G187" s="86">
        <v>106.828849350752</v>
      </c>
      <c r="H187" s="85"/>
      <c r="I187" s="85"/>
      <c r="J187" s="85"/>
      <c r="K187" s="85"/>
      <c r="L187" s="85"/>
      <c r="M187" s="85"/>
      <c r="N187" s="85"/>
      <c r="O187" s="85"/>
      <c r="P187" s="85"/>
    </row>
    <row r="188">
      <c r="A188" s="87">
        <v>187.0</v>
      </c>
      <c r="B188" s="88" t="s">
        <v>4262</v>
      </c>
      <c r="C188" s="87" t="s">
        <v>3249</v>
      </c>
      <c r="D188" s="87" t="s">
        <v>3254</v>
      </c>
      <c r="E188" s="87" t="s">
        <v>4263</v>
      </c>
      <c r="F188" s="87">
        <v>-6.17480847142355</v>
      </c>
      <c r="G188" s="86">
        <v>106.849790184717</v>
      </c>
      <c r="H188" s="85"/>
      <c r="I188" s="85"/>
      <c r="J188" s="85"/>
      <c r="K188" s="85"/>
      <c r="L188" s="85"/>
      <c r="M188" s="85"/>
      <c r="N188" s="85"/>
      <c r="O188" s="85"/>
      <c r="P188" s="85"/>
    </row>
    <row r="189">
      <c r="A189" s="87">
        <v>188.0</v>
      </c>
      <c r="B189" s="88" t="s">
        <v>4264</v>
      </c>
      <c r="C189" s="87" t="s">
        <v>3232</v>
      </c>
      <c r="D189" s="87" t="s">
        <v>3198</v>
      </c>
      <c r="E189" s="87" t="s">
        <v>4265</v>
      </c>
      <c r="F189" s="87">
        <v>-6.1220555023521</v>
      </c>
      <c r="G189" s="86">
        <v>106.843675755189</v>
      </c>
      <c r="H189" s="85"/>
      <c r="I189" s="85"/>
      <c r="J189" s="85"/>
      <c r="K189" s="85"/>
      <c r="L189" s="85"/>
      <c r="M189" s="85"/>
      <c r="N189" s="85"/>
      <c r="O189" s="85"/>
      <c r="P189" s="85"/>
    </row>
    <row r="190">
      <c r="A190" s="87">
        <v>189.0</v>
      </c>
      <c r="B190" s="88" t="s">
        <v>3942</v>
      </c>
      <c r="C190" s="87" t="s">
        <v>3192</v>
      </c>
      <c r="D190" s="87" t="s">
        <v>3225</v>
      </c>
      <c r="E190" s="87" t="s">
        <v>4266</v>
      </c>
      <c r="F190" s="87">
        <v>-6.11265809212885</v>
      </c>
      <c r="G190" s="86">
        <v>106.77318502564</v>
      </c>
      <c r="H190" s="85"/>
      <c r="I190" s="85"/>
      <c r="J190" s="85"/>
      <c r="K190" s="85"/>
      <c r="L190" s="85"/>
      <c r="M190" s="85"/>
      <c r="N190" s="85"/>
      <c r="O190" s="85"/>
      <c r="P190" s="85"/>
    </row>
    <row r="191">
      <c r="A191" s="87">
        <v>190.0</v>
      </c>
      <c r="B191" s="88" t="s">
        <v>4267</v>
      </c>
      <c r="C191" s="87" t="s">
        <v>3186</v>
      </c>
      <c r="D191" s="87" t="s">
        <v>3186</v>
      </c>
      <c r="E191" s="87" t="s">
        <v>4268</v>
      </c>
      <c r="F191" s="87">
        <v>-6.17386782708454</v>
      </c>
      <c r="G191" s="86">
        <v>106.847806187808</v>
      </c>
      <c r="H191" s="85"/>
      <c r="I191" s="85"/>
      <c r="J191" s="85"/>
      <c r="K191" s="85"/>
      <c r="L191" s="85"/>
      <c r="M191" s="85"/>
      <c r="N191" s="85"/>
      <c r="O191" s="85"/>
      <c r="P191" s="85"/>
    </row>
    <row r="192">
      <c r="A192" s="87">
        <v>191.0</v>
      </c>
      <c r="B192" s="88" t="s">
        <v>4269</v>
      </c>
      <c r="C192" s="87" t="s">
        <v>3182</v>
      </c>
      <c r="D192" s="87" t="s">
        <v>3221</v>
      </c>
      <c r="E192" s="87" t="s">
        <v>4270</v>
      </c>
      <c r="F192" s="87">
        <v>-6.13713406026293</v>
      </c>
      <c r="G192" s="86">
        <v>106.840556363529</v>
      </c>
      <c r="H192" s="85"/>
      <c r="I192" s="85"/>
      <c r="J192" s="85"/>
      <c r="K192" s="85"/>
      <c r="L192" s="85"/>
      <c r="M192" s="85"/>
      <c r="N192" s="85"/>
      <c r="O192" s="85"/>
      <c r="P192" s="85"/>
    </row>
    <row r="193">
      <c r="A193" s="87">
        <v>192.0</v>
      </c>
      <c r="B193" s="88" t="s">
        <v>4271</v>
      </c>
      <c r="C193" s="87" t="s">
        <v>3221</v>
      </c>
      <c r="D193" s="87" t="s">
        <v>3186</v>
      </c>
      <c r="E193" s="87" t="s">
        <v>4272</v>
      </c>
      <c r="F193" s="87">
        <v>-6.34877252535457</v>
      </c>
      <c r="G193" s="86">
        <v>106.820513872492</v>
      </c>
      <c r="H193" s="85"/>
      <c r="I193" s="85"/>
      <c r="J193" s="85"/>
      <c r="K193" s="85"/>
      <c r="L193" s="85"/>
      <c r="M193" s="85"/>
      <c r="N193" s="85"/>
      <c r="O193" s="85"/>
      <c r="P193" s="85"/>
    </row>
    <row r="194">
      <c r="A194" s="87">
        <v>193.0</v>
      </c>
      <c r="B194" s="88" t="s">
        <v>4273</v>
      </c>
      <c r="C194" s="87" t="s">
        <v>3180</v>
      </c>
      <c r="D194" s="87" t="s">
        <v>3249</v>
      </c>
      <c r="E194" s="87" t="s">
        <v>4274</v>
      </c>
      <c r="F194" s="87">
        <v>-6.29919595323403</v>
      </c>
      <c r="G194" s="86">
        <v>106.639258713306</v>
      </c>
      <c r="H194" s="85"/>
      <c r="I194" s="85"/>
      <c r="J194" s="85"/>
      <c r="K194" s="85"/>
      <c r="L194" s="85"/>
      <c r="M194" s="85"/>
      <c r="N194" s="85"/>
      <c r="O194" s="85"/>
      <c r="P194" s="85"/>
    </row>
    <row r="195">
      <c r="A195" s="87">
        <v>194.0</v>
      </c>
      <c r="B195" s="88" t="s">
        <v>4166</v>
      </c>
      <c r="C195" s="87" t="s">
        <v>3249</v>
      </c>
      <c r="D195" s="87" t="s">
        <v>3215</v>
      </c>
      <c r="E195" s="87" t="s">
        <v>4275</v>
      </c>
      <c r="F195" s="87">
        <v>-6.12889379163073</v>
      </c>
      <c r="G195" s="86">
        <v>106.918462238604</v>
      </c>
      <c r="H195" s="85"/>
      <c r="I195" s="85"/>
      <c r="J195" s="85"/>
      <c r="K195" s="85"/>
      <c r="L195" s="85"/>
      <c r="M195" s="85"/>
      <c r="N195" s="85"/>
      <c r="O195" s="85"/>
      <c r="P195" s="85"/>
    </row>
    <row r="196">
      <c r="A196" s="87">
        <v>195.0</v>
      </c>
      <c r="B196" s="88" t="s">
        <v>4276</v>
      </c>
      <c r="C196" s="87" t="s">
        <v>3241</v>
      </c>
      <c r="D196" s="87" t="s">
        <v>3239</v>
      </c>
      <c r="E196" s="87" t="s">
        <v>4277</v>
      </c>
      <c r="F196" s="87">
        <v>-6.16159855002344</v>
      </c>
      <c r="G196" s="86">
        <v>106.917631304413</v>
      </c>
      <c r="H196" s="85"/>
      <c r="I196" s="85"/>
      <c r="J196" s="85"/>
      <c r="K196" s="85"/>
      <c r="L196" s="85"/>
      <c r="M196" s="85"/>
      <c r="N196" s="85"/>
      <c r="O196" s="85"/>
      <c r="P196" s="85"/>
    </row>
    <row r="197">
      <c r="A197" s="87">
        <v>196.0</v>
      </c>
      <c r="B197" s="88" t="s">
        <v>4278</v>
      </c>
      <c r="C197" s="87" t="s">
        <v>3225</v>
      </c>
      <c r="D197" s="87" t="s">
        <v>3169</v>
      </c>
      <c r="E197" s="87" t="s">
        <v>4279</v>
      </c>
      <c r="F197" s="87">
        <v>-6.19521666901739</v>
      </c>
      <c r="G197" s="86">
        <v>106.586728762304</v>
      </c>
      <c r="H197" s="85"/>
      <c r="I197" s="85"/>
      <c r="J197" s="85"/>
      <c r="K197" s="85"/>
      <c r="L197" s="85"/>
      <c r="M197" s="85"/>
      <c r="N197" s="85"/>
      <c r="O197" s="85"/>
      <c r="P197" s="85"/>
    </row>
    <row r="198">
      <c r="A198" s="87">
        <v>197.0</v>
      </c>
      <c r="B198" s="88" t="s">
        <v>4280</v>
      </c>
      <c r="C198" s="87" t="s">
        <v>3257</v>
      </c>
      <c r="D198" s="87" t="s">
        <v>3173</v>
      </c>
      <c r="E198" s="87" t="s">
        <v>4281</v>
      </c>
      <c r="F198" s="87">
        <v>-6.28418289816649</v>
      </c>
      <c r="G198" s="86">
        <v>106.913468628926</v>
      </c>
      <c r="H198" s="85"/>
      <c r="I198" s="85"/>
      <c r="J198" s="85"/>
      <c r="K198" s="85"/>
      <c r="L198" s="85"/>
      <c r="M198" s="85"/>
      <c r="N198" s="85"/>
      <c r="O198" s="85"/>
      <c r="P198" s="85"/>
    </row>
    <row r="199">
      <c r="A199" s="87">
        <v>198.0</v>
      </c>
      <c r="B199" s="88" t="s">
        <v>4257</v>
      </c>
      <c r="C199" s="87" t="s">
        <v>3194</v>
      </c>
      <c r="D199" s="87" t="s">
        <v>3180</v>
      </c>
      <c r="E199" s="87" t="s">
        <v>4282</v>
      </c>
      <c r="F199" s="87">
        <v>-6.23405639341329</v>
      </c>
      <c r="G199" s="86">
        <v>106.682485132471</v>
      </c>
      <c r="H199" s="85"/>
      <c r="I199" s="85"/>
      <c r="J199" s="85"/>
      <c r="K199" s="85"/>
      <c r="L199" s="85"/>
      <c r="M199" s="85"/>
      <c r="N199" s="85"/>
      <c r="O199" s="85"/>
      <c r="P199" s="85"/>
    </row>
    <row r="200">
      <c r="A200" s="87">
        <v>199.0</v>
      </c>
      <c r="B200" s="88" t="s">
        <v>4283</v>
      </c>
      <c r="C200" s="87" t="s">
        <v>3188</v>
      </c>
      <c r="D200" s="87" t="s">
        <v>3169</v>
      </c>
      <c r="E200" s="87" t="s">
        <v>4284</v>
      </c>
      <c r="F200" s="87">
        <v>-6.28407914411703</v>
      </c>
      <c r="G200" s="86">
        <v>106.59648980047</v>
      </c>
      <c r="H200" s="85"/>
      <c r="I200" s="85"/>
      <c r="J200" s="85"/>
      <c r="K200" s="85"/>
      <c r="L200" s="85"/>
      <c r="M200" s="85"/>
      <c r="N200" s="85"/>
      <c r="O200" s="85"/>
      <c r="P200" s="85"/>
    </row>
    <row r="201">
      <c r="A201" s="87">
        <v>200.0</v>
      </c>
      <c r="B201" s="88" t="s">
        <v>3950</v>
      </c>
      <c r="C201" s="87" t="s">
        <v>3262</v>
      </c>
      <c r="D201" s="87" t="s">
        <v>3238</v>
      </c>
      <c r="E201" s="87" t="s">
        <v>4285</v>
      </c>
      <c r="F201" s="87">
        <v>-6.31004863571676</v>
      </c>
      <c r="G201" s="86">
        <v>106.982597564256</v>
      </c>
      <c r="H201" s="85"/>
      <c r="I201" s="85"/>
      <c r="J201" s="85"/>
      <c r="K201" s="85"/>
      <c r="L201" s="85"/>
      <c r="M201" s="85"/>
      <c r="N201" s="85"/>
      <c r="O201" s="85"/>
      <c r="P201" s="85"/>
    </row>
    <row r="202">
      <c r="A202" s="89"/>
      <c r="B202" s="89"/>
      <c r="C202" s="90"/>
      <c r="D202" s="91"/>
      <c r="E202" s="91"/>
      <c r="F202" s="91"/>
      <c r="G202" s="91"/>
      <c r="H202" s="85"/>
      <c r="I202" s="85"/>
      <c r="J202" s="85"/>
      <c r="K202" s="85"/>
      <c r="L202" s="85"/>
      <c r="M202" s="85"/>
      <c r="N202" s="85"/>
      <c r="O202" s="85"/>
      <c r="P202" s="85"/>
    </row>
    <row r="203">
      <c r="A203" s="89"/>
      <c r="B203" s="89"/>
      <c r="C203" s="90"/>
      <c r="D203" s="91"/>
      <c r="E203" s="91"/>
      <c r="F203" s="91"/>
      <c r="G203" s="91"/>
      <c r="H203" s="85"/>
      <c r="I203" s="85"/>
      <c r="J203" s="85"/>
      <c r="K203" s="85"/>
      <c r="L203" s="85"/>
      <c r="M203" s="85"/>
      <c r="N203" s="85"/>
      <c r="O203" s="85"/>
      <c r="P203" s="85"/>
    </row>
    <row r="204">
      <c r="A204" s="89"/>
      <c r="B204" s="89"/>
      <c r="C204" s="90"/>
      <c r="D204" s="91"/>
      <c r="E204" s="91"/>
      <c r="F204" s="91"/>
      <c r="G204" s="91"/>
      <c r="H204" s="85"/>
      <c r="I204" s="85"/>
      <c r="J204" s="85"/>
      <c r="K204" s="85"/>
      <c r="L204" s="85"/>
      <c r="M204" s="85"/>
      <c r="N204" s="85"/>
      <c r="O204" s="85"/>
      <c r="P204" s="85"/>
    </row>
    <row r="205">
      <c r="A205" s="89"/>
      <c r="B205" s="89"/>
      <c r="C205" s="90"/>
      <c r="D205" s="91"/>
      <c r="E205" s="91"/>
      <c r="F205" s="91"/>
      <c r="G205" s="91"/>
      <c r="H205" s="85"/>
      <c r="I205" s="85"/>
      <c r="J205" s="85"/>
      <c r="K205" s="85"/>
      <c r="L205" s="85"/>
      <c r="M205" s="85"/>
      <c r="N205" s="85"/>
      <c r="O205" s="85"/>
      <c r="P205" s="85"/>
    </row>
    <row r="206">
      <c r="A206" s="89"/>
      <c r="B206" s="89"/>
      <c r="C206" s="90"/>
      <c r="D206" s="91"/>
      <c r="E206" s="91"/>
      <c r="F206" s="91"/>
      <c r="G206" s="91"/>
      <c r="H206" s="85"/>
      <c r="I206" s="85"/>
      <c r="J206" s="85"/>
      <c r="K206" s="85"/>
      <c r="L206" s="85"/>
      <c r="M206" s="85"/>
      <c r="N206" s="85"/>
      <c r="O206" s="85"/>
      <c r="P206" s="85"/>
    </row>
    <row r="207">
      <c r="A207" s="89"/>
      <c r="B207" s="89"/>
      <c r="C207" s="90"/>
      <c r="D207" s="91"/>
      <c r="E207" s="91"/>
      <c r="F207" s="91"/>
      <c r="G207" s="91"/>
      <c r="H207" s="85"/>
      <c r="I207" s="85"/>
      <c r="J207" s="85"/>
      <c r="K207" s="85"/>
      <c r="L207" s="85"/>
      <c r="M207" s="85"/>
      <c r="N207" s="85"/>
      <c r="O207" s="85"/>
      <c r="P207" s="85"/>
    </row>
    <row r="208">
      <c r="A208" s="89"/>
      <c r="B208" s="89"/>
      <c r="C208" s="90"/>
      <c r="D208" s="91"/>
      <c r="E208" s="91"/>
      <c r="F208" s="91"/>
      <c r="G208" s="91"/>
      <c r="H208" s="85"/>
      <c r="I208" s="85"/>
      <c r="J208" s="85"/>
      <c r="K208" s="85"/>
      <c r="L208" s="85"/>
      <c r="M208" s="85"/>
      <c r="N208" s="85"/>
      <c r="O208" s="85"/>
      <c r="P208" s="85"/>
    </row>
    <row r="209">
      <c r="A209" s="89"/>
      <c r="B209" s="89"/>
      <c r="C209" s="90"/>
      <c r="D209" s="91"/>
      <c r="E209" s="91"/>
      <c r="F209" s="91"/>
      <c r="G209" s="91"/>
      <c r="H209" s="85"/>
      <c r="I209" s="85"/>
      <c r="J209" s="85"/>
      <c r="K209" s="85"/>
      <c r="L209" s="85"/>
      <c r="M209" s="85"/>
      <c r="N209" s="85"/>
      <c r="O209" s="85"/>
      <c r="P209" s="85"/>
    </row>
    <row r="210">
      <c r="A210" s="89"/>
      <c r="B210" s="89"/>
      <c r="C210" s="90"/>
      <c r="D210" s="91"/>
      <c r="E210" s="91"/>
      <c r="F210" s="91"/>
      <c r="G210" s="91"/>
      <c r="H210" s="85"/>
      <c r="I210" s="85"/>
      <c r="J210" s="85"/>
      <c r="K210" s="85"/>
      <c r="L210" s="85"/>
      <c r="M210" s="85"/>
      <c r="N210" s="85"/>
      <c r="O210" s="85"/>
      <c r="P210" s="85"/>
    </row>
    <row r="211">
      <c r="A211" s="89"/>
      <c r="B211" s="89"/>
      <c r="C211" s="90"/>
      <c r="D211" s="91"/>
      <c r="E211" s="91"/>
      <c r="F211" s="91"/>
      <c r="G211" s="91"/>
      <c r="H211" s="85"/>
      <c r="I211" s="85"/>
      <c r="J211" s="85"/>
      <c r="K211" s="85"/>
      <c r="L211" s="85"/>
      <c r="M211" s="85"/>
      <c r="N211" s="85"/>
      <c r="O211" s="85"/>
      <c r="P211" s="85"/>
    </row>
    <row r="212">
      <c r="A212" s="89"/>
      <c r="B212" s="89"/>
      <c r="C212" s="90"/>
      <c r="D212" s="91"/>
      <c r="E212" s="91"/>
      <c r="F212" s="91"/>
      <c r="G212" s="91"/>
      <c r="H212" s="85"/>
      <c r="I212" s="85"/>
      <c r="J212" s="85"/>
      <c r="K212" s="85"/>
      <c r="L212" s="85"/>
      <c r="M212" s="85"/>
      <c r="N212" s="85"/>
      <c r="O212" s="85"/>
      <c r="P212" s="85"/>
    </row>
    <row r="213">
      <c r="A213" s="89"/>
      <c r="B213" s="89"/>
      <c r="C213" s="90"/>
      <c r="D213" s="91"/>
      <c r="E213" s="91"/>
      <c r="F213" s="91"/>
      <c r="G213" s="91"/>
      <c r="H213" s="85"/>
      <c r="I213" s="85"/>
      <c r="J213" s="85"/>
      <c r="K213" s="85"/>
      <c r="L213" s="85"/>
      <c r="M213" s="85"/>
      <c r="N213" s="85"/>
      <c r="O213" s="85"/>
      <c r="P213" s="85"/>
    </row>
    <row r="214">
      <c r="A214" s="89"/>
      <c r="B214" s="89"/>
      <c r="C214" s="90"/>
      <c r="D214" s="91"/>
      <c r="E214" s="91"/>
      <c r="F214" s="91"/>
      <c r="G214" s="91"/>
      <c r="H214" s="85"/>
      <c r="I214" s="85"/>
      <c r="J214" s="85"/>
      <c r="K214" s="85"/>
      <c r="L214" s="85"/>
      <c r="M214" s="85"/>
      <c r="N214" s="85"/>
      <c r="O214" s="85"/>
      <c r="P214" s="85"/>
    </row>
    <row r="215">
      <c r="A215" s="89"/>
      <c r="B215" s="89"/>
      <c r="C215" s="90"/>
      <c r="D215" s="91"/>
      <c r="E215" s="91"/>
      <c r="F215" s="91"/>
      <c r="G215" s="91"/>
      <c r="H215" s="85"/>
      <c r="I215" s="85"/>
      <c r="J215" s="85"/>
      <c r="K215" s="85"/>
      <c r="L215" s="85"/>
      <c r="M215" s="85"/>
      <c r="N215" s="85"/>
      <c r="O215" s="85"/>
      <c r="P215" s="85"/>
    </row>
    <row r="216">
      <c r="A216" s="89"/>
      <c r="B216" s="89"/>
      <c r="C216" s="90"/>
      <c r="D216" s="91"/>
      <c r="E216" s="91"/>
      <c r="F216" s="91"/>
      <c r="G216" s="91"/>
      <c r="H216" s="85"/>
      <c r="I216" s="85"/>
      <c r="J216" s="85"/>
      <c r="K216" s="85"/>
      <c r="L216" s="85"/>
      <c r="M216" s="85"/>
      <c r="N216" s="85"/>
      <c r="O216" s="85"/>
      <c r="P216" s="85"/>
    </row>
    <row r="217">
      <c r="A217" s="89"/>
      <c r="B217" s="89"/>
      <c r="C217" s="90"/>
      <c r="D217" s="91"/>
      <c r="E217" s="91"/>
      <c r="F217" s="91"/>
      <c r="G217" s="91"/>
      <c r="H217" s="85"/>
      <c r="I217" s="85"/>
      <c r="J217" s="85"/>
      <c r="K217" s="85"/>
      <c r="L217" s="85"/>
      <c r="M217" s="85"/>
      <c r="N217" s="85"/>
      <c r="O217" s="85"/>
      <c r="P217" s="85"/>
    </row>
    <row r="218">
      <c r="A218" s="89"/>
      <c r="B218" s="89"/>
      <c r="C218" s="90"/>
      <c r="D218" s="91"/>
      <c r="E218" s="91"/>
      <c r="F218" s="91"/>
      <c r="G218" s="91"/>
      <c r="H218" s="85"/>
      <c r="I218" s="85"/>
      <c r="J218" s="85"/>
      <c r="K218" s="85"/>
      <c r="L218" s="85"/>
      <c r="M218" s="85"/>
      <c r="N218" s="85"/>
      <c r="O218" s="85"/>
      <c r="P218" s="85"/>
    </row>
    <row r="219">
      <c r="A219" s="89"/>
      <c r="B219" s="89"/>
      <c r="C219" s="90"/>
      <c r="D219" s="91"/>
      <c r="E219" s="91"/>
      <c r="F219" s="91"/>
      <c r="G219" s="91"/>
      <c r="H219" s="85"/>
      <c r="I219" s="85"/>
      <c r="J219" s="85"/>
      <c r="K219" s="85"/>
      <c r="L219" s="85"/>
      <c r="M219" s="85"/>
      <c r="N219" s="85"/>
      <c r="O219" s="85"/>
      <c r="P219" s="85"/>
    </row>
    <row r="220">
      <c r="A220" s="89"/>
      <c r="B220" s="89"/>
      <c r="C220" s="90"/>
      <c r="D220" s="91"/>
      <c r="E220" s="91"/>
      <c r="F220" s="91"/>
      <c r="G220" s="91"/>
      <c r="H220" s="85"/>
      <c r="I220" s="85"/>
      <c r="J220" s="85"/>
      <c r="K220" s="85"/>
      <c r="L220" s="85"/>
      <c r="M220" s="85"/>
      <c r="N220" s="85"/>
      <c r="O220" s="85"/>
      <c r="P220" s="85"/>
    </row>
    <row r="221">
      <c r="A221" s="89"/>
      <c r="B221" s="89"/>
      <c r="C221" s="90"/>
      <c r="D221" s="91"/>
      <c r="E221" s="91"/>
      <c r="F221" s="91"/>
      <c r="G221" s="91"/>
      <c r="H221" s="85"/>
      <c r="I221" s="85"/>
      <c r="J221" s="85"/>
      <c r="K221" s="85"/>
      <c r="L221" s="85"/>
      <c r="M221" s="85"/>
      <c r="N221" s="85"/>
      <c r="O221" s="85"/>
      <c r="P221" s="85"/>
    </row>
    <row r="222">
      <c r="A222" s="89"/>
      <c r="B222" s="89"/>
      <c r="C222" s="90"/>
      <c r="D222" s="91"/>
      <c r="E222" s="91"/>
      <c r="F222" s="91"/>
      <c r="G222" s="91"/>
      <c r="H222" s="85"/>
      <c r="I222" s="85"/>
      <c r="J222" s="85"/>
      <c r="K222" s="85"/>
      <c r="L222" s="85"/>
      <c r="M222" s="85"/>
      <c r="N222" s="85"/>
      <c r="O222" s="85"/>
      <c r="P222" s="85"/>
    </row>
    <row r="223">
      <c r="A223" s="89"/>
      <c r="B223" s="89"/>
      <c r="C223" s="90"/>
      <c r="D223" s="91"/>
      <c r="E223" s="91"/>
      <c r="F223" s="91"/>
      <c r="G223" s="91"/>
      <c r="H223" s="85"/>
      <c r="I223" s="85"/>
      <c r="J223" s="85"/>
      <c r="K223" s="85"/>
      <c r="L223" s="85"/>
      <c r="M223" s="85"/>
      <c r="N223" s="85"/>
      <c r="O223" s="85"/>
      <c r="P223" s="85"/>
    </row>
    <row r="224">
      <c r="A224" s="89"/>
      <c r="B224" s="89"/>
      <c r="C224" s="90"/>
      <c r="D224" s="91"/>
      <c r="E224" s="91"/>
      <c r="F224" s="91"/>
      <c r="G224" s="91"/>
      <c r="H224" s="85"/>
      <c r="I224" s="85"/>
      <c r="J224" s="85"/>
      <c r="K224" s="85"/>
      <c r="L224" s="85"/>
      <c r="M224" s="85"/>
      <c r="N224" s="85"/>
      <c r="O224" s="85"/>
      <c r="P224" s="85"/>
    </row>
    <row r="225">
      <c r="A225" s="89"/>
      <c r="B225" s="89"/>
      <c r="C225" s="90"/>
      <c r="D225" s="91"/>
      <c r="E225" s="91"/>
      <c r="F225" s="91"/>
      <c r="G225" s="91"/>
      <c r="H225" s="85"/>
      <c r="I225" s="85"/>
      <c r="J225" s="85"/>
      <c r="K225" s="85"/>
      <c r="L225" s="85"/>
      <c r="M225" s="85"/>
      <c r="N225" s="85"/>
      <c r="O225" s="85"/>
      <c r="P225" s="85"/>
    </row>
    <row r="226">
      <c r="A226" s="89"/>
      <c r="B226" s="89"/>
      <c r="C226" s="90"/>
      <c r="D226" s="91"/>
      <c r="E226" s="91"/>
      <c r="F226" s="91"/>
      <c r="G226" s="91"/>
      <c r="H226" s="85"/>
      <c r="I226" s="85"/>
      <c r="J226" s="85"/>
      <c r="K226" s="85"/>
      <c r="L226" s="85"/>
      <c r="M226" s="85"/>
      <c r="N226" s="85"/>
      <c r="O226" s="85"/>
      <c r="P226" s="85"/>
    </row>
    <row r="227">
      <c r="A227" s="89"/>
      <c r="B227" s="89"/>
      <c r="C227" s="90"/>
      <c r="D227" s="91"/>
      <c r="E227" s="91"/>
      <c r="F227" s="91"/>
      <c r="G227" s="91"/>
      <c r="H227" s="85"/>
      <c r="I227" s="85"/>
      <c r="J227" s="85"/>
      <c r="K227" s="85"/>
      <c r="L227" s="85"/>
      <c r="M227" s="85"/>
      <c r="N227" s="85"/>
      <c r="O227" s="85"/>
      <c r="P227" s="85"/>
    </row>
    <row r="228">
      <c r="A228" s="89"/>
      <c r="B228" s="89"/>
      <c r="C228" s="90"/>
      <c r="D228" s="91"/>
      <c r="E228" s="91"/>
      <c r="F228" s="91"/>
      <c r="G228" s="91"/>
      <c r="H228" s="85"/>
      <c r="I228" s="85"/>
      <c r="J228" s="85"/>
      <c r="K228" s="85"/>
      <c r="L228" s="85"/>
      <c r="M228" s="85"/>
      <c r="N228" s="85"/>
      <c r="O228" s="85"/>
      <c r="P228" s="85"/>
    </row>
    <row r="229">
      <c r="A229" s="89"/>
      <c r="B229" s="89"/>
      <c r="C229" s="90"/>
      <c r="D229" s="91"/>
      <c r="E229" s="91"/>
      <c r="F229" s="91"/>
      <c r="G229" s="91"/>
      <c r="H229" s="85"/>
      <c r="I229" s="85"/>
      <c r="J229" s="85"/>
      <c r="K229" s="85"/>
      <c r="L229" s="85"/>
      <c r="M229" s="85"/>
      <c r="N229" s="85"/>
      <c r="O229" s="85"/>
      <c r="P229" s="85"/>
    </row>
    <row r="230">
      <c r="A230" s="89"/>
      <c r="B230" s="89"/>
      <c r="C230" s="90"/>
      <c r="D230" s="91"/>
      <c r="E230" s="91"/>
      <c r="F230" s="91"/>
      <c r="G230" s="91"/>
      <c r="H230" s="85"/>
      <c r="I230" s="85"/>
      <c r="J230" s="85"/>
      <c r="K230" s="85"/>
      <c r="L230" s="85"/>
      <c r="M230" s="85"/>
      <c r="N230" s="85"/>
      <c r="O230" s="85"/>
      <c r="P230" s="85"/>
    </row>
    <row r="231">
      <c r="A231" s="89"/>
      <c r="B231" s="89"/>
      <c r="C231" s="90"/>
      <c r="D231" s="91"/>
      <c r="E231" s="91"/>
      <c r="F231" s="91"/>
      <c r="G231" s="91"/>
      <c r="H231" s="85"/>
      <c r="I231" s="85"/>
      <c r="J231" s="85"/>
      <c r="K231" s="85"/>
      <c r="L231" s="85"/>
      <c r="M231" s="85"/>
      <c r="N231" s="85"/>
      <c r="O231" s="85"/>
      <c r="P231" s="85"/>
    </row>
    <row r="232">
      <c r="A232" s="89"/>
      <c r="B232" s="89"/>
      <c r="C232" s="90"/>
      <c r="D232" s="91"/>
      <c r="E232" s="91"/>
      <c r="F232" s="91"/>
      <c r="G232" s="91"/>
      <c r="H232" s="85"/>
      <c r="I232" s="85"/>
      <c r="J232" s="85"/>
      <c r="K232" s="85"/>
      <c r="L232" s="85"/>
      <c r="M232" s="85"/>
      <c r="N232" s="85"/>
      <c r="O232" s="85"/>
      <c r="P232" s="85"/>
    </row>
    <row r="233">
      <c r="A233" s="89"/>
      <c r="B233" s="89"/>
      <c r="C233" s="90"/>
      <c r="D233" s="91"/>
      <c r="E233" s="91"/>
      <c r="F233" s="91"/>
      <c r="G233" s="91"/>
      <c r="H233" s="85"/>
      <c r="I233" s="85"/>
      <c r="J233" s="85"/>
      <c r="K233" s="85"/>
      <c r="L233" s="85"/>
      <c r="M233" s="85"/>
      <c r="N233" s="85"/>
      <c r="O233" s="85"/>
      <c r="P233" s="85"/>
    </row>
    <row r="234">
      <c r="A234" s="89"/>
      <c r="B234" s="89"/>
      <c r="C234" s="90"/>
      <c r="D234" s="91"/>
      <c r="E234" s="91"/>
      <c r="F234" s="91"/>
      <c r="G234" s="91"/>
      <c r="H234" s="85"/>
      <c r="I234" s="85"/>
      <c r="J234" s="85"/>
      <c r="K234" s="85"/>
      <c r="L234" s="85"/>
      <c r="M234" s="85"/>
      <c r="N234" s="85"/>
      <c r="O234" s="85"/>
      <c r="P234" s="85"/>
    </row>
    <row r="235">
      <c r="A235" s="89"/>
      <c r="B235" s="89"/>
      <c r="C235" s="90"/>
      <c r="D235" s="91"/>
      <c r="E235" s="91"/>
      <c r="F235" s="91"/>
      <c r="G235" s="91"/>
      <c r="H235" s="85"/>
      <c r="I235" s="85"/>
      <c r="J235" s="85"/>
      <c r="K235" s="85"/>
      <c r="L235" s="85"/>
      <c r="M235" s="85"/>
      <c r="N235" s="85"/>
      <c r="O235" s="85"/>
      <c r="P235" s="85"/>
    </row>
    <row r="236">
      <c r="A236" s="89"/>
      <c r="B236" s="89"/>
      <c r="C236" s="90"/>
      <c r="D236" s="91"/>
      <c r="E236" s="91"/>
      <c r="F236" s="91"/>
      <c r="G236" s="91"/>
      <c r="H236" s="85"/>
      <c r="I236" s="85"/>
      <c r="J236" s="85"/>
      <c r="K236" s="85"/>
      <c r="L236" s="85"/>
      <c r="M236" s="85"/>
      <c r="N236" s="85"/>
      <c r="O236" s="85"/>
      <c r="P236" s="85"/>
    </row>
    <row r="237">
      <c r="A237" s="89"/>
      <c r="B237" s="89"/>
      <c r="C237" s="90"/>
      <c r="D237" s="91"/>
      <c r="E237" s="91"/>
      <c r="F237" s="91"/>
      <c r="G237" s="91"/>
      <c r="H237" s="85"/>
      <c r="I237" s="85"/>
      <c r="J237" s="85"/>
      <c r="K237" s="85"/>
      <c r="L237" s="85"/>
      <c r="M237" s="85"/>
      <c r="N237" s="85"/>
      <c r="O237" s="85"/>
      <c r="P237" s="85"/>
    </row>
    <row r="238">
      <c r="A238" s="89"/>
      <c r="B238" s="89"/>
      <c r="C238" s="90"/>
      <c r="D238" s="91"/>
      <c r="E238" s="91"/>
      <c r="F238" s="91"/>
      <c r="G238" s="91"/>
      <c r="H238" s="85"/>
      <c r="I238" s="85"/>
      <c r="J238" s="85"/>
      <c r="K238" s="85"/>
      <c r="L238" s="85"/>
      <c r="M238" s="85"/>
      <c r="N238" s="85"/>
      <c r="O238" s="85"/>
      <c r="P238" s="85"/>
    </row>
    <row r="239">
      <c r="A239" s="89"/>
      <c r="B239" s="89"/>
      <c r="C239" s="90"/>
      <c r="D239" s="91"/>
      <c r="E239" s="91"/>
      <c r="F239" s="91"/>
      <c r="G239" s="91"/>
      <c r="H239" s="85"/>
      <c r="I239" s="85"/>
      <c r="J239" s="85"/>
      <c r="K239" s="85"/>
      <c r="L239" s="85"/>
      <c r="M239" s="85"/>
      <c r="N239" s="85"/>
      <c r="O239" s="85"/>
      <c r="P239" s="85"/>
    </row>
    <row r="240">
      <c r="A240" s="89"/>
      <c r="B240" s="89"/>
      <c r="C240" s="90"/>
      <c r="D240" s="91"/>
      <c r="E240" s="91"/>
      <c r="F240" s="91"/>
      <c r="G240" s="91"/>
      <c r="H240" s="85"/>
      <c r="I240" s="85"/>
      <c r="J240" s="85"/>
      <c r="K240" s="85"/>
      <c r="L240" s="85"/>
      <c r="M240" s="85"/>
      <c r="N240" s="85"/>
      <c r="O240" s="85"/>
      <c r="P240" s="85"/>
    </row>
    <row r="241">
      <c r="A241" s="89"/>
      <c r="B241" s="89"/>
      <c r="C241" s="90"/>
      <c r="D241" s="91"/>
      <c r="E241" s="91"/>
      <c r="F241" s="91"/>
      <c r="G241" s="91"/>
      <c r="H241" s="85"/>
      <c r="I241" s="85"/>
      <c r="J241" s="85"/>
      <c r="K241" s="85"/>
      <c r="L241" s="85"/>
      <c r="M241" s="85"/>
      <c r="N241" s="85"/>
      <c r="O241" s="85"/>
      <c r="P241" s="85"/>
    </row>
    <row r="242">
      <c r="A242" s="89"/>
      <c r="B242" s="89"/>
      <c r="C242" s="90"/>
      <c r="D242" s="91"/>
      <c r="E242" s="91"/>
      <c r="F242" s="91"/>
      <c r="G242" s="91"/>
      <c r="H242" s="85"/>
      <c r="I242" s="85"/>
      <c r="J242" s="85"/>
      <c r="K242" s="85"/>
      <c r="L242" s="85"/>
      <c r="M242" s="85"/>
      <c r="N242" s="85"/>
      <c r="O242" s="85"/>
      <c r="P242" s="85"/>
    </row>
    <row r="243">
      <c r="A243" s="89"/>
      <c r="B243" s="89"/>
      <c r="C243" s="90"/>
      <c r="D243" s="91"/>
      <c r="E243" s="91"/>
      <c r="F243" s="91"/>
      <c r="G243" s="91"/>
      <c r="H243" s="85"/>
      <c r="I243" s="85"/>
      <c r="J243" s="85"/>
      <c r="K243" s="85"/>
      <c r="L243" s="85"/>
      <c r="M243" s="85"/>
      <c r="N243" s="85"/>
      <c r="O243" s="85"/>
      <c r="P243" s="85"/>
    </row>
    <row r="244">
      <c r="A244" s="89"/>
      <c r="B244" s="89"/>
      <c r="C244" s="90"/>
      <c r="D244" s="91"/>
      <c r="E244" s="91"/>
      <c r="F244" s="91"/>
      <c r="G244" s="91"/>
      <c r="H244" s="85"/>
      <c r="I244" s="85"/>
      <c r="J244" s="85"/>
      <c r="K244" s="85"/>
      <c r="L244" s="85"/>
      <c r="M244" s="85"/>
      <c r="N244" s="85"/>
      <c r="O244" s="85"/>
      <c r="P244" s="85"/>
    </row>
    <row r="245">
      <c r="A245" s="89"/>
      <c r="B245" s="89"/>
      <c r="C245" s="90"/>
      <c r="D245" s="91"/>
      <c r="E245" s="91"/>
      <c r="F245" s="91"/>
      <c r="G245" s="91"/>
      <c r="H245" s="85"/>
      <c r="I245" s="85"/>
      <c r="J245" s="85"/>
      <c r="K245" s="85"/>
      <c r="L245" s="85"/>
      <c r="M245" s="85"/>
      <c r="N245" s="85"/>
      <c r="O245" s="85"/>
      <c r="P245" s="85"/>
    </row>
    <row r="246">
      <c r="A246" s="89"/>
      <c r="B246" s="89"/>
      <c r="C246" s="90"/>
      <c r="D246" s="91"/>
      <c r="E246" s="91"/>
      <c r="F246" s="91"/>
      <c r="G246" s="91"/>
      <c r="H246" s="85"/>
      <c r="I246" s="85"/>
      <c r="J246" s="85"/>
      <c r="K246" s="85"/>
      <c r="L246" s="85"/>
      <c r="M246" s="85"/>
      <c r="N246" s="85"/>
      <c r="O246" s="85"/>
      <c r="P246" s="85"/>
    </row>
    <row r="247">
      <c r="A247" s="89"/>
      <c r="B247" s="89"/>
      <c r="C247" s="90"/>
      <c r="D247" s="91"/>
      <c r="E247" s="91"/>
      <c r="F247" s="91"/>
      <c r="G247" s="91"/>
      <c r="H247" s="85"/>
      <c r="I247" s="85"/>
      <c r="J247" s="85"/>
      <c r="K247" s="85"/>
      <c r="L247" s="85"/>
      <c r="M247" s="85"/>
      <c r="N247" s="85"/>
      <c r="O247" s="85"/>
      <c r="P247" s="85"/>
    </row>
    <row r="248">
      <c r="A248" s="89"/>
      <c r="B248" s="89"/>
      <c r="C248" s="90"/>
      <c r="D248" s="91"/>
      <c r="E248" s="91"/>
      <c r="F248" s="91"/>
      <c r="G248" s="91"/>
      <c r="H248" s="85"/>
      <c r="I248" s="85"/>
      <c r="J248" s="85"/>
      <c r="K248" s="85"/>
      <c r="L248" s="85"/>
      <c r="M248" s="85"/>
      <c r="N248" s="85"/>
      <c r="O248" s="85"/>
      <c r="P248" s="85"/>
    </row>
    <row r="249">
      <c r="A249" s="89"/>
      <c r="B249" s="89"/>
      <c r="C249" s="90"/>
      <c r="D249" s="91"/>
      <c r="E249" s="91"/>
      <c r="F249" s="91"/>
      <c r="G249" s="91"/>
      <c r="H249" s="85"/>
      <c r="I249" s="85"/>
      <c r="J249" s="85"/>
      <c r="K249" s="85"/>
      <c r="L249" s="85"/>
      <c r="M249" s="85"/>
      <c r="N249" s="85"/>
      <c r="O249" s="85"/>
      <c r="P249" s="85"/>
    </row>
    <row r="250">
      <c r="A250" s="89"/>
      <c r="B250" s="89"/>
      <c r="C250" s="90"/>
      <c r="D250" s="91"/>
      <c r="E250" s="91"/>
      <c r="F250" s="91"/>
      <c r="G250" s="91"/>
      <c r="H250" s="85"/>
      <c r="I250" s="85"/>
      <c r="J250" s="85"/>
      <c r="K250" s="85"/>
      <c r="L250" s="85"/>
      <c r="M250" s="85"/>
      <c r="N250" s="85"/>
      <c r="O250" s="85"/>
      <c r="P250" s="85"/>
    </row>
    <row r="251">
      <c r="A251" s="89"/>
      <c r="B251" s="89"/>
      <c r="C251" s="90"/>
      <c r="D251" s="91"/>
      <c r="E251" s="91"/>
      <c r="F251" s="91"/>
      <c r="G251" s="91"/>
      <c r="H251" s="85"/>
      <c r="I251" s="85"/>
      <c r="J251" s="85"/>
      <c r="K251" s="85"/>
      <c r="L251" s="85"/>
      <c r="M251" s="85"/>
      <c r="N251" s="85"/>
      <c r="O251" s="85"/>
      <c r="P251" s="85"/>
    </row>
    <row r="252">
      <c r="A252" s="89"/>
      <c r="B252" s="89"/>
      <c r="C252" s="90"/>
      <c r="D252" s="91"/>
      <c r="E252" s="91"/>
      <c r="F252" s="91"/>
      <c r="G252" s="91"/>
      <c r="H252" s="85"/>
      <c r="I252" s="85"/>
      <c r="J252" s="85"/>
      <c r="K252" s="85"/>
      <c r="L252" s="85"/>
      <c r="M252" s="85"/>
      <c r="N252" s="85"/>
      <c r="O252" s="85"/>
      <c r="P252" s="85"/>
    </row>
    <row r="253">
      <c r="A253" s="89"/>
      <c r="B253" s="89"/>
      <c r="C253" s="90"/>
      <c r="D253" s="91"/>
      <c r="E253" s="91"/>
      <c r="F253" s="91"/>
      <c r="G253" s="91"/>
      <c r="H253" s="85"/>
      <c r="I253" s="85"/>
      <c r="J253" s="85"/>
      <c r="K253" s="85"/>
      <c r="L253" s="85"/>
      <c r="M253" s="85"/>
      <c r="N253" s="85"/>
      <c r="O253" s="85"/>
      <c r="P253" s="85"/>
    </row>
    <row r="254">
      <c r="A254" s="89"/>
      <c r="B254" s="89"/>
      <c r="C254" s="90"/>
      <c r="D254" s="91"/>
      <c r="E254" s="91"/>
      <c r="F254" s="91"/>
      <c r="G254" s="91"/>
      <c r="H254" s="85"/>
      <c r="I254" s="85"/>
      <c r="J254" s="85"/>
      <c r="K254" s="85"/>
      <c r="L254" s="85"/>
      <c r="M254" s="85"/>
      <c r="N254" s="85"/>
      <c r="O254" s="85"/>
      <c r="P254" s="85"/>
    </row>
    <row r="255">
      <c r="A255" s="89"/>
      <c r="B255" s="89"/>
      <c r="C255" s="90"/>
      <c r="D255" s="91"/>
      <c r="E255" s="91"/>
      <c r="F255" s="91"/>
      <c r="G255" s="91"/>
      <c r="H255" s="85"/>
      <c r="I255" s="85"/>
      <c r="J255" s="85"/>
      <c r="K255" s="85"/>
      <c r="L255" s="85"/>
      <c r="M255" s="85"/>
      <c r="N255" s="85"/>
      <c r="O255" s="85"/>
      <c r="P255" s="85"/>
    </row>
    <row r="256">
      <c r="A256" s="89"/>
      <c r="B256" s="89"/>
      <c r="C256" s="90"/>
      <c r="D256" s="91"/>
      <c r="E256" s="91"/>
      <c r="F256" s="91"/>
      <c r="G256" s="91"/>
      <c r="H256" s="85"/>
      <c r="I256" s="85"/>
      <c r="J256" s="85"/>
      <c r="K256" s="85"/>
      <c r="L256" s="85"/>
      <c r="M256" s="85"/>
      <c r="N256" s="85"/>
      <c r="O256" s="85"/>
      <c r="P256" s="85"/>
    </row>
    <row r="257">
      <c r="A257" s="89"/>
      <c r="B257" s="89"/>
      <c r="C257" s="90"/>
      <c r="D257" s="91"/>
      <c r="E257" s="91"/>
      <c r="F257" s="91"/>
      <c r="G257" s="91"/>
      <c r="H257" s="85"/>
      <c r="I257" s="85"/>
      <c r="J257" s="85"/>
      <c r="K257" s="85"/>
      <c r="L257" s="85"/>
      <c r="M257" s="85"/>
      <c r="N257" s="85"/>
      <c r="O257" s="85"/>
      <c r="P257" s="85"/>
    </row>
    <row r="258">
      <c r="A258" s="89"/>
      <c r="B258" s="89"/>
      <c r="C258" s="90"/>
      <c r="D258" s="91"/>
      <c r="E258" s="91"/>
      <c r="F258" s="91"/>
      <c r="G258" s="91"/>
      <c r="H258" s="85"/>
      <c r="I258" s="85"/>
      <c r="J258" s="85"/>
      <c r="K258" s="85"/>
      <c r="L258" s="85"/>
      <c r="M258" s="85"/>
      <c r="N258" s="85"/>
      <c r="O258" s="85"/>
      <c r="P258" s="85"/>
    </row>
    <row r="259">
      <c r="A259" s="89"/>
      <c r="B259" s="89"/>
      <c r="C259" s="90"/>
      <c r="D259" s="91"/>
      <c r="E259" s="91"/>
      <c r="F259" s="91"/>
      <c r="G259" s="91"/>
      <c r="H259" s="85"/>
      <c r="I259" s="85"/>
      <c r="J259" s="85"/>
      <c r="K259" s="85"/>
      <c r="L259" s="85"/>
      <c r="M259" s="85"/>
      <c r="N259" s="85"/>
      <c r="O259" s="85"/>
      <c r="P259" s="85"/>
    </row>
    <row r="260">
      <c r="A260" s="89"/>
      <c r="B260" s="89"/>
      <c r="C260" s="90"/>
      <c r="D260" s="91"/>
      <c r="E260" s="91"/>
      <c r="F260" s="91"/>
      <c r="G260" s="91"/>
      <c r="H260" s="85"/>
      <c r="I260" s="85"/>
      <c r="J260" s="85"/>
      <c r="K260" s="85"/>
      <c r="L260" s="85"/>
      <c r="M260" s="85"/>
      <c r="N260" s="85"/>
      <c r="O260" s="85"/>
      <c r="P260" s="85"/>
    </row>
    <row r="261">
      <c r="A261" s="89"/>
      <c r="B261" s="89"/>
      <c r="C261" s="90"/>
      <c r="D261" s="91"/>
      <c r="E261" s="91"/>
      <c r="F261" s="91"/>
      <c r="G261" s="91"/>
      <c r="H261" s="85"/>
      <c r="I261" s="85"/>
      <c r="J261" s="85"/>
      <c r="K261" s="85"/>
      <c r="L261" s="85"/>
      <c r="M261" s="85"/>
      <c r="N261" s="85"/>
      <c r="O261" s="85"/>
      <c r="P261" s="85"/>
    </row>
    <row r="262">
      <c r="A262" s="89"/>
      <c r="B262" s="89"/>
      <c r="C262" s="90"/>
      <c r="D262" s="91"/>
      <c r="E262" s="91"/>
      <c r="F262" s="91"/>
      <c r="G262" s="91"/>
      <c r="H262" s="85"/>
      <c r="I262" s="85"/>
      <c r="J262" s="85"/>
      <c r="K262" s="85"/>
      <c r="L262" s="85"/>
      <c r="M262" s="85"/>
      <c r="N262" s="85"/>
      <c r="O262" s="85"/>
      <c r="P262" s="85"/>
    </row>
    <row r="263">
      <c r="A263" s="89"/>
      <c r="B263" s="89"/>
      <c r="C263" s="90"/>
      <c r="D263" s="91"/>
      <c r="E263" s="91"/>
      <c r="F263" s="91"/>
      <c r="G263" s="91"/>
      <c r="H263" s="85"/>
      <c r="I263" s="85"/>
      <c r="J263" s="85"/>
      <c r="K263" s="85"/>
      <c r="L263" s="85"/>
      <c r="M263" s="85"/>
      <c r="N263" s="85"/>
      <c r="O263" s="85"/>
      <c r="P263" s="85"/>
    </row>
    <row r="264">
      <c r="A264" s="89"/>
      <c r="B264" s="89"/>
      <c r="C264" s="90"/>
      <c r="D264" s="91"/>
      <c r="E264" s="91"/>
      <c r="F264" s="91"/>
      <c r="G264" s="91"/>
      <c r="H264" s="85"/>
      <c r="I264" s="85"/>
      <c r="J264" s="85"/>
      <c r="K264" s="85"/>
      <c r="L264" s="85"/>
      <c r="M264" s="85"/>
      <c r="N264" s="85"/>
      <c r="O264" s="85"/>
      <c r="P264" s="85"/>
    </row>
    <row r="265">
      <c r="A265" s="89"/>
      <c r="B265" s="89"/>
      <c r="C265" s="90"/>
      <c r="D265" s="91"/>
      <c r="E265" s="91"/>
      <c r="F265" s="91"/>
      <c r="G265" s="91"/>
      <c r="H265" s="85"/>
      <c r="I265" s="85"/>
      <c r="J265" s="85"/>
      <c r="K265" s="85"/>
      <c r="L265" s="85"/>
      <c r="M265" s="85"/>
      <c r="N265" s="85"/>
      <c r="O265" s="85"/>
      <c r="P265" s="85"/>
    </row>
    <row r="266">
      <c r="A266" s="89"/>
      <c r="B266" s="89"/>
      <c r="C266" s="90"/>
      <c r="D266" s="91"/>
      <c r="E266" s="91"/>
      <c r="F266" s="91"/>
      <c r="G266" s="91"/>
      <c r="H266" s="85"/>
      <c r="I266" s="85"/>
      <c r="J266" s="85"/>
      <c r="K266" s="85"/>
      <c r="L266" s="85"/>
      <c r="M266" s="85"/>
      <c r="N266" s="85"/>
      <c r="O266" s="85"/>
      <c r="P266" s="85"/>
    </row>
    <row r="267">
      <c r="A267" s="89"/>
      <c r="B267" s="89"/>
      <c r="C267" s="90"/>
      <c r="D267" s="91"/>
      <c r="E267" s="91"/>
      <c r="F267" s="91"/>
      <c r="G267" s="91"/>
      <c r="H267" s="85"/>
      <c r="I267" s="85"/>
      <c r="J267" s="85"/>
      <c r="K267" s="85"/>
      <c r="L267" s="85"/>
      <c r="M267" s="85"/>
      <c r="N267" s="85"/>
      <c r="O267" s="85"/>
      <c r="P267" s="85"/>
    </row>
    <row r="268">
      <c r="A268" s="89"/>
      <c r="B268" s="89"/>
      <c r="C268" s="90"/>
      <c r="D268" s="91"/>
      <c r="E268" s="91"/>
      <c r="F268" s="91"/>
      <c r="G268" s="91"/>
      <c r="H268" s="85"/>
      <c r="I268" s="85"/>
      <c r="J268" s="85"/>
      <c r="K268" s="85"/>
      <c r="L268" s="85"/>
      <c r="M268" s="85"/>
      <c r="N268" s="85"/>
      <c r="O268" s="85"/>
      <c r="P268" s="85"/>
    </row>
    <row r="269">
      <c r="A269" s="89"/>
      <c r="B269" s="89"/>
      <c r="C269" s="90"/>
      <c r="D269" s="91"/>
      <c r="E269" s="91"/>
      <c r="F269" s="91"/>
      <c r="G269" s="91"/>
      <c r="H269" s="85"/>
      <c r="I269" s="85"/>
      <c r="J269" s="85"/>
      <c r="K269" s="85"/>
      <c r="L269" s="85"/>
      <c r="M269" s="85"/>
      <c r="N269" s="85"/>
      <c r="O269" s="85"/>
      <c r="P269" s="85"/>
    </row>
    <row r="270">
      <c r="A270" s="89"/>
      <c r="B270" s="89"/>
      <c r="C270" s="90"/>
      <c r="D270" s="91"/>
      <c r="E270" s="91"/>
      <c r="F270" s="91"/>
      <c r="G270" s="91"/>
      <c r="H270" s="85"/>
      <c r="I270" s="85"/>
      <c r="J270" s="85"/>
      <c r="K270" s="85"/>
      <c r="L270" s="85"/>
      <c r="M270" s="85"/>
      <c r="N270" s="85"/>
      <c r="O270" s="85"/>
      <c r="P270" s="85"/>
    </row>
    <row r="271">
      <c r="A271" s="89"/>
      <c r="B271" s="89"/>
      <c r="C271" s="90"/>
      <c r="D271" s="91"/>
      <c r="E271" s="91"/>
      <c r="F271" s="91"/>
      <c r="G271" s="91"/>
      <c r="H271" s="85"/>
      <c r="I271" s="85"/>
      <c r="J271" s="85"/>
      <c r="K271" s="85"/>
      <c r="L271" s="85"/>
      <c r="M271" s="85"/>
      <c r="N271" s="85"/>
      <c r="O271" s="85"/>
      <c r="P271" s="85"/>
    </row>
    <row r="272">
      <c r="A272" s="89"/>
      <c r="B272" s="89"/>
      <c r="C272" s="90"/>
      <c r="D272" s="91"/>
      <c r="E272" s="91"/>
      <c r="F272" s="91"/>
      <c r="G272" s="91"/>
      <c r="H272" s="85"/>
      <c r="I272" s="85"/>
      <c r="J272" s="85"/>
      <c r="K272" s="85"/>
      <c r="L272" s="85"/>
      <c r="M272" s="85"/>
      <c r="N272" s="85"/>
      <c r="O272" s="85"/>
      <c r="P272" s="85"/>
    </row>
    <row r="273">
      <c r="A273" s="89"/>
      <c r="B273" s="89"/>
      <c r="C273" s="90"/>
      <c r="D273" s="91"/>
      <c r="E273" s="91"/>
      <c r="F273" s="91"/>
      <c r="G273" s="91"/>
      <c r="H273" s="85"/>
      <c r="I273" s="85"/>
      <c r="J273" s="85"/>
      <c r="K273" s="85"/>
      <c r="L273" s="85"/>
      <c r="M273" s="85"/>
      <c r="N273" s="85"/>
      <c r="O273" s="85"/>
      <c r="P273" s="85"/>
    </row>
    <row r="274">
      <c r="A274" s="89"/>
      <c r="B274" s="89"/>
      <c r="C274" s="90"/>
      <c r="D274" s="91"/>
      <c r="E274" s="91"/>
      <c r="F274" s="91"/>
      <c r="G274" s="91"/>
      <c r="H274" s="85"/>
      <c r="I274" s="85"/>
      <c r="J274" s="85"/>
      <c r="K274" s="85"/>
      <c r="L274" s="85"/>
      <c r="M274" s="85"/>
      <c r="N274" s="85"/>
      <c r="O274" s="85"/>
      <c r="P274" s="85"/>
    </row>
    <row r="275">
      <c r="A275" s="89"/>
      <c r="B275" s="89"/>
      <c r="C275" s="90"/>
      <c r="D275" s="91"/>
      <c r="E275" s="91"/>
      <c r="F275" s="91"/>
      <c r="G275" s="91"/>
      <c r="H275" s="85"/>
      <c r="I275" s="85"/>
      <c r="J275" s="85"/>
      <c r="K275" s="85"/>
      <c r="L275" s="85"/>
      <c r="M275" s="85"/>
      <c r="N275" s="85"/>
      <c r="O275" s="85"/>
      <c r="P275" s="85"/>
    </row>
    <row r="276">
      <c r="A276" s="89"/>
      <c r="B276" s="89"/>
      <c r="C276" s="90"/>
      <c r="D276" s="91"/>
      <c r="E276" s="91"/>
      <c r="F276" s="91"/>
      <c r="G276" s="91"/>
      <c r="H276" s="85"/>
      <c r="I276" s="85"/>
      <c r="J276" s="85"/>
      <c r="K276" s="85"/>
      <c r="L276" s="85"/>
      <c r="M276" s="85"/>
      <c r="N276" s="85"/>
      <c r="O276" s="85"/>
      <c r="P276" s="85"/>
    </row>
    <row r="277">
      <c r="A277" s="89"/>
      <c r="B277" s="89"/>
      <c r="C277" s="90"/>
      <c r="D277" s="91"/>
      <c r="E277" s="91"/>
      <c r="F277" s="91"/>
      <c r="G277" s="91"/>
      <c r="H277" s="85"/>
      <c r="I277" s="85"/>
      <c r="J277" s="85"/>
      <c r="K277" s="85"/>
      <c r="L277" s="85"/>
      <c r="M277" s="85"/>
      <c r="N277" s="85"/>
      <c r="O277" s="85"/>
      <c r="P277" s="85"/>
    </row>
    <row r="278">
      <c r="A278" s="89"/>
      <c r="B278" s="89"/>
      <c r="C278" s="90"/>
      <c r="D278" s="91"/>
      <c r="E278" s="91"/>
      <c r="F278" s="91"/>
      <c r="G278" s="91"/>
      <c r="H278" s="85"/>
      <c r="I278" s="85"/>
      <c r="J278" s="85"/>
      <c r="K278" s="85"/>
      <c r="L278" s="85"/>
      <c r="M278" s="85"/>
      <c r="N278" s="85"/>
      <c r="O278" s="85"/>
      <c r="P278" s="85"/>
    </row>
    <row r="279">
      <c r="A279" s="89"/>
      <c r="B279" s="89"/>
      <c r="C279" s="90"/>
      <c r="D279" s="91"/>
      <c r="E279" s="91"/>
      <c r="F279" s="91"/>
      <c r="G279" s="91"/>
      <c r="H279" s="85"/>
      <c r="I279" s="85"/>
      <c r="J279" s="85"/>
      <c r="K279" s="85"/>
      <c r="L279" s="85"/>
      <c r="M279" s="85"/>
      <c r="N279" s="85"/>
      <c r="O279" s="85"/>
      <c r="P279" s="85"/>
    </row>
    <row r="280">
      <c r="A280" s="89"/>
      <c r="B280" s="89"/>
      <c r="C280" s="90"/>
      <c r="D280" s="91"/>
      <c r="E280" s="91"/>
      <c r="F280" s="91"/>
      <c r="G280" s="91"/>
      <c r="H280" s="85"/>
      <c r="I280" s="85"/>
      <c r="J280" s="85"/>
      <c r="K280" s="85"/>
      <c r="L280" s="85"/>
      <c r="M280" s="85"/>
      <c r="N280" s="85"/>
      <c r="O280" s="85"/>
      <c r="P280" s="85"/>
    </row>
    <row r="281">
      <c r="A281" s="89"/>
      <c r="B281" s="89"/>
      <c r="C281" s="90"/>
      <c r="D281" s="91"/>
      <c r="E281" s="91"/>
      <c r="F281" s="91"/>
      <c r="G281" s="91"/>
      <c r="H281" s="85"/>
      <c r="I281" s="85"/>
      <c r="J281" s="85"/>
      <c r="K281" s="85"/>
      <c r="L281" s="85"/>
      <c r="M281" s="85"/>
      <c r="N281" s="85"/>
      <c r="O281" s="85"/>
      <c r="P281" s="85"/>
    </row>
    <row r="282">
      <c r="A282" s="89"/>
      <c r="B282" s="89"/>
      <c r="C282" s="90"/>
      <c r="D282" s="91"/>
      <c r="E282" s="91"/>
      <c r="F282" s="91"/>
      <c r="G282" s="91"/>
      <c r="H282" s="85"/>
      <c r="I282" s="85"/>
      <c r="J282" s="85"/>
      <c r="K282" s="85"/>
      <c r="L282" s="85"/>
      <c r="M282" s="85"/>
      <c r="N282" s="85"/>
      <c r="O282" s="85"/>
      <c r="P282" s="85"/>
    </row>
    <row r="283">
      <c r="A283" s="89"/>
      <c r="B283" s="89"/>
      <c r="C283" s="90"/>
      <c r="D283" s="91"/>
      <c r="E283" s="91"/>
      <c r="F283" s="91"/>
      <c r="G283" s="91"/>
      <c r="H283" s="85"/>
      <c r="I283" s="85"/>
      <c r="J283" s="85"/>
      <c r="K283" s="85"/>
      <c r="L283" s="85"/>
      <c r="M283" s="85"/>
      <c r="N283" s="85"/>
      <c r="O283" s="85"/>
      <c r="P283" s="85"/>
    </row>
    <row r="284">
      <c r="A284" s="89"/>
      <c r="B284" s="89"/>
      <c r="C284" s="90"/>
      <c r="D284" s="91"/>
      <c r="E284" s="91"/>
      <c r="F284" s="91"/>
      <c r="G284" s="91"/>
      <c r="H284" s="85"/>
      <c r="I284" s="85"/>
      <c r="J284" s="85"/>
      <c r="K284" s="85"/>
      <c r="L284" s="85"/>
      <c r="M284" s="85"/>
      <c r="N284" s="85"/>
      <c r="O284" s="85"/>
      <c r="P284" s="85"/>
    </row>
    <row r="285">
      <c r="A285" s="89"/>
      <c r="B285" s="89"/>
      <c r="C285" s="90"/>
      <c r="D285" s="91"/>
      <c r="E285" s="91"/>
      <c r="F285" s="91"/>
      <c r="G285" s="91"/>
      <c r="H285" s="85"/>
      <c r="I285" s="85"/>
      <c r="J285" s="85"/>
      <c r="K285" s="85"/>
      <c r="L285" s="85"/>
      <c r="M285" s="85"/>
      <c r="N285" s="85"/>
      <c r="O285" s="85"/>
      <c r="P285" s="85"/>
    </row>
    <row r="286">
      <c r="A286" s="89"/>
      <c r="B286" s="89"/>
      <c r="C286" s="90"/>
      <c r="D286" s="91"/>
      <c r="E286" s="91"/>
      <c r="F286" s="91"/>
      <c r="G286" s="91"/>
      <c r="H286" s="85"/>
      <c r="I286" s="85"/>
      <c r="J286" s="85"/>
      <c r="K286" s="85"/>
      <c r="L286" s="85"/>
      <c r="M286" s="85"/>
      <c r="N286" s="85"/>
      <c r="O286" s="85"/>
      <c r="P286" s="85"/>
    </row>
    <row r="287">
      <c r="A287" s="89"/>
      <c r="B287" s="89"/>
      <c r="C287" s="90"/>
      <c r="D287" s="91"/>
      <c r="E287" s="91"/>
      <c r="F287" s="91"/>
      <c r="G287" s="91"/>
      <c r="H287" s="85"/>
      <c r="I287" s="85"/>
      <c r="J287" s="85"/>
      <c r="K287" s="85"/>
      <c r="L287" s="85"/>
      <c r="M287" s="85"/>
      <c r="N287" s="85"/>
      <c r="O287" s="85"/>
      <c r="P287" s="85"/>
    </row>
    <row r="288">
      <c r="A288" s="89"/>
      <c r="B288" s="89"/>
      <c r="C288" s="90"/>
      <c r="D288" s="91"/>
      <c r="E288" s="91"/>
      <c r="F288" s="91"/>
      <c r="G288" s="91"/>
      <c r="H288" s="85"/>
      <c r="I288" s="85"/>
      <c r="J288" s="85"/>
      <c r="K288" s="85"/>
      <c r="L288" s="85"/>
      <c r="M288" s="85"/>
      <c r="N288" s="85"/>
      <c r="O288" s="85"/>
      <c r="P288" s="85"/>
    </row>
    <row r="289">
      <c r="A289" s="89"/>
      <c r="B289" s="89"/>
      <c r="C289" s="90"/>
      <c r="D289" s="91"/>
      <c r="E289" s="91"/>
      <c r="F289" s="91"/>
      <c r="G289" s="91"/>
      <c r="H289" s="85"/>
      <c r="I289" s="85"/>
      <c r="J289" s="85"/>
      <c r="K289" s="85"/>
      <c r="L289" s="85"/>
      <c r="M289" s="85"/>
      <c r="N289" s="85"/>
      <c r="O289" s="85"/>
      <c r="P289" s="85"/>
    </row>
    <row r="290">
      <c r="A290" s="89"/>
      <c r="B290" s="89"/>
      <c r="C290" s="90"/>
      <c r="D290" s="91"/>
      <c r="E290" s="91"/>
      <c r="F290" s="91"/>
      <c r="G290" s="91"/>
      <c r="H290" s="85"/>
      <c r="I290" s="85"/>
      <c r="J290" s="85"/>
      <c r="K290" s="85"/>
      <c r="L290" s="85"/>
      <c r="M290" s="85"/>
      <c r="N290" s="85"/>
      <c r="O290" s="85"/>
      <c r="P290" s="85"/>
    </row>
    <row r="291">
      <c r="A291" s="89"/>
      <c r="B291" s="89"/>
      <c r="C291" s="90"/>
      <c r="D291" s="91"/>
      <c r="E291" s="91"/>
      <c r="F291" s="91"/>
      <c r="G291" s="91"/>
      <c r="H291" s="85"/>
      <c r="I291" s="85"/>
      <c r="J291" s="85"/>
      <c r="K291" s="85"/>
      <c r="L291" s="85"/>
      <c r="M291" s="85"/>
      <c r="N291" s="85"/>
      <c r="O291" s="85"/>
      <c r="P291" s="85"/>
    </row>
    <row r="292">
      <c r="A292" s="89"/>
      <c r="B292" s="89"/>
      <c r="C292" s="90"/>
      <c r="D292" s="91"/>
      <c r="E292" s="91"/>
      <c r="F292" s="91"/>
      <c r="G292" s="91"/>
      <c r="H292" s="85"/>
      <c r="I292" s="85"/>
      <c r="J292" s="85"/>
      <c r="K292" s="85"/>
      <c r="L292" s="85"/>
      <c r="M292" s="85"/>
      <c r="N292" s="85"/>
      <c r="O292" s="85"/>
      <c r="P292" s="85"/>
    </row>
    <row r="293">
      <c r="A293" s="89"/>
      <c r="B293" s="89"/>
      <c r="C293" s="90"/>
      <c r="D293" s="91"/>
      <c r="E293" s="91"/>
      <c r="F293" s="91"/>
      <c r="G293" s="91"/>
      <c r="H293" s="85"/>
      <c r="I293" s="85"/>
      <c r="J293" s="85"/>
      <c r="K293" s="85"/>
      <c r="L293" s="85"/>
      <c r="M293" s="85"/>
      <c r="N293" s="85"/>
      <c r="O293" s="85"/>
      <c r="P293" s="85"/>
    </row>
    <row r="294">
      <c r="A294" s="89"/>
      <c r="B294" s="89"/>
      <c r="C294" s="90"/>
      <c r="D294" s="91"/>
      <c r="E294" s="91"/>
      <c r="F294" s="91"/>
      <c r="G294" s="91"/>
      <c r="H294" s="85"/>
      <c r="I294" s="85"/>
      <c r="J294" s="85"/>
      <c r="K294" s="85"/>
      <c r="L294" s="85"/>
      <c r="M294" s="85"/>
      <c r="N294" s="85"/>
      <c r="O294" s="85"/>
      <c r="P294" s="85"/>
    </row>
    <row r="295">
      <c r="A295" s="89"/>
      <c r="B295" s="89"/>
      <c r="C295" s="90"/>
      <c r="D295" s="91"/>
      <c r="E295" s="91"/>
      <c r="F295" s="91"/>
      <c r="G295" s="91"/>
      <c r="H295" s="85"/>
      <c r="I295" s="85"/>
      <c r="J295" s="85"/>
      <c r="K295" s="85"/>
      <c r="L295" s="85"/>
      <c r="M295" s="85"/>
      <c r="N295" s="85"/>
      <c r="O295" s="85"/>
      <c r="P295" s="85"/>
    </row>
    <row r="296">
      <c r="A296" s="89"/>
      <c r="B296" s="89"/>
      <c r="C296" s="90"/>
      <c r="D296" s="91"/>
      <c r="E296" s="91"/>
      <c r="F296" s="91"/>
      <c r="G296" s="91"/>
      <c r="H296" s="85"/>
      <c r="I296" s="85"/>
      <c r="J296" s="85"/>
      <c r="K296" s="85"/>
      <c r="L296" s="85"/>
      <c r="M296" s="85"/>
      <c r="N296" s="85"/>
      <c r="O296" s="85"/>
      <c r="P296" s="85"/>
    </row>
    <row r="297">
      <c r="A297" s="89"/>
      <c r="B297" s="89"/>
      <c r="C297" s="90"/>
      <c r="D297" s="91"/>
      <c r="E297" s="91"/>
      <c r="F297" s="91"/>
      <c r="G297" s="91"/>
      <c r="H297" s="85"/>
      <c r="I297" s="85"/>
      <c r="J297" s="85"/>
      <c r="K297" s="85"/>
      <c r="L297" s="85"/>
      <c r="M297" s="85"/>
      <c r="N297" s="85"/>
      <c r="O297" s="85"/>
      <c r="P297" s="85"/>
    </row>
    <row r="298">
      <c r="A298" s="89"/>
      <c r="B298" s="89"/>
      <c r="C298" s="90"/>
      <c r="D298" s="91"/>
      <c r="E298" s="91"/>
      <c r="F298" s="91"/>
      <c r="G298" s="91"/>
      <c r="H298" s="85"/>
      <c r="I298" s="85"/>
      <c r="J298" s="85"/>
      <c r="K298" s="85"/>
      <c r="L298" s="85"/>
      <c r="M298" s="85"/>
      <c r="N298" s="85"/>
      <c r="O298" s="85"/>
      <c r="P298" s="85"/>
    </row>
    <row r="299">
      <c r="A299" s="89"/>
      <c r="B299" s="89"/>
      <c r="C299" s="90"/>
      <c r="D299" s="91"/>
      <c r="E299" s="91"/>
      <c r="F299" s="91"/>
      <c r="G299" s="91"/>
      <c r="H299" s="85"/>
      <c r="I299" s="85"/>
      <c r="J299" s="85"/>
      <c r="K299" s="85"/>
      <c r="L299" s="85"/>
      <c r="M299" s="85"/>
      <c r="N299" s="85"/>
      <c r="O299" s="85"/>
      <c r="P299" s="85"/>
    </row>
    <row r="300">
      <c r="A300" s="89"/>
      <c r="B300" s="89"/>
      <c r="C300" s="90"/>
      <c r="D300" s="91"/>
      <c r="E300" s="91"/>
      <c r="F300" s="91"/>
      <c r="G300" s="91"/>
      <c r="H300" s="85"/>
      <c r="I300" s="85"/>
      <c r="J300" s="85"/>
      <c r="K300" s="85"/>
      <c r="L300" s="85"/>
      <c r="M300" s="85"/>
      <c r="N300" s="85"/>
      <c r="O300" s="85"/>
      <c r="P300" s="85"/>
    </row>
    <row r="301">
      <c r="A301" s="89"/>
      <c r="B301" s="89"/>
      <c r="C301" s="90"/>
      <c r="D301" s="91"/>
      <c r="E301" s="91"/>
      <c r="F301" s="91"/>
      <c r="G301" s="91"/>
      <c r="H301" s="85"/>
      <c r="I301" s="85"/>
      <c r="J301" s="85"/>
      <c r="K301" s="85"/>
      <c r="L301" s="85"/>
      <c r="M301" s="85"/>
      <c r="N301" s="85"/>
      <c r="O301" s="85"/>
      <c r="P301" s="85"/>
    </row>
    <row r="302">
      <c r="A302" s="89"/>
      <c r="B302" s="89"/>
      <c r="C302" s="90"/>
      <c r="D302" s="91"/>
      <c r="E302" s="91"/>
      <c r="F302" s="91"/>
      <c r="G302" s="91"/>
      <c r="H302" s="85"/>
      <c r="I302" s="85"/>
      <c r="J302" s="85"/>
      <c r="K302" s="85"/>
      <c r="L302" s="85"/>
      <c r="M302" s="85"/>
      <c r="N302" s="85"/>
      <c r="O302" s="85"/>
      <c r="P302" s="85"/>
    </row>
    <row r="303">
      <c r="A303" s="89"/>
      <c r="B303" s="89"/>
      <c r="C303" s="90"/>
      <c r="D303" s="91"/>
      <c r="E303" s="91"/>
      <c r="F303" s="91"/>
      <c r="G303" s="91"/>
      <c r="H303" s="85"/>
      <c r="I303" s="85"/>
      <c r="J303" s="85"/>
      <c r="K303" s="85"/>
      <c r="L303" s="85"/>
      <c r="M303" s="85"/>
      <c r="N303" s="85"/>
      <c r="O303" s="85"/>
      <c r="P303" s="85"/>
    </row>
    <row r="304">
      <c r="A304" s="89"/>
      <c r="B304" s="89"/>
      <c r="C304" s="90"/>
      <c r="D304" s="91"/>
      <c r="E304" s="91"/>
      <c r="F304" s="91"/>
      <c r="G304" s="91"/>
      <c r="H304" s="85"/>
      <c r="I304" s="85"/>
      <c r="J304" s="85"/>
      <c r="K304" s="85"/>
      <c r="L304" s="85"/>
      <c r="M304" s="85"/>
      <c r="N304" s="85"/>
      <c r="O304" s="85"/>
      <c r="P304" s="85"/>
    </row>
    <row r="305">
      <c r="A305" s="89"/>
      <c r="B305" s="89"/>
      <c r="C305" s="90"/>
      <c r="D305" s="91"/>
      <c r="E305" s="91"/>
      <c r="F305" s="91"/>
      <c r="G305" s="91"/>
      <c r="H305" s="85"/>
      <c r="I305" s="85"/>
      <c r="J305" s="85"/>
      <c r="K305" s="85"/>
      <c r="L305" s="85"/>
      <c r="M305" s="85"/>
      <c r="N305" s="85"/>
      <c r="O305" s="85"/>
      <c r="P305" s="85"/>
    </row>
    <row r="306">
      <c r="A306" s="89"/>
      <c r="B306" s="89"/>
      <c r="C306" s="90"/>
      <c r="D306" s="91"/>
      <c r="E306" s="91"/>
      <c r="F306" s="91"/>
      <c r="G306" s="91"/>
      <c r="H306" s="85"/>
      <c r="I306" s="85"/>
      <c r="J306" s="85"/>
      <c r="K306" s="85"/>
      <c r="L306" s="85"/>
      <c r="M306" s="85"/>
      <c r="N306" s="85"/>
      <c r="O306" s="85"/>
      <c r="P306" s="85"/>
    </row>
    <row r="307">
      <c r="A307" s="89"/>
      <c r="B307" s="89"/>
      <c r="C307" s="90"/>
      <c r="D307" s="91"/>
      <c r="E307" s="91"/>
      <c r="F307" s="91"/>
      <c r="G307" s="91"/>
      <c r="H307" s="85"/>
      <c r="I307" s="85"/>
      <c r="J307" s="85"/>
      <c r="K307" s="85"/>
      <c r="L307" s="85"/>
      <c r="M307" s="85"/>
      <c r="N307" s="85"/>
      <c r="O307" s="85"/>
      <c r="P307" s="85"/>
    </row>
    <row r="308">
      <c r="A308" s="89"/>
      <c r="B308" s="89"/>
      <c r="C308" s="90"/>
      <c r="D308" s="91"/>
      <c r="E308" s="91"/>
      <c r="F308" s="91"/>
      <c r="G308" s="91"/>
      <c r="H308" s="85"/>
      <c r="I308" s="85"/>
      <c r="J308" s="85"/>
      <c r="K308" s="85"/>
      <c r="L308" s="85"/>
      <c r="M308" s="85"/>
      <c r="N308" s="85"/>
      <c r="O308" s="85"/>
      <c r="P308" s="85"/>
    </row>
    <row r="309">
      <c r="A309" s="89"/>
      <c r="B309" s="89"/>
      <c r="C309" s="90"/>
      <c r="D309" s="91"/>
      <c r="E309" s="91"/>
      <c r="F309" s="91"/>
      <c r="G309" s="91"/>
      <c r="H309" s="85"/>
      <c r="I309" s="85"/>
      <c r="J309" s="85"/>
      <c r="K309" s="85"/>
      <c r="L309" s="85"/>
      <c r="M309" s="85"/>
      <c r="N309" s="85"/>
      <c r="O309" s="85"/>
      <c r="P309" s="85"/>
    </row>
    <row r="310">
      <c r="A310" s="89"/>
      <c r="B310" s="89"/>
      <c r="C310" s="90"/>
      <c r="D310" s="91"/>
      <c r="E310" s="91"/>
      <c r="F310" s="91"/>
      <c r="G310" s="91"/>
      <c r="H310" s="85"/>
      <c r="I310" s="85"/>
      <c r="J310" s="85"/>
      <c r="K310" s="85"/>
      <c r="L310" s="85"/>
      <c r="M310" s="85"/>
      <c r="N310" s="85"/>
      <c r="O310" s="85"/>
      <c r="P310" s="85"/>
    </row>
    <row r="311">
      <c r="A311" s="89"/>
      <c r="B311" s="89"/>
      <c r="C311" s="90"/>
      <c r="D311" s="91"/>
      <c r="E311" s="91"/>
      <c r="F311" s="91"/>
      <c r="G311" s="91"/>
      <c r="H311" s="85"/>
      <c r="I311" s="85"/>
      <c r="J311" s="85"/>
      <c r="K311" s="85"/>
      <c r="L311" s="85"/>
      <c r="M311" s="85"/>
      <c r="N311" s="85"/>
      <c r="O311" s="85"/>
      <c r="P311" s="85"/>
    </row>
    <row r="312">
      <c r="A312" s="89"/>
      <c r="B312" s="89"/>
      <c r="C312" s="90"/>
      <c r="D312" s="91"/>
      <c r="E312" s="91"/>
      <c r="F312" s="91"/>
      <c r="G312" s="91"/>
      <c r="H312" s="85"/>
      <c r="I312" s="85"/>
      <c r="J312" s="85"/>
      <c r="K312" s="85"/>
      <c r="L312" s="85"/>
      <c r="M312" s="85"/>
      <c r="N312" s="85"/>
      <c r="O312" s="85"/>
      <c r="P312" s="85"/>
    </row>
    <row r="313">
      <c r="A313" s="89"/>
      <c r="B313" s="89"/>
      <c r="C313" s="90"/>
      <c r="D313" s="91"/>
      <c r="E313" s="91"/>
      <c r="F313" s="91"/>
      <c r="G313" s="91"/>
      <c r="H313" s="85"/>
      <c r="I313" s="85"/>
      <c r="J313" s="85"/>
      <c r="K313" s="85"/>
      <c r="L313" s="85"/>
      <c r="M313" s="85"/>
      <c r="N313" s="85"/>
      <c r="O313" s="85"/>
      <c r="P313" s="85"/>
    </row>
    <row r="314">
      <c r="A314" s="89"/>
      <c r="B314" s="89"/>
      <c r="C314" s="90"/>
      <c r="D314" s="91"/>
      <c r="E314" s="91"/>
      <c r="F314" s="91"/>
      <c r="G314" s="91"/>
      <c r="H314" s="85"/>
      <c r="I314" s="85"/>
      <c r="J314" s="85"/>
      <c r="K314" s="85"/>
      <c r="L314" s="85"/>
      <c r="M314" s="85"/>
      <c r="N314" s="85"/>
      <c r="O314" s="85"/>
      <c r="P314" s="85"/>
    </row>
    <row r="315">
      <c r="A315" s="89"/>
      <c r="B315" s="89"/>
      <c r="C315" s="90"/>
      <c r="D315" s="91"/>
      <c r="E315" s="91"/>
      <c r="F315" s="91"/>
      <c r="G315" s="91"/>
      <c r="H315" s="85"/>
      <c r="I315" s="85"/>
      <c r="J315" s="85"/>
      <c r="K315" s="85"/>
      <c r="L315" s="85"/>
      <c r="M315" s="85"/>
      <c r="N315" s="85"/>
      <c r="O315" s="85"/>
      <c r="P315" s="85"/>
    </row>
    <row r="316">
      <c r="A316" s="89"/>
      <c r="B316" s="89"/>
      <c r="C316" s="90"/>
      <c r="D316" s="91"/>
      <c r="E316" s="91"/>
      <c r="F316" s="91"/>
      <c r="G316" s="91"/>
      <c r="H316" s="85"/>
      <c r="I316" s="85"/>
      <c r="J316" s="85"/>
      <c r="K316" s="85"/>
      <c r="L316" s="85"/>
      <c r="M316" s="85"/>
      <c r="N316" s="85"/>
      <c r="O316" s="85"/>
      <c r="P316" s="85"/>
    </row>
    <row r="317">
      <c r="A317" s="89"/>
      <c r="B317" s="89"/>
      <c r="C317" s="90"/>
      <c r="D317" s="91"/>
      <c r="E317" s="91"/>
      <c r="F317" s="91"/>
      <c r="G317" s="91"/>
      <c r="H317" s="85"/>
      <c r="I317" s="85"/>
      <c r="J317" s="85"/>
      <c r="K317" s="85"/>
      <c r="L317" s="85"/>
      <c r="M317" s="85"/>
      <c r="N317" s="85"/>
      <c r="O317" s="85"/>
      <c r="P317" s="85"/>
    </row>
    <row r="318">
      <c r="A318" s="89"/>
      <c r="B318" s="89"/>
      <c r="C318" s="90"/>
      <c r="D318" s="91"/>
      <c r="E318" s="91"/>
      <c r="F318" s="91"/>
      <c r="G318" s="91"/>
      <c r="H318" s="85"/>
      <c r="I318" s="85"/>
      <c r="J318" s="85"/>
      <c r="K318" s="85"/>
      <c r="L318" s="85"/>
      <c r="M318" s="85"/>
      <c r="N318" s="85"/>
      <c r="O318" s="85"/>
      <c r="P318" s="85"/>
    </row>
    <row r="319">
      <c r="A319" s="89"/>
      <c r="B319" s="89"/>
      <c r="C319" s="90"/>
      <c r="D319" s="91"/>
      <c r="E319" s="91"/>
      <c r="F319" s="91"/>
      <c r="G319" s="91"/>
      <c r="H319" s="85"/>
      <c r="I319" s="85"/>
      <c r="J319" s="85"/>
      <c r="K319" s="85"/>
      <c r="L319" s="85"/>
      <c r="M319" s="85"/>
      <c r="N319" s="85"/>
      <c r="O319" s="85"/>
      <c r="P319" s="85"/>
    </row>
    <row r="320">
      <c r="A320" s="89"/>
      <c r="B320" s="89"/>
      <c r="C320" s="90"/>
      <c r="D320" s="91"/>
      <c r="E320" s="91"/>
      <c r="F320" s="91"/>
      <c r="G320" s="91"/>
      <c r="H320" s="85"/>
      <c r="I320" s="85"/>
      <c r="J320" s="85"/>
      <c r="K320" s="85"/>
      <c r="L320" s="85"/>
      <c r="M320" s="85"/>
      <c r="N320" s="85"/>
      <c r="O320" s="85"/>
      <c r="P320" s="85"/>
    </row>
    <row r="321">
      <c r="A321" s="89"/>
      <c r="B321" s="89"/>
      <c r="C321" s="90"/>
      <c r="D321" s="91"/>
      <c r="E321" s="91"/>
      <c r="F321" s="91"/>
      <c r="G321" s="91"/>
      <c r="H321" s="85"/>
      <c r="I321" s="85"/>
      <c r="J321" s="85"/>
      <c r="K321" s="85"/>
      <c r="L321" s="85"/>
      <c r="M321" s="85"/>
      <c r="N321" s="85"/>
      <c r="O321" s="85"/>
      <c r="P321" s="85"/>
    </row>
    <row r="322">
      <c r="A322" s="89"/>
      <c r="B322" s="89"/>
      <c r="C322" s="90"/>
      <c r="D322" s="91"/>
      <c r="E322" s="91"/>
      <c r="F322" s="91"/>
      <c r="G322" s="91"/>
      <c r="H322" s="85"/>
      <c r="I322" s="85"/>
      <c r="J322" s="85"/>
      <c r="K322" s="85"/>
      <c r="L322" s="85"/>
      <c r="M322" s="85"/>
      <c r="N322" s="85"/>
      <c r="O322" s="85"/>
      <c r="P322" s="85"/>
    </row>
    <row r="323">
      <c r="A323" s="89"/>
      <c r="B323" s="89"/>
      <c r="C323" s="90"/>
      <c r="D323" s="91"/>
      <c r="E323" s="91"/>
      <c r="F323" s="91"/>
      <c r="G323" s="91"/>
      <c r="H323" s="85"/>
      <c r="I323" s="85"/>
      <c r="J323" s="85"/>
      <c r="K323" s="85"/>
      <c r="L323" s="85"/>
      <c r="M323" s="85"/>
      <c r="N323" s="85"/>
      <c r="O323" s="85"/>
      <c r="P323" s="85"/>
    </row>
    <row r="324">
      <c r="A324" s="89"/>
      <c r="B324" s="89"/>
      <c r="C324" s="90"/>
      <c r="D324" s="91"/>
      <c r="E324" s="91"/>
      <c r="F324" s="91"/>
      <c r="G324" s="91"/>
      <c r="H324" s="85"/>
      <c r="I324" s="85"/>
      <c r="J324" s="85"/>
      <c r="K324" s="85"/>
      <c r="L324" s="85"/>
      <c r="M324" s="85"/>
      <c r="N324" s="85"/>
      <c r="O324" s="85"/>
      <c r="P324" s="85"/>
    </row>
    <row r="325">
      <c r="A325" s="89"/>
      <c r="B325" s="89"/>
      <c r="C325" s="90"/>
      <c r="D325" s="91"/>
      <c r="E325" s="91"/>
      <c r="F325" s="91"/>
      <c r="G325" s="91"/>
      <c r="H325" s="85"/>
      <c r="I325" s="85"/>
      <c r="J325" s="85"/>
      <c r="K325" s="85"/>
      <c r="L325" s="85"/>
      <c r="M325" s="85"/>
      <c r="N325" s="85"/>
      <c r="O325" s="85"/>
      <c r="P325" s="85"/>
    </row>
    <row r="326">
      <c r="A326" s="89"/>
      <c r="B326" s="89"/>
      <c r="C326" s="90"/>
      <c r="D326" s="91"/>
      <c r="E326" s="91"/>
      <c r="F326" s="91"/>
      <c r="G326" s="91"/>
      <c r="H326" s="85"/>
      <c r="I326" s="85"/>
      <c r="J326" s="85"/>
      <c r="K326" s="85"/>
      <c r="L326" s="85"/>
      <c r="M326" s="85"/>
      <c r="N326" s="85"/>
      <c r="O326" s="85"/>
      <c r="P326" s="85"/>
    </row>
    <row r="327">
      <c r="A327" s="89"/>
      <c r="B327" s="89"/>
      <c r="C327" s="90"/>
      <c r="D327" s="91"/>
      <c r="E327" s="91"/>
      <c r="F327" s="91"/>
      <c r="G327" s="91"/>
      <c r="H327" s="85"/>
      <c r="I327" s="85"/>
      <c r="J327" s="85"/>
      <c r="K327" s="85"/>
      <c r="L327" s="85"/>
      <c r="M327" s="85"/>
      <c r="N327" s="85"/>
      <c r="O327" s="85"/>
      <c r="P327" s="85"/>
    </row>
    <row r="328">
      <c r="A328" s="89"/>
      <c r="B328" s="89"/>
      <c r="C328" s="90"/>
      <c r="D328" s="91"/>
      <c r="E328" s="91"/>
      <c r="F328" s="91"/>
      <c r="G328" s="91"/>
      <c r="H328" s="85"/>
      <c r="I328" s="85"/>
      <c r="J328" s="85"/>
      <c r="K328" s="85"/>
      <c r="L328" s="85"/>
      <c r="M328" s="85"/>
      <c r="N328" s="85"/>
      <c r="O328" s="85"/>
      <c r="P328" s="85"/>
    </row>
    <row r="329">
      <c r="A329" s="89"/>
      <c r="B329" s="89"/>
      <c r="C329" s="90"/>
      <c r="D329" s="91"/>
      <c r="E329" s="91"/>
      <c r="F329" s="91"/>
      <c r="G329" s="91"/>
      <c r="H329" s="85"/>
      <c r="I329" s="85"/>
      <c r="J329" s="85"/>
      <c r="K329" s="85"/>
      <c r="L329" s="85"/>
      <c r="M329" s="85"/>
      <c r="N329" s="85"/>
      <c r="O329" s="85"/>
      <c r="P329" s="85"/>
    </row>
    <row r="330">
      <c r="A330" s="89"/>
      <c r="B330" s="89"/>
      <c r="C330" s="90"/>
      <c r="D330" s="91"/>
      <c r="E330" s="91"/>
      <c r="F330" s="91"/>
      <c r="G330" s="91"/>
      <c r="H330" s="85"/>
      <c r="I330" s="85"/>
      <c r="J330" s="85"/>
      <c r="K330" s="85"/>
      <c r="L330" s="85"/>
      <c r="M330" s="85"/>
      <c r="N330" s="85"/>
      <c r="O330" s="85"/>
      <c r="P330" s="85"/>
    </row>
    <row r="331">
      <c r="A331" s="89"/>
      <c r="B331" s="89"/>
      <c r="C331" s="90"/>
      <c r="D331" s="91"/>
      <c r="E331" s="91"/>
      <c r="F331" s="91"/>
      <c r="G331" s="91"/>
      <c r="H331" s="85"/>
      <c r="I331" s="85"/>
      <c r="J331" s="85"/>
      <c r="K331" s="85"/>
      <c r="L331" s="85"/>
      <c r="M331" s="85"/>
      <c r="N331" s="85"/>
      <c r="O331" s="85"/>
      <c r="P331" s="85"/>
    </row>
    <row r="332">
      <c r="A332" s="89"/>
      <c r="B332" s="89"/>
      <c r="C332" s="90"/>
      <c r="D332" s="91"/>
      <c r="E332" s="91"/>
      <c r="F332" s="91"/>
      <c r="G332" s="91"/>
      <c r="H332" s="85"/>
      <c r="I332" s="85"/>
      <c r="J332" s="85"/>
      <c r="K332" s="85"/>
      <c r="L332" s="85"/>
      <c r="M332" s="85"/>
      <c r="N332" s="85"/>
      <c r="O332" s="85"/>
      <c r="P332" s="85"/>
    </row>
    <row r="333">
      <c r="A333" s="89"/>
      <c r="B333" s="89"/>
      <c r="C333" s="90"/>
      <c r="D333" s="91"/>
      <c r="E333" s="91"/>
      <c r="F333" s="91"/>
      <c r="G333" s="91"/>
      <c r="H333" s="85"/>
      <c r="I333" s="85"/>
      <c r="J333" s="85"/>
      <c r="K333" s="85"/>
      <c r="L333" s="85"/>
      <c r="M333" s="85"/>
      <c r="N333" s="85"/>
      <c r="O333" s="85"/>
      <c r="P333" s="85"/>
    </row>
    <row r="334">
      <c r="A334" s="89"/>
      <c r="B334" s="89"/>
      <c r="C334" s="90"/>
      <c r="D334" s="91"/>
      <c r="E334" s="91"/>
      <c r="F334" s="91"/>
      <c r="G334" s="91"/>
      <c r="H334" s="85"/>
      <c r="I334" s="85"/>
      <c r="J334" s="85"/>
      <c r="K334" s="85"/>
      <c r="L334" s="85"/>
      <c r="M334" s="85"/>
      <c r="N334" s="85"/>
      <c r="O334" s="85"/>
      <c r="P334" s="85"/>
    </row>
    <row r="335">
      <c r="A335" s="89"/>
      <c r="B335" s="89"/>
      <c r="C335" s="90"/>
      <c r="D335" s="91"/>
      <c r="E335" s="91"/>
      <c r="F335" s="91"/>
      <c r="G335" s="91"/>
      <c r="H335" s="85"/>
      <c r="I335" s="85"/>
      <c r="J335" s="85"/>
      <c r="K335" s="85"/>
      <c r="L335" s="85"/>
      <c r="M335" s="85"/>
      <c r="N335" s="85"/>
      <c r="O335" s="85"/>
      <c r="P335" s="85"/>
    </row>
    <row r="336">
      <c r="A336" s="89"/>
      <c r="B336" s="89"/>
      <c r="C336" s="90"/>
      <c r="D336" s="91"/>
      <c r="E336" s="91"/>
      <c r="F336" s="91"/>
      <c r="G336" s="91"/>
      <c r="H336" s="85"/>
      <c r="I336" s="85"/>
      <c r="J336" s="85"/>
      <c r="K336" s="85"/>
      <c r="L336" s="85"/>
      <c r="M336" s="85"/>
      <c r="N336" s="85"/>
      <c r="O336" s="85"/>
      <c r="P336" s="85"/>
    </row>
    <row r="337">
      <c r="A337" s="89"/>
      <c r="B337" s="89"/>
      <c r="C337" s="90"/>
      <c r="D337" s="91"/>
      <c r="E337" s="91"/>
      <c r="F337" s="91"/>
      <c r="G337" s="91"/>
      <c r="H337" s="85"/>
      <c r="I337" s="85"/>
      <c r="J337" s="85"/>
      <c r="K337" s="85"/>
      <c r="L337" s="85"/>
      <c r="M337" s="85"/>
      <c r="N337" s="85"/>
      <c r="O337" s="85"/>
      <c r="P337" s="85"/>
    </row>
    <row r="338">
      <c r="A338" s="89"/>
      <c r="B338" s="89"/>
      <c r="C338" s="90"/>
      <c r="D338" s="91"/>
      <c r="E338" s="91"/>
      <c r="F338" s="91"/>
      <c r="G338" s="91"/>
      <c r="H338" s="85"/>
      <c r="I338" s="85"/>
      <c r="J338" s="85"/>
      <c r="K338" s="85"/>
      <c r="L338" s="85"/>
      <c r="M338" s="85"/>
      <c r="N338" s="85"/>
      <c r="O338" s="85"/>
      <c r="P338" s="85"/>
    </row>
    <row r="339">
      <c r="A339" s="89"/>
      <c r="B339" s="89"/>
      <c r="C339" s="90"/>
      <c r="D339" s="91"/>
      <c r="E339" s="91"/>
      <c r="F339" s="91"/>
      <c r="G339" s="91"/>
      <c r="H339" s="85"/>
      <c r="I339" s="85"/>
      <c r="J339" s="85"/>
      <c r="K339" s="85"/>
      <c r="L339" s="85"/>
      <c r="M339" s="85"/>
      <c r="N339" s="85"/>
      <c r="O339" s="85"/>
      <c r="P339" s="85"/>
    </row>
    <row r="340">
      <c r="A340" s="89"/>
      <c r="B340" s="89"/>
      <c r="C340" s="90"/>
      <c r="D340" s="91"/>
      <c r="E340" s="91"/>
      <c r="F340" s="91"/>
      <c r="G340" s="91"/>
      <c r="H340" s="85"/>
      <c r="I340" s="85"/>
      <c r="J340" s="85"/>
      <c r="K340" s="85"/>
      <c r="L340" s="85"/>
      <c r="M340" s="85"/>
      <c r="N340" s="85"/>
      <c r="O340" s="85"/>
      <c r="P340" s="85"/>
    </row>
    <row r="341">
      <c r="A341" s="89"/>
      <c r="B341" s="89"/>
      <c r="C341" s="90"/>
      <c r="D341" s="91"/>
      <c r="E341" s="91"/>
      <c r="F341" s="91"/>
      <c r="G341" s="91"/>
      <c r="H341" s="85"/>
      <c r="I341" s="85"/>
      <c r="J341" s="85"/>
      <c r="K341" s="85"/>
      <c r="L341" s="85"/>
      <c r="M341" s="85"/>
      <c r="N341" s="85"/>
      <c r="O341" s="85"/>
      <c r="P341" s="85"/>
    </row>
    <row r="342">
      <c r="A342" s="89"/>
      <c r="B342" s="89"/>
      <c r="C342" s="90"/>
      <c r="D342" s="91"/>
      <c r="E342" s="91"/>
      <c r="F342" s="91"/>
      <c r="G342" s="91"/>
      <c r="H342" s="85"/>
      <c r="I342" s="85"/>
      <c r="J342" s="85"/>
      <c r="K342" s="85"/>
      <c r="L342" s="85"/>
      <c r="M342" s="85"/>
      <c r="N342" s="85"/>
      <c r="O342" s="85"/>
      <c r="P342" s="85"/>
    </row>
    <row r="343">
      <c r="A343" s="89"/>
      <c r="B343" s="89"/>
      <c r="C343" s="90"/>
      <c r="D343" s="91"/>
      <c r="E343" s="91"/>
      <c r="F343" s="91"/>
      <c r="G343" s="91"/>
      <c r="H343" s="85"/>
      <c r="I343" s="85"/>
      <c r="J343" s="85"/>
      <c r="K343" s="85"/>
      <c r="L343" s="85"/>
      <c r="M343" s="85"/>
      <c r="N343" s="85"/>
      <c r="O343" s="85"/>
      <c r="P343" s="85"/>
    </row>
    <row r="344">
      <c r="A344" s="89"/>
      <c r="B344" s="89"/>
      <c r="C344" s="90"/>
      <c r="D344" s="91"/>
      <c r="E344" s="91"/>
      <c r="F344" s="91"/>
      <c r="G344" s="91"/>
      <c r="H344" s="85"/>
      <c r="I344" s="85"/>
      <c r="J344" s="85"/>
      <c r="K344" s="85"/>
      <c r="L344" s="85"/>
      <c r="M344" s="85"/>
      <c r="N344" s="85"/>
      <c r="O344" s="85"/>
      <c r="P344" s="85"/>
    </row>
    <row r="345">
      <c r="A345" s="89"/>
      <c r="B345" s="89"/>
      <c r="C345" s="90"/>
      <c r="D345" s="91"/>
      <c r="E345" s="91"/>
      <c r="F345" s="91"/>
      <c r="G345" s="91"/>
      <c r="H345" s="85"/>
      <c r="I345" s="85"/>
      <c r="J345" s="85"/>
      <c r="K345" s="85"/>
      <c r="L345" s="85"/>
      <c r="M345" s="85"/>
      <c r="N345" s="85"/>
      <c r="O345" s="85"/>
      <c r="P345" s="85"/>
    </row>
    <row r="346">
      <c r="A346" s="89"/>
      <c r="B346" s="89"/>
      <c r="C346" s="90"/>
      <c r="D346" s="91"/>
      <c r="E346" s="91"/>
      <c r="F346" s="91"/>
      <c r="G346" s="91"/>
      <c r="H346" s="85"/>
      <c r="I346" s="85"/>
      <c r="J346" s="85"/>
      <c r="K346" s="85"/>
      <c r="L346" s="85"/>
      <c r="M346" s="85"/>
      <c r="N346" s="85"/>
      <c r="O346" s="85"/>
      <c r="P346" s="85"/>
    </row>
    <row r="347">
      <c r="A347" s="89"/>
      <c r="B347" s="89"/>
      <c r="C347" s="90"/>
      <c r="D347" s="91"/>
      <c r="E347" s="91"/>
      <c r="F347" s="91"/>
      <c r="G347" s="91"/>
      <c r="H347" s="85"/>
      <c r="I347" s="85"/>
      <c r="J347" s="85"/>
      <c r="K347" s="85"/>
      <c r="L347" s="85"/>
      <c r="M347" s="85"/>
      <c r="N347" s="85"/>
      <c r="O347" s="85"/>
      <c r="P347" s="85"/>
    </row>
    <row r="348">
      <c r="A348" s="89"/>
      <c r="B348" s="89"/>
      <c r="C348" s="90"/>
      <c r="D348" s="91"/>
      <c r="E348" s="91"/>
      <c r="F348" s="91"/>
      <c r="G348" s="91"/>
      <c r="H348" s="85"/>
      <c r="I348" s="85"/>
      <c r="J348" s="85"/>
      <c r="K348" s="85"/>
      <c r="L348" s="85"/>
      <c r="M348" s="85"/>
      <c r="N348" s="85"/>
      <c r="O348" s="85"/>
      <c r="P348" s="85"/>
    </row>
    <row r="349">
      <c r="A349" s="89"/>
      <c r="B349" s="89"/>
      <c r="C349" s="90"/>
      <c r="D349" s="91"/>
      <c r="E349" s="91"/>
      <c r="F349" s="91"/>
      <c r="G349" s="91"/>
      <c r="H349" s="85"/>
      <c r="I349" s="85"/>
      <c r="J349" s="85"/>
      <c r="K349" s="85"/>
      <c r="L349" s="85"/>
      <c r="M349" s="85"/>
      <c r="N349" s="85"/>
      <c r="O349" s="85"/>
      <c r="P349" s="85"/>
    </row>
    <row r="350">
      <c r="A350" s="89"/>
      <c r="B350" s="89"/>
      <c r="C350" s="90"/>
      <c r="D350" s="91"/>
      <c r="E350" s="91"/>
      <c r="F350" s="91"/>
      <c r="G350" s="91"/>
      <c r="H350" s="85"/>
      <c r="I350" s="85"/>
      <c r="J350" s="85"/>
      <c r="K350" s="85"/>
      <c r="L350" s="85"/>
      <c r="M350" s="85"/>
      <c r="N350" s="85"/>
      <c r="O350" s="85"/>
      <c r="P350" s="85"/>
    </row>
    <row r="351">
      <c r="A351" s="89"/>
      <c r="B351" s="89"/>
      <c r="C351" s="90"/>
      <c r="D351" s="91"/>
      <c r="E351" s="91"/>
      <c r="F351" s="91"/>
      <c r="G351" s="91"/>
      <c r="H351" s="85"/>
      <c r="I351" s="85"/>
      <c r="J351" s="85"/>
      <c r="K351" s="85"/>
      <c r="L351" s="85"/>
      <c r="M351" s="85"/>
      <c r="N351" s="85"/>
      <c r="O351" s="85"/>
      <c r="P351" s="85"/>
    </row>
    <row r="352">
      <c r="A352" s="89"/>
      <c r="B352" s="89"/>
      <c r="C352" s="90"/>
      <c r="D352" s="91"/>
      <c r="E352" s="91"/>
      <c r="F352" s="91"/>
      <c r="G352" s="91"/>
      <c r="H352" s="85"/>
      <c r="I352" s="85"/>
      <c r="J352" s="85"/>
      <c r="K352" s="85"/>
      <c r="L352" s="85"/>
      <c r="M352" s="85"/>
      <c r="N352" s="85"/>
      <c r="O352" s="85"/>
      <c r="P352" s="85"/>
    </row>
    <row r="353">
      <c r="A353" s="89"/>
      <c r="B353" s="89"/>
      <c r="C353" s="90"/>
      <c r="D353" s="91"/>
      <c r="E353" s="91"/>
      <c r="F353" s="91"/>
      <c r="G353" s="91"/>
      <c r="H353" s="85"/>
      <c r="I353" s="85"/>
      <c r="J353" s="85"/>
      <c r="K353" s="85"/>
      <c r="L353" s="85"/>
      <c r="M353" s="85"/>
      <c r="N353" s="85"/>
      <c r="O353" s="85"/>
      <c r="P353" s="85"/>
    </row>
    <row r="354">
      <c r="A354" s="89"/>
      <c r="B354" s="89"/>
      <c r="C354" s="90"/>
      <c r="D354" s="91"/>
      <c r="E354" s="91"/>
      <c r="F354" s="91"/>
      <c r="G354" s="91"/>
      <c r="H354" s="85"/>
      <c r="I354" s="85"/>
      <c r="J354" s="85"/>
      <c r="K354" s="85"/>
      <c r="L354" s="85"/>
      <c r="M354" s="85"/>
      <c r="N354" s="85"/>
      <c r="O354" s="85"/>
      <c r="P354" s="85"/>
    </row>
    <row r="355">
      <c r="A355" s="89"/>
      <c r="B355" s="89"/>
      <c r="C355" s="90"/>
      <c r="D355" s="91"/>
      <c r="E355" s="91"/>
      <c r="F355" s="91"/>
      <c r="G355" s="91"/>
      <c r="H355" s="85"/>
      <c r="I355" s="85"/>
      <c r="J355" s="85"/>
      <c r="K355" s="85"/>
      <c r="L355" s="85"/>
      <c r="M355" s="85"/>
      <c r="N355" s="85"/>
      <c r="O355" s="85"/>
      <c r="P355" s="85"/>
    </row>
    <row r="356">
      <c r="A356" s="89"/>
      <c r="B356" s="89"/>
      <c r="C356" s="90"/>
      <c r="D356" s="91"/>
      <c r="E356" s="91"/>
      <c r="F356" s="91"/>
      <c r="G356" s="91"/>
      <c r="H356" s="85"/>
      <c r="I356" s="85"/>
      <c r="J356" s="85"/>
      <c r="K356" s="85"/>
      <c r="L356" s="85"/>
      <c r="M356" s="85"/>
      <c r="N356" s="85"/>
      <c r="O356" s="85"/>
      <c r="P356" s="85"/>
    </row>
    <row r="357">
      <c r="A357" s="89"/>
      <c r="B357" s="89"/>
      <c r="C357" s="90"/>
      <c r="D357" s="91"/>
      <c r="E357" s="91"/>
      <c r="F357" s="91"/>
      <c r="G357" s="91"/>
      <c r="H357" s="85"/>
      <c r="I357" s="85"/>
      <c r="J357" s="85"/>
      <c r="K357" s="85"/>
      <c r="L357" s="85"/>
      <c r="M357" s="85"/>
      <c r="N357" s="85"/>
      <c r="O357" s="85"/>
      <c r="P357" s="85"/>
    </row>
    <row r="358">
      <c r="A358" s="89"/>
      <c r="B358" s="89"/>
      <c r="C358" s="90"/>
      <c r="D358" s="91"/>
      <c r="E358" s="91"/>
      <c r="F358" s="91"/>
      <c r="G358" s="91"/>
      <c r="H358" s="85"/>
      <c r="I358" s="85"/>
      <c r="J358" s="85"/>
      <c r="K358" s="85"/>
      <c r="L358" s="85"/>
      <c r="M358" s="85"/>
      <c r="N358" s="85"/>
      <c r="O358" s="85"/>
      <c r="P358" s="85"/>
    </row>
    <row r="359">
      <c r="A359" s="89"/>
      <c r="B359" s="89"/>
      <c r="C359" s="90"/>
      <c r="D359" s="91"/>
      <c r="E359" s="91"/>
      <c r="F359" s="91"/>
      <c r="G359" s="91"/>
      <c r="H359" s="85"/>
      <c r="I359" s="85"/>
      <c r="J359" s="85"/>
      <c r="K359" s="85"/>
      <c r="L359" s="85"/>
      <c r="M359" s="85"/>
      <c r="N359" s="85"/>
      <c r="O359" s="85"/>
      <c r="P359" s="85"/>
    </row>
    <row r="360">
      <c r="A360" s="89"/>
      <c r="B360" s="89"/>
      <c r="C360" s="90"/>
      <c r="D360" s="91"/>
      <c r="E360" s="91"/>
      <c r="F360" s="91"/>
      <c r="G360" s="91"/>
      <c r="H360" s="85"/>
      <c r="I360" s="85"/>
      <c r="J360" s="85"/>
      <c r="K360" s="85"/>
      <c r="L360" s="85"/>
      <c r="M360" s="85"/>
      <c r="N360" s="85"/>
      <c r="O360" s="85"/>
      <c r="P360" s="85"/>
    </row>
    <row r="361">
      <c r="A361" s="89"/>
      <c r="B361" s="89"/>
      <c r="C361" s="90"/>
      <c r="D361" s="91"/>
      <c r="E361" s="91"/>
      <c r="F361" s="91"/>
      <c r="G361" s="91"/>
      <c r="H361" s="85"/>
      <c r="I361" s="85"/>
      <c r="J361" s="85"/>
      <c r="K361" s="85"/>
      <c r="L361" s="85"/>
      <c r="M361" s="85"/>
      <c r="N361" s="85"/>
      <c r="O361" s="85"/>
      <c r="P361" s="85"/>
    </row>
    <row r="362">
      <c r="A362" s="89"/>
      <c r="B362" s="89"/>
      <c r="C362" s="90"/>
      <c r="D362" s="91"/>
      <c r="E362" s="91"/>
      <c r="F362" s="91"/>
      <c r="G362" s="91"/>
      <c r="H362" s="85"/>
      <c r="I362" s="85"/>
      <c r="J362" s="85"/>
      <c r="K362" s="85"/>
      <c r="L362" s="85"/>
      <c r="M362" s="85"/>
      <c r="N362" s="85"/>
      <c r="O362" s="85"/>
      <c r="P362" s="85"/>
    </row>
    <row r="363">
      <c r="A363" s="89"/>
      <c r="B363" s="89"/>
      <c r="C363" s="90"/>
      <c r="D363" s="91"/>
      <c r="E363" s="91"/>
      <c r="F363" s="91"/>
      <c r="G363" s="91"/>
      <c r="H363" s="85"/>
      <c r="I363" s="85"/>
      <c r="J363" s="85"/>
      <c r="K363" s="85"/>
      <c r="L363" s="85"/>
      <c r="M363" s="85"/>
      <c r="N363" s="85"/>
      <c r="O363" s="85"/>
      <c r="P363" s="85"/>
    </row>
    <row r="364">
      <c r="A364" s="89"/>
      <c r="B364" s="89"/>
      <c r="C364" s="90"/>
      <c r="D364" s="91"/>
      <c r="E364" s="91"/>
      <c r="F364" s="91"/>
      <c r="G364" s="91"/>
      <c r="H364" s="85"/>
      <c r="I364" s="85"/>
      <c r="J364" s="85"/>
      <c r="K364" s="85"/>
      <c r="L364" s="85"/>
      <c r="M364" s="85"/>
      <c r="N364" s="85"/>
      <c r="O364" s="85"/>
      <c r="P364" s="85"/>
    </row>
    <row r="365">
      <c r="A365" s="89"/>
      <c r="B365" s="89"/>
      <c r="C365" s="90"/>
      <c r="D365" s="91"/>
      <c r="E365" s="91"/>
      <c r="F365" s="91"/>
      <c r="G365" s="91"/>
      <c r="H365" s="85"/>
      <c r="I365" s="85"/>
      <c r="J365" s="85"/>
      <c r="K365" s="85"/>
      <c r="L365" s="85"/>
      <c r="M365" s="85"/>
      <c r="N365" s="85"/>
      <c r="O365" s="85"/>
      <c r="P365" s="85"/>
    </row>
    <row r="366">
      <c r="A366" s="89"/>
      <c r="B366" s="89"/>
      <c r="C366" s="90"/>
      <c r="D366" s="91"/>
      <c r="E366" s="91"/>
      <c r="F366" s="91"/>
      <c r="G366" s="91"/>
      <c r="H366" s="85"/>
      <c r="I366" s="85"/>
      <c r="J366" s="85"/>
      <c r="K366" s="85"/>
      <c r="L366" s="85"/>
      <c r="M366" s="85"/>
      <c r="N366" s="85"/>
      <c r="O366" s="85"/>
      <c r="P366" s="85"/>
    </row>
    <row r="367">
      <c r="A367" s="89"/>
      <c r="B367" s="89"/>
      <c r="C367" s="90"/>
      <c r="D367" s="91"/>
      <c r="E367" s="91"/>
      <c r="F367" s="91"/>
      <c r="G367" s="91"/>
      <c r="H367" s="85"/>
      <c r="I367" s="85"/>
      <c r="J367" s="85"/>
      <c r="K367" s="85"/>
      <c r="L367" s="85"/>
      <c r="M367" s="85"/>
      <c r="N367" s="85"/>
      <c r="O367" s="85"/>
      <c r="P367" s="85"/>
    </row>
    <row r="368">
      <c r="A368" s="89"/>
      <c r="B368" s="89"/>
      <c r="C368" s="90"/>
      <c r="D368" s="91"/>
      <c r="E368" s="91"/>
      <c r="F368" s="91"/>
      <c r="G368" s="91"/>
      <c r="H368" s="85"/>
      <c r="I368" s="85"/>
      <c r="J368" s="85"/>
      <c r="K368" s="85"/>
      <c r="L368" s="85"/>
      <c r="M368" s="85"/>
      <c r="N368" s="85"/>
      <c r="O368" s="85"/>
      <c r="P368" s="85"/>
    </row>
    <row r="369">
      <c r="A369" s="89"/>
      <c r="B369" s="89"/>
      <c r="C369" s="90"/>
      <c r="D369" s="91"/>
      <c r="E369" s="91"/>
      <c r="F369" s="91"/>
      <c r="G369" s="91"/>
      <c r="H369" s="85"/>
      <c r="I369" s="85"/>
      <c r="J369" s="85"/>
      <c r="K369" s="85"/>
      <c r="L369" s="85"/>
      <c r="M369" s="85"/>
      <c r="N369" s="85"/>
      <c r="O369" s="85"/>
      <c r="P369" s="85"/>
    </row>
    <row r="370">
      <c r="A370" s="89"/>
      <c r="B370" s="89"/>
      <c r="C370" s="90"/>
      <c r="D370" s="91"/>
      <c r="E370" s="91"/>
      <c r="F370" s="91"/>
      <c r="G370" s="91"/>
      <c r="H370" s="85"/>
      <c r="I370" s="85"/>
      <c r="J370" s="85"/>
      <c r="K370" s="85"/>
      <c r="L370" s="85"/>
      <c r="M370" s="85"/>
      <c r="N370" s="85"/>
      <c r="O370" s="85"/>
      <c r="P370" s="85"/>
    </row>
    <row r="371">
      <c r="A371" s="89"/>
      <c r="B371" s="89"/>
      <c r="C371" s="90"/>
      <c r="D371" s="91"/>
      <c r="E371" s="91"/>
      <c r="F371" s="91"/>
      <c r="G371" s="91"/>
      <c r="H371" s="85"/>
      <c r="I371" s="85"/>
      <c r="J371" s="85"/>
      <c r="K371" s="85"/>
      <c r="L371" s="85"/>
      <c r="M371" s="85"/>
      <c r="N371" s="85"/>
      <c r="O371" s="85"/>
      <c r="P371" s="85"/>
    </row>
    <row r="372">
      <c r="A372" s="89"/>
      <c r="B372" s="89"/>
      <c r="C372" s="90"/>
      <c r="D372" s="91"/>
      <c r="E372" s="91"/>
      <c r="F372" s="91"/>
      <c r="G372" s="91"/>
      <c r="H372" s="85"/>
      <c r="I372" s="85"/>
      <c r="J372" s="85"/>
      <c r="K372" s="85"/>
      <c r="L372" s="85"/>
      <c r="M372" s="85"/>
      <c r="N372" s="85"/>
      <c r="O372" s="85"/>
      <c r="P372" s="85"/>
    </row>
    <row r="373">
      <c r="A373" s="89"/>
      <c r="B373" s="89"/>
      <c r="C373" s="90"/>
      <c r="D373" s="91"/>
      <c r="E373" s="91"/>
      <c r="F373" s="91"/>
      <c r="G373" s="91"/>
      <c r="H373" s="85"/>
      <c r="I373" s="85"/>
      <c r="J373" s="85"/>
      <c r="K373" s="85"/>
      <c r="L373" s="85"/>
      <c r="M373" s="85"/>
      <c r="N373" s="85"/>
      <c r="O373" s="85"/>
      <c r="P373" s="85"/>
    </row>
    <row r="374">
      <c r="A374" s="89"/>
      <c r="B374" s="89"/>
      <c r="C374" s="90"/>
      <c r="D374" s="91"/>
      <c r="E374" s="91"/>
      <c r="F374" s="91"/>
      <c r="G374" s="91"/>
      <c r="H374" s="85"/>
      <c r="I374" s="85"/>
      <c r="J374" s="85"/>
      <c r="K374" s="85"/>
      <c r="L374" s="85"/>
      <c r="M374" s="85"/>
      <c r="N374" s="85"/>
      <c r="O374" s="85"/>
      <c r="P374" s="85"/>
    </row>
    <row r="375">
      <c r="A375" s="89"/>
      <c r="B375" s="89"/>
      <c r="C375" s="90"/>
      <c r="D375" s="91"/>
      <c r="E375" s="91"/>
      <c r="F375" s="91"/>
      <c r="G375" s="91"/>
      <c r="H375" s="85"/>
      <c r="I375" s="85"/>
      <c r="J375" s="85"/>
      <c r="K375" s="85"/>
      <c r="L375" s="85"/>
      <c r="M375" s="85"/>
      <c r="N375" s="85"/>
      <c r="O375" s="85"/>
      <c r="P375" s="85"/>
    </row>
    <row r="376">
      <c r="A376" s="89"/>
      <c r="B376" s="89"/>
      <c r="C376" s="90"/>
      <c r="D376" s="91"/>
      <c r="E376" s="91"/>
      <c r="F376" s="91"/>
      <c r="G376" s="91"/>
      <c r="H376" s="85"/>
      <c r="I376" s="85"/>
      <c r="J376" s="85"/>
      <c r="K376" s="85"/>
      <c r="L376" s="85"/>
      <c r="M376" s="85"/>
      <c r="N376" s="85"/>
      <c r="O376" s="85"/>
      <c r="P376" s="85"/>
    </row>
    <row r="377">
      <c r="A377" s="89"/>
      <c r="B377" s="89"/>
      <c r="C377" s="90"/>
      <c r="D377" s="91"/>
      <c r="E377" s="91"/>
      <c r="F377" s="91"/>
      <c r="G377" s="91"/>
      <c r="H377" s="85"/>
      <c r="I377" s="85"/>
      <c r="J377" s="85"/>
      <c r="K377" s="85"/>
      <c r="L377" s="85"/>
      <c r="M377" s="85"/>
      <c r="N377" s="85"/>
      <c r="O377" s="85"/>
      <c r="P377" s="85"/>
    </row>
    <row r="378">
      <c r="A378" s="89"/>
      <c r="B378" s="89"/>
      <c r="C378" s="90"/>
      <c r="D378" s="91"/>
      <c r="E378" s="91"/>
      <c r="F378" s="91"/>
      <c r="G378" s="91"/>
      <c r="H378" s="85"/>
      <c r="I378" s="85"/>
      <c r="J378" s="85"/>
      <c r="K378" s="85"/>
      <c r="L378" s="85"/>
      <c r="M378" s="85"/>
      <c r="N378" s="85"/>
      <c r="O378" s="85"/>
      <c r="P378" s="85"/>
    </row>
    <row r="379">
      <c r="A379" s="89"/>
      <c r="B379" s="89"/>
      <c r="C379" s="90"/>
      <c r="D379" s="91"/>
      <c r="E379" s="91"/>
      <c r="F379" s="91"/>
      <c r="G379" s="91"/>
      <c r="H379" s="85"/>
      <c r="I379" s="85"/>
      <c r="J379" s="85"/>
      <c r="K379" s="85"/>
      <c r="L379" s="85"/>
      <c r="M379" s="85"/>
      <c r="N379" s="85"/>
      <c r="O379" s="85"/>
      <c r="P379" s="85"/>
    </row>
    <row r="380">
      <c r="A380" s="89"/>
      <c r="B380" s="89"/>
      <c r="C380" s="90"/>
      <c r="D380" s="91"/>
      <c r="E380" s="91"/>
      <c r="F380" s="91"/>
      <c r="G380" s="91"/>
      <c r="H380" s="85"/>
      <c r="I380" s="85"/>
      <c r="J380" s="85"/>
      <c r="K380" s="85"/>
      <c r="L380" s="85"/>
      <c r="M380" s="85"/>
      <c r="N380" s="85"/>
      <c r="O380" s="85"/>
      <c r="P380" s="85"/>
    </row>
    <row r="381">
      <c r="A381" s="89"/>
      <c r="B381" s="89"/>
      <c r="C381" s="90"/>
      <c r="D381" s="91"/>
      <c r="E381" s="91"/>
      <c r="F381" s="91"/>
      <c r="G381" s="91"/>
      <c r="H381" s="85"/>
      <c r="I381" s="85"/>
      <c r="J381" s="85"/>
      <c r="K381" s="85"/>
      <c r="L381" s="85"/>
      <c r="M381" s="85"/>
      <c r="N381" s="85"/>
      <c r="O381" s="85"/>
      <c r="P381" s="85"/>
    </row>
    <row r="382">
      <c r="A382" s="89"/>
      <c r="B382" s="89"/>
      <c r="C382" s="90"/>
      <c r="D382" s="91"/>
      <c r="E382" s="91"/>
      <c r="F382" s="91"/>
      <c r="G382" s="91"/>
      <c r="H382" s="85"/>
      <c r="I382" s="85"/>
      <c r="J382" s="85"/>
      <c r="K382" s="85"/>
      <c r="L382" s="85"/>
      <c r="M382" s="85"/>
      <c r="N382" s="85"/>
      <c r="O382" s="85"/>
      <c r="P382" s="85"/>
    </row>
    <row r="383">
      <c r="A383" s="89"/>
      <c r="B383" s="89"/>
      <c r="C383" s="90"/>
      <c r="D383" s="91"/>
      <c r="E383" s="91"/>
      <c r="F383" s="91"/>
      <c r="G383" s="91"/>
      <c r="H383" s="85"/>
      <c r="I383" s="85"/>
      <c r="J383" s="85"/>
      <c r="K383" s="85"/>
      <c r="L383" s="85"/>
      <c r="M383" s="85"/>
      <c r="N383" s="85"/>
      <c r="O383" s="85"/>
      <c r="P383" s="85"/>
    </row>
    <row r="384">
      <c r="A384" s="89"/>
      <c r="B384" s="89"/>
      <c r="C384" s="90"/>
      <c r="D384" s="91"/>
      <c r="E384" s="91"/>
      <c r="F384" s="91"/>
      <c r="G384" s="91"/>
      <c r="H384" s="85"/>
      <c r="I384" s="85"/>
      <c r="J384" s="85"/>
      <c r="K384" s="85"/>
      <c r="L384" s="85"/>
      <c r="M384" s="85"/>
      <c r="N384" s="85"/>
      <c r="O384" s="85"/>
      <c r="P384" s="85"/>
    </row>
    <row r="385">
      <c r="A385" s="89"/>
      <c r="B385" s="89"/>
      <c r="C385" s="90"/>
      <c r="D385" s="91"/>
      <c r="E385" s="91"/>
      <c r="F385" s="91"/>
      <c r="G385" s="91"/>
      <c r="H385" s="85"/>
      <c r="I385" s="85"/>
      <c r="J385" s="85"/>
      <c r="K385" s="85"/>
      <c r="L385" s="85"/>
      <c r="M385" s="85"/>
      <c r="N385" s="85"/>
      <c r="O385" s="85"/>
      <c r="P385" s="85"/>
    </row>
    <row r="386">
      <c r="A386" s="89"/>
      <c r="B386" s="89"/>
      <c r="C386" s="90"/>
      <c r="D386" s="91"/>
      <c r="E386" s="91"/>
      <c r="F386" s="91"/>
      <c r="G386" s="91"/>
      <c r="H386" s="85"/>
      <c r="I386" s="85"/>
      <c r="J386" s="85"/>
      <c r="K386" s="85"/>
      <c r="L386" s="85"/>
      <c r="M386" s="85"/>
      <c r="N386" s="85"/>
      <c r="O386" s="85"/>
      <c r="P386" s="85"/>
    </row>
    <row r="387">
      <c r="A387" s="89"/>
      <c r="B387" s="89"/>
      <c r="C387" s="90"/>
      <c r="D387" s="91"/>
      <c r="E387" s="91"/>
      <c r="F387" s="91"/>
      <c r="G387" s="91"/>
      <c r="H387" s="85"/>
      <c r="I387" s="85"/>
      <c r="J387" s="85"/>
      <c r="K387" s="85"/>
      <c r="L387" s="85"/>
      <c r="M387" s="85"/>
      <c r="N387" s="85"/>
      <c r="O387" s="85"/>
      <c r="P387" s="85"/>
    </row>
    <row r="388">
      <c r="A388" s="89"/>
      <c r="B388" s="89"/>
      <c r="C388" s="90"/>
      <c r="D388" s="91"/>
      <c r="E388" s="91"/>
      <c r="F388" s="91"/>
      <c r="G388" s="91"/>
      <c r="H388" s="85"/>
      <c r="I388" s="85"/>
      <c r="J388" s="85"/>
      <c r="K388" s="85"/>
      <c r="L388" s="85"/>
      <c r="M388" s="85"/>
      <c r="N388" s="85"/>
      <c r="O388" s="85"/>
      <c r="P388" s="85"/>
    </row>
    <row r="389">
      <c r="A389" s="89"/>
      <c r="B389" s="89"/>
      <c r="C389" s="90"/>
      <c r="D389" s="91"/>
      <c r="E389" s="91"/>
      <c r="F389" s="91"/>
      <c r="G389" s="91"/>
      <c r="H389" s="85"/>
      <c r="I389" s="85"/>
      <c r="J389" s="85"/>
      <c r="K389" s="85"/>
      <c r="L389" s="85"/>
      <c r="M389" s="85"/>
      <c r="N389" s="85"/>
      <c r="O389" s="85"/>
      <c r="P389" s="85"/>
    </row>
    <row r="390">
      <c r="A390" s="89"/>
      <c r="B390" s="89"/>
      <c r="C390" s="90"/>
      <c r="D390" s="91"/>
      <c r="E390" s="91"/>
      <c r="F390" s="91"/>
      <c r="G390" s="91"/>
      <c r="H390" s="85"/>
      <c r="I390" s="85"/>
      <c r="J390" s="85"/>
      <c r="K390" s="85"/>
      <c r="L390" s="85"/>
      <c r="M390" s="85"/>
      <c r="N390" s="85"/>
      <c r="O390" s="85"/>
      <c r="P390" s="85"/>
    </row>
    <row r="391">
      <c r="A391" s="89"/>
      <c r="B391" s="89"/>
      <c r="C391" s="90"/>
      <c r="D391" s="91"/>
      <c r="E391" s="91"/>
      <c r="F391" s="91"/>
      <c r="G391" s="91"/>
      <c r="H391" s="85"/>
      <c r="I391" s="85"/>
      <c r="J391" s="85"/>
      <c r="K391" s="85"/>
      <c r="L391" s="85"/>
      <c r="M391" s="85"/>
      <c r="N391" s="85"/>
      <c r="O391" s="85"/>
      <c r="P391" s="85"/>
    </row>
    <row r="392">
      <c r="A392" s="89"/>
      <c r="B392" s="89"/>
      <c r="C392" s="90"/>
      <c r="D392" s="91"/>
      <c r="E392" s="91"/>
      <c r="F392" s="91"/>
      <c r="G392" s="91"/>
      <c r="H392" s="85"/>
      <c r="I392" s="85"/>
      <c r="J392" s="85"/>
      <c r="K392" s="85"/>
      <c r="L392" s="85"/>
      <c r="M392" s="85"/>
      <c r="N392" s="85"/>
      <c r="O392" s="85"/>
      <c r="P392" s="85"/>
    </row>
    <row r="393">
      <c r="A393" s="89"/>
      <c r="B393" s="89"/>
      <c r="C393" s="90"/>
      <c r="D393" s="91"/>
      <c r="E393" s="91"/>
      <c r="F393" s="91"/>
      <c r="G393" s="91"/>
      <c r="H393" s="85"/>
      <c r="I393" s="85"/>
      <c r="J393" s="85"/>
      <c r="K393" s="85"/>
      <c r="L393" s="85"/>
      <c r="M393" s="85"/>
      <c r="N393" s="85"/>
      <c r="O393" s="85"/>
      <c r="P393" s="85"/>
    </row>
    <row r="394">
      <c r="A394" s="89"/>
      <c r="B394" s="89"/>
      <c r="C394" s="90"/>
      <c r="D394" s="91"/>
      <c r="E394" s="91"/>
      <c r="F394" s="91"/>
      <c r="G394" s="91"/>
      <c r="H394" s="85"/>
      <c r="I394" s="85"/>
      <c r="J394" s="85"/>
      <c r="K394" s="85"/>
      <c r="L394" s="85"/>
      <c r="M394" s="85"/>
      <c r="N394" s="85"/>
      <c r="O394" s="85"/>
      <c r="P394" s="85"/>
    </row>
    <row r="395">
      <c r="A395" s="89"/>
      <c r="B395" s="89"/>
      <c r="C395" s="90"/>
      <c r="D395" s="91"/>
      <c r="E395" s="91"/>
      <c r="F395" s="91"/>
      <c r="G395" s="91"/>
      <c r="H395" s="85"/>
      <c r="I395" s="85"/>
      <c r="J395" s="85"/>
      <c r="K395" s="85"/>
      <c r="L395" s="85"/>
      <c r="M395" s="85"/>
      <c r="N395" s="85"/>
      <c r="O395" s="85"/>
      <c r="P395" s="85"/>
    </row>
    <row r="396">
      <c r="A396" s="89"/>
      <c r="B396" s="89"/>
      <c r="C396" s="90"/>
      <c r="D396" s="91"/>
      <c r="E396" s="91"/>
      <c r="F396" s="91"/>
      <c r="G396" s="91"/>
      <c r="H396" s="85"/>
      <c r="I396" s="85"/>
      <c r="J396" s="85"/>
      <c r="K396" s="85"/>
      <c r="L396" s="85"/>
      <c r="M396" s="85"/>
      <c r="N396" s="85"/>
      <c r="O396" s="85"/>
      <c r="P396" s="85"/>
    </row>
    <row r="397">
      <c r="A397" s="89"/>
      <c r="B397" s="89"/>
      <c r="C397" s="90"/>
      <c r="D397" s="91"/>
      <c r="E397" s="91"/>
      <c r="F397" s="91"/>
      <c r="G397" s="91"/>
      <c r="H397" s="85"/>
      <c r="I397" s="85"/>
      <c r="J397" s="85"/>
      <c r="K397" s="85"/>
      <c r="L397" s="85"/>
      <c r="M397" s="85"/>
      <c r="N397" s="85"/>
      <c r="O397" s="85"/>
      <c r="P397" s="85"/>
    </row>
    <row r="398">
      <c r="A398" s="89"/>
      <c r="B398" s="89"/>
      <c r="C398" s="90"/>
      <c r="D398" s="91"/>
      <c r="E398" s="91"/>
      <c r="F398" s="91"/>
      <c r="G398" s="91"/>
      <c r="H398" s="85"/>
      <c r="I398" s="85"/>
      <c r="J398" s="85"/>
      <c r="K398" s="85"/>
      <c r="L398" s="85"/>
      <c r="M398" s="85"/>
      <c r="N398" s="85"/>
      <c r="O398" s="85"/>
      <c r="P398" s="85"/>
    </row>
    <row r="399">
      <c r="A399" s="89"/>
      <c r="B399" s="89"/>
      <c r="C399" s="90"/>
      <c r="D399" s="91"/>
      <c r="E399" s="91"/>
      <c r="F399" s="91"/>
      <c r="G399" s="91"/>
      <c r="H399" s="85"/>
      <c r="I399" s="85"/>
      <c r="J399" s="85"/>
      <c r="K399" s="85"/>
      <c r="L399" s="85"/>
      <c r="M399" s="85"/>
      <c r="N399" s="85"/>
      <c r="O399" s="85"/>
      <c r="P399" s="85"/>
    </row>
    <row r="400">
      <c r="A400" s="89"/>
      <c r="B400" s="89"/>
      <c r="C400" s="90"/>
      <c r="D400" s="91"/>
      <c r="E400" s="91"/>
      <c r="F400" s="91"/>
      <c r="G400" s="91"/>
      <c r="H400" s="85"/>
      <c r="I400" s="85"/>
      <c r="J400" s="85"/>
      <c r="K400" s="85"/>
      <c r="L400" s="85"/>
      <c r="M400" s="85"/>
      <c r="N400" s="85"/>
      <c r="O400" s="85"/>
      <c r="P400" s="85"/>
    </row>
    <row r="401">
      <c r="A401" s="89"/>
      <c r="B401" s="89"/>
      <c r="C401" s="90"/>
      <c r="D401" s="91"/>
      <c r="E401" s="91"/>
      <c r="F401" s="91"/>
      <c r="G401" s="91"/>
      <c r="H401" s="85"/>
      <c r="I401" s="85"/>
      <c r="J401" s="85"/>
      <c r="K401" s="85"/>
      <c r="L401" s="85"/>
      <c r="M401" s="85"/>
      <c r="N401" s="85"/>
      <c r="O401" s="85"/>
      <c r="P401" s="85"/>
    </row>
    <row r="402">
      <c r="A402" s="89"/>
      <c r="B402" s="89"/>
      <c r="C402" s="90"/>
      <c r="D402" s="91"/>
      <c r="E402" s="91"/>
      <c r="F402" s="91"/>
      <c r="G402" s="91"/>
      <c r="H402" s="85"/>
      <c r="I402" s="85"/>
      <c r="J402" s="85"/>
      <c r="K402" s="85"/>
      <c r="L402" s="85"/>
      <c r="M402" s="85"/>
      <c r="N402" s="85"/>
      <c r="O402" s="85"/>
      <c r="P402" s="85"/>
    </row>
    <row r="403">
      <c r="A403" s="89"/>
      <c r="B403" s="89"/>
      <c r="C403" s="90"/>
      <c r="D403" s="91"/>
      <c r="E403" s="91"/>
      <c r="F403" s="91"/>
      <c r="G403" s="91"/>
      <c r="H403" s="85"/>
      <c r="I403" s="85"/>
      <c r="J403" s="85"/>
      <c r="K403" s="85"/>
      <c r="L403" s="85"/>
      <c r="M403" s="85"/>
      <c r="N403" s="85"/>
      <c r="O403" s="85"/>
      <c r="P403" s="85"/>
    </row>
    <row r="404">
      <c r="A404" s="89"/>
      <c r="B404" s="89"/>
      <c r="C404" s="90"/>
      <c r="D404" s="91"/>
      <c r="E404" s="91"/>
      <c r="F404" s="91"/>
      <c r="G404" s="91"/>
      <c r="H404" s="85"/>
      <c r="I404" s="85"/>
      <c r="J404" s="85"/>
      <c r="K404" s="85"/>
      <c r="L404" s="85"/>
      <c r="M404" s="85"/>
      <c r="N404" s="85"/>
      <c r="O404" s="85"/>
      <c r="P404" s="85"/>
    </row>
    <row r="405">
      <c r="A405" s="89"/>
      <c r="B405" s="89"/>
      <c r="C405" s="90"/>
      <c r="D405" s="91"/>
      <c r="E405" s="91"/>
      <c r="F405" s="91"/>
      <c r="G405" s="91"/>
      <c r="H405" s="85"/>
      <c r="I405" s="85"/>
      <c r="J405" s="85"/>
      <c r="K405" s="85"/>
      <c r="L405" s="85"/>
      <c r="M405" s="85"/>
      <c r="N405" s="85"/>
      <c r="O405" s="85"/>
      <c r="P405" s="85"/>
    </row>
    <row r="406">
      <c r="A406" s="89"/>
      <c r="B406" s="89"/>
      <c r="C406" s="90"/>
      <c r="D406" s="91"/>
      <c r="E406" s="91"/>
      <c r="F406" s="91"/>
      <c r="G406" s="91"/>
      <c r="H406" s="85"/>
      <c r="I406" s="85"/>
      <c r="J406" s="85"/>
      <c r="K406" s="85"/>
      <c r="L406" s="85"/>
      <c r="M406" s="85"/>
      <c r="N406" s="85"/>
      <c r="O406" s="85"/>
      <c r="P406" s="85"/>
    </row>
    <row r="407">
      <c r="A407" s="89"/>
      <c r="B407" s="89"/>
      <c r="C407" s="90"/>
      <c r="D407" s="91"/>
      <c r="E407" s="91"/>
      <c r="F407" s="91"/>
      <c r="G407" s="91"/>
      <c r="H407" s="85"/>
      <c r="I407" s="85"/>
      <c r="J407" s="85"/>
      <c r="K407" s="85"/>
      <c r="L407" s="85"/>
      <c r="M407" s="85"/>
      <c r="N407" s="85"/>
      <c r="O407" s="85"/>
      <c r="P407" s="85"/>
    </row>
    <row r="408">
      <c r="A408" s="89"/>
      <c r="B408" s="89"/>
      <c r="C408" s="90"/>
      <c r="D408" s="91"/>
      <c r="E408" s="91"/>
      <c r="F408" s="91"/>
      <c r="G408" s="91"/>
      <c r="H408" s="85"/>
      <c r="I408" s="85"/>
      <c r="J408" s="85"/>
      <c r="K408" s="85"/>
      <c r="L408" s="85"/>
      <c r="M408" s="85"/>
      <c r="N408" s="85"/>
      <c r="O408" s="85"/>
      <c r="P408" s="85"/>
    </row>
    <row r="409">
      <c r="A409" s="89"/>
      <c r="B409" s="89"/>
      <c r="C409" s="90"/>
      <c r="D409" s="91"/>
      <c r="E409" s="91"/>
      <c r="F409" s="91"/>
      <c r="G409" s="91"/>
      <c r="H409" s="85"/>
      <c r="I409" s="85"/>
      <c r="J409" s="85"/>
      <c r="K409" s="85"/>
      <c r="L409" s="85"/>
      <c r="M409" s="85"/>
      <c r="N409" s="85"/>
      <c r="O409" s="85"/>
      <c r="P409" s="85"/>
    </row>
    <row r="410">
      <c r="A410" s="89"/>
      <c r="B410" s="89"/>
      <c r="C410" s="90"/>
      <c r="D410" s="91"/>
      <c r="E410" s="91"/>
      <c r="F410" s="91"/>
      <c r="G410" s="91"/>
      <c r="H410" s="85"/>
      <c r="I410" s="85"/>
      <c r="J410" s="85"/>
      <c r="K410" s="85"/>
      <c r="L410" s="85"/>
      <c r="M410" s="85"/>
      <c r="N410" s="85"/>
      <c r="O410" s="85"/>
      <c r="P410" s="85"/>
    </row>
    <row r="411">
      <c r="A411" s="89"/>
      <c r="B411" s="89"/>
      <c r="C411" s="90"/>
      <c r="D411" s="91"/>
      <c r="E411" s="91"/>
      <c r="F411" s="91"/>
      <c r="G411" s="91"/>
      <c r="H411" s="85"/>
      <c r="I411" s="85"/>
      <c r="J411" s="85"/>
      <c r="K411" s="85"/>
      <c r="L411" s="85"/>
      <c r="M411" s="85"/>
      <c r="N411" s="85"/>
      <c r="O411" s="85"/>
      <c r="P411" s="85"/>
    </row>
    <row r="412">
      <c r="A412" s="89"/>
      <c r="B412" s="89"/>
      <c r="C412" s="90"/>
      <c r="D412" s="91"/>
      <c r="E412" s="91"/>
      <c r="F412" s="91"/>
      <c r="G412" s="91"/>
      <c r="H412" s="85"/>
      <c r="I412" s="85"/>
      <c r="J412" s="85"/>
      <c r="K412" s="85"/>
      <c r="L412" s="85"/>
      <c r="M412" s="85"/>
      <c r="N412" s="85"/>
      <c r="O412" s="85"/>
      <c r="P412" s="85"/>
    </row>
    <row r="413">
      <c r="A413" s="89"/>
      <c r="B413" s="89"/>
      <c r="C413" s="90"/>
      <c r="D413" s="91"/>
      <c r="E413" s="91"/>
      <c r="F413" s="91"/>
      <c r="G413" s="91"/>
      <c r="H413" s="85"/>
      <c r="I413" s="85"/>
      <c r="J413" s="85"/>
      <c r="K413" s="85"/>
      <c r="L413" s="85"/>
      <c r="M413" s="85"/>
      <c r="N413" s="85"/>
      <c r="O413" s="85"/>
      <c r="P413" s="85"/>
    </row>
    <row r="414">
      <c r="A414" s="89"/>
      <c r="B414" s="89"/>
      <c r="C414" s="90"/>
      <c r="D414" s="91"/>
      <c r="E414" s="91"/>
      <c r="F414" s="91"/>
      <c r="G414" s="91"/>
      <c r="H414" s="85"/>
      <c r="I414" s="85"/>
      <c r="J414" s="85"/>
      <c r="K414" s="85"/>
      <c r="L414" s="85"/>
      <c r="M414" s="85"/>
      <c r="N414" s="85"/>
      <c r="O414" s="85"/>
      <c r="P414" s="85"/>
    </row>
    <row r="415">
      <c r="A415" s="89"/>
      <c r="B415" s="89"/>
      <c r="C415" s="90"/>
      <c r="D415" s="91"/>
      <c r="E415" s="91"/>
      <c r="F415" s="91"/>
      <c r="G415" s="91"/>
      <c r="H415" s="85"/>
      <c r="I415" s="85"/>
      <c r="J415" s="85"/>
      <c r="K415" s="85"/>
      <c r="L415" s="85"/>
      <c r="M415" s="85"/>
      <c r="N415" s="85"/>
      <c r="O415" s="85"/>
      <c r="P415" s="85"/>
    </row>
    <row r="416">
      <c r="A416" s="89"/>
      <c r="B416" s="89"/>
      <c r="C416" s="90"/>
      <c r="D416" s="91"/>
      <c r="E416" s="91"/>
      <c r="F416" s="91"/>
      <c r="G416" s="91"/>
      <c r="H416" s="85"/>
      <c r="I416" s="85"/>
      <c r="J416" s="85"/>
      <c r="K416" s="85"/>
      <c r="L416" s="85"/>
      <c r="M416" s="85"/>
      <c r="N416" s="85"/>
      <c r="O416" s="85"/>
      <c r="P416" s="85"/>
    </row>
    <row r="417">
      <c r="A417" s="89"/>
      <c r="B417" s="89"/>
      <c r="C417" s="90"/>
      <c r="D417" s="91"/>
      <c r="E417" s="91"/>
      <c r="F417" s="91"/>
      <c r="G417" s="91"/>
      <c r="H417" s="85"/>
      <c r="I417" s="85"/>
      <c r="J417" s="85"/>
      <c r="K417" s="85"/>
      <c r="L417" s="85"/>
      <c r="M417" s="85"/>
      <c r="N417" s="85"/>
      <c r="O417" s="85"/>
      <c r="P417" s="85"/>
    </row>
    <row r="418">
      <c r="A418" s="89"/>
      <c r="B418" s="89"/>
      <c r="C418" s="90"/>
      <c r="D418" s="91"/>
      <c r="E418" s="91"/>
      <c r="F418" s="91"/>
      <c r="G418" s="91"/>
      <c r="H418" s="85"/>
      <c r="I418" s="85"/>
      <c r="J418" s="85"/>
      <c r="K418" s="85"/>
      <c r="L418" s="85"/>
      <c r="M418" s="85"/>
      <c r="N418" s="85"/>
      <c r="O418" s="85"/>
      <c r="P418" s="85"/>
    </row>
    <row r="419">
      <c r="A419" s="89"/>
      <c r="B419" s="89"/>
      <c r="C419" s="90"/>
      <c r="D419" s="91"/>
      <c r="E419" s="91"/>
      <c r="F419" s="91"/>
      <c r="G419" s="91"/>
      <c r="H419" s="85"/>
      <c r="I419" s="85"/>
      <c r="J419" s="85"/>
      <c r="K419" s="85"/>
      <c r="L419" s="85"/>
      <c r="M419" s="85"/>
      <c r="N419" s="85"/>
      <c r="O419" s="85"/>
      <c r="P419" s="85"/>
    </row>
    <row r="420">
      <c r="A420" s="89"/>
      <c r="B420" s="89"/>
      <c r="C420" s="90"/>
      <c r="D420" s="91"/>
      <c r="E420" s="91"/>
      <c r="F420" s="91"/>
      <c r="G420" s="91"/>
      <c r="H420" s="85"/>
      <c r="I420" s="85"/>
      <c r="J420" s="85"/>
      <c r="K420" s="85"/>
      <c r="L420" s="85"/>
      <c r="M420" s="85"/>
      <c r="N420" s="85"/>
      <c r="O420" s="85"/>
      <c r="P420" s="85"/>
    </row>
    <row r="421">
      <c r="A421" s="89"/>
      <c r="B421" s="89"/>
      <c r="C421" s="90"/>
      <c r="D421" s="91"/>
      <c r="E421" s="91"/>
      <c r="F421" s="91"/>
      <c r="G421" s="91"/>
      <c r="H421" s="85"/>
      <c r="I421" s="85"/>
      <c r="J421" s="85"/>
      <c r="K421" s="85"/>
      <c r="L421" s="85"/>
      <c r="M421" s="85"/>
      <c r="N421" s="85"/>
      <c r="O421" s="85"/>
      <c r="P421" s="85"/>
    </row>
    <row r="422">
      <c r="A422" s="89"/>
      <c r="B422" s="89"/>
      <c r="C422" s="90"/>
      <c r="D422" s="91"/>
      <c r="E422" s="91"/>
      <c r="F422" s="91"/>
      <c r="G422" s="91"/>
      <c r="H422" s="85"/>
      <c r="I422" s="85"/>
      <c r="J422" s="85"/>
      <c r="K422" s="85"/>
      <c r="L422" s="85"/>
      <c r="M422" s="85"/>
      <c r="N422" s="85"/>
      <c r="O422" s="85"/>
      <c r="P422" s="85"/>
    </row>
    <row r="423">
      <c r="A423" s="89"/>
      <c r="B423" s="89"/>
      <c r="C423" s="90"/>
      <c r="D423" s="91"/>
      <c r="E423" s="91"/>
      <c r="F423" s="91"/>
      <c r="G423" s="91"/>
      <c r="H423" s="85"/>
      <c r="I423" s="85"/>
      <c r="J423" s="85"/>
      <c r="K423" s="85"/>
      <c r="L423" s="85"/>
      <c r="M423" s="85"/>
      <c r="N423" s="85"/>
      <c r="O423" s="85"/>
      <c r="P423" s="85"/>
    </row>
    <row r="424">
      <c r="A424" s="89"/>
      <c r="B424" s="89"/>
      <c r="C424" s="90"/>
      <c r="D424" s="91"/>
      <c r="E424" s="91"/>
      <c r="F424" s="91"/>
      <c r="G424" s="91"/>
      <c r="H424" s="85"/>
      <c r="I424" s="85"/>
      <c r="J424" s="85"/>
      <c r="K424" s="85"/>
      <c r="L424" s="85"/>
      <c r="M424" s="85"/>
      <c r="N424" s="85"/>
      <c r="O424" s="85"/>
      <c r="P424" s="85"/>
    </row>
    <row r="425">
      <c r="A425" s="89"/>
      <c r="B425" s="89"/>
      <c r="C425" s="90"/>
      <c r="D425" s="91"/>
      <c r="E425" s="91"/>
      <c r="F425" s="91"/>
      <c r="G425" s="91"/>
      <c r="H425" s="85"/>
      <c r="I425" s="85"/>
      <c r="J425" s="85"/>
      <c r="K425" s="85"/>
      <c r="L425" s="85"/>
      <c r="M425" s="85"/>
      <c r="N425" s="85"/>
      <c r="O425" s="85"/>
      <c r="P425" s="85"/>
    </row>
    <row r="426">
      <c r="A426" s="89"/>
      <c r="B426" s="89"/>
      <c r="C426" s="90"/>
      <c r="D426" s="91"/>
      <c r="E426" s="91"/>
      <c r="F426" s="91"/>
      <c r="G426" s="91"/>
      <c r="H426" s="85"/>
      <c r="I426" s="85"/>
      <c r="J426" s="85"/>
      <c r="K426" s="85"/>
      <c r="L426" s="85"/>
      <c r="M426" s="85"/>
      <c r="N426" s="85"/>
      <c r="O426" s="85"/>
      <c r="P426" s="85"/>
    </row>
    <row r="427">
      <c r="A427" s="89"/>
      <c r="B427" s="89"/>
      <c r="C427" s="90"/>
      <c r="D427" s="91"/>
      <c r="E427" s="91"/>
      <c r="F427" s="91"/>
      <c r="G427" s="91"/>
      <c r="H427" s="85"/>
      <c r="I427" s="85"/>
      <c r="J427" s="85"/>
      <c r="K427" s="85"/>
      <c r="L427" s="85"/>
      <c r="M427" s="85"/>
      <c r="N427" s="85"/>
      <c r="O427" s="85"/>
      <c r="P427" s="85"/>
    </row>
    <row r="428">
      <c r="A428" s="89"/>
      <c r="B428" s="89"/>
      <c r="C428" s="90"/>
      <c r="D428" s="91"/>
      <c r="E428" s="91"/>
      <c r="F428" s="91"/>
      <c r="G428" s="91"/>
      <c r="H428" s="85"/>
      <c r="I428" s="85"/>
      <c r="J428" s="85"/>
      <c r="K428" s="85"/>
      <c r="L428" s="85"/>
      <c r="M428" s="85"/>
      <c r="N428" s="85"/>
      <c r="O428" s="85"/>
      <c r="P428" s="85"/>
    </row>
    <row r="429">
      <c r="A429" s="89"/>
      <c r="B429" s="89"/>
      <c r="C429" s="90"/>
      <c r="D429" s="91"/>
      <c r="E429" s="91"/>
      <c r="F429" s="91"/>
      <c r="G429" s="91"/>
      <c r="H429" s="85"/>
      <c r="I429" s="85"/>
      <c r="J429" s="85"/>
      <c r="K429" s="85"/>
      <c r="L429" s="85"/>
      <c r="M429" s="85"/>
      <c r="N429" s="85"/>
      <c r="O429" s="85"/>
      <c r="P429" s="85"/>
    </row>
    <row r="430">
      <c r="A430" s="89"/>
      <c r="B430" s="89"/>
      <c r="C430" s="90"/>
      <c r="D430" s="91"/>
      <c r="E430" s="91"/>
      <c r="F430" s="91"/>
      <c r="G430" s="91"/>
      <c r="H430" s="85"/>
      <c r="I430" s="85"/>
      <c r="J430" s="85"/>
      <c r="K430" s="85"/>
      <c r="L430" s="85"/>
      <c r="M430" s="85"/>
      <c r="N430" s="85"/>
      <c r="O430" s="85"/>
      <c r="P430" s="85"/>
    </row>
    <row r="431">
      <c r="A431" s="89"/>
      <c r="B431" s="89"/>
      <c r="C431" s="90"/>
      <c r="D431" s="91"/>
      <c r="E431" s="91"/>
      <c r="F431" s="91"/>
      <c r="G431" s="91"/>
      <c r="H431" s="85"/>
      <c r="I431" s="85"/>
      <c r="J431" s="85"/>
      <c r="K431" s="85"/>
      <c r="L431" s="85"/>
      <c r="M431" s="85"/>
      <c r="N431" s="85"/>
      <c r="O431" s="85"/>
      <c r="P431" s="85"/>
    </row>
    <row r="432">
      <c r="A432" s="89"/>
      <c r="B432" s="89"/>
      <c r="C432" s="90"/>
      <c r="D432" s="91"/>
      <c r="E432" s="91"/>
      <c r="F432" s="91"/>
      <c r="G432" s="91"/>
      <c r="H432" s="85"/>
      <c r="I432" s="85"/>
      <c r="J432" s="85"/>
      <c r="K432" s="85"/>
      <c r="L432" s="85"/>
      <c r="M432" s="85"/>
      <c r="N432" s="85"/>
      <c r="O432" s="85"/>
      <c r="P432" s="85"/>
    </row>
    <row r="433">
      <c r="A433" s="89"/>
      <c r="B433" s="89"/>
      <c r="C433" s="90"/>
      <c r="D433" s="91"/>
      <c r="E433" s="91"/>
      <c r="F433" s="91"/>
      <c r="G433" s="91"/>
      <c r="H433" s="85"/>
      <c r="I433" s="85"/>
      <c r="J433" s="85"/>
      <c r="K433" s="85"/>
      <c r="L433" s="85"/>
      <c r="M433" s="85"/>
      <c r="N433" s="85"/>
      <c r="O433" s="85"/>
      <c r="P433" s="85"/>
    </row>
    <row r="434">
      <c r="A434" s="89"/>
      <c r="B434" s="89"/>
      <c r="C434" s="90"/>
      <c r="D434" s="91"/>
      <c r="E434" s="91"/>
      <c r="F434" s="91"/>
      <c r="G434" s="91"/>
      <c r="H434" s="85"/>
      <c r="I434" s="85"/>
      <c r="J434" s="85"/>
      <c r="K434" s="85"/>
      <c r="L434" s="85"/>
      <c r="M434" s="85"/>
      <c r="N434" s="85"/>
      <c r="O434" s="85"/>
      <c r="P434" s="85"/>
    </row>
    <row r="435">
      <c r="A435" s="89"/>
      <c r="B435" s="89"/>
      <c r="C435" s="90"/>
      <c r="D435" s="91"/>
      <c r="E435" s="91"/>
      <c r="F435" s="91"/>
      <c r="G435" s="91"/>
      <c r="H435" s="85"/>
      <c r="I435" s="85"/>
      <c r="J435" s="85"/>
      <c r="K435" s="85"/>
      <c r="L435" s="85"/>
      <c r="M435" s="85"/>
      <c r="N435" s="85"/>
      <c r="O435" s="85"/>
      <c r="P435" s="85"/>
    </row>
    <row r="436">
      <c r="A436" s="89"/>
      <c r="B436" s="89"/>
      <c r="C436" s="90"/>
      <c r="D436" s="91"/>
      <c r="E436" s="91"/>
      <c r="F436" s="91"/>
      <c r="G436" s="91"/>
      <c r="H436" s="85"/>
      <c r="I436" s="85"/>
      <c r="J436" s="85"/>
      <c r="K436" s="85"/>
      <c r="L436" s="85"/>
      <c r="M436" s="85"/>
      <c r="N436" s="85"/>
      <c r="O436" s="85"/>
      <c r="P436" s="85"/>
    </row>
    <row r="437">
      <c r="A437" s="89"/>
      <c r="B437" s="89"/>
      <c r="C437" s="90"/>
      <c r="D437" s="91"/>
      <c r="E437" s="91"/>
      <c r="F437" s="91"/>
      <c r="G437" s="91"/>
      <c r="H437" s="85"/>
      <c r="I437" s="85"/>
      <c r="J437" s="85"/>
      <c r="K437" s="85"/>
      <c r="L437" s="85"/>
      <c r="M437" s="85"/>
      <c r="N437" s="85"/>
      <c r="O437" s="85"/>
      <c r="P437" s="85"/>
    </row>
    <row r="438">
      <c r="A438" s="89"/>
      <c r="B438" s="89"/>
      <c r="C438" s="90"/>
      <c r="D438" s="91"/>
      <c r="E438" s="91"/>
      <c r="F438" s="91"/>
      <c r="G438" s="91"/>
      <c r="H438" s="85"/>
      <c r="I438" s="85"/>
      <c r="J438" s="85"/>
      <c r="K438" s="85"/>
      <c r="L438" s="85"/>
      <c r="M438" s="85"/>
      <c r="N438" s="85"/>
      <c r="O438" s="85"/>
      <c r="P438" s="85"/>
    </row>
    <row r="439">
      <c r="A439" s="89"/>
      <c r="B439" s="89"/>
      <c r="C439" s="90"/>
      <c r="D439" s="91"/>
      <c r="E439" s="91"/>
      <c r="F439" s="91"/>
      <c r="G439" s="91"/>
      <c r="H439" s="85"/>
      <c r="I439" s="85"/>
      <c r="J439" s="85"/>
      <c r="K439" s="85"/>
      <c r="L439" s="85"/>
      <c r="M439" s="85"/>
      <c r="N439" s="85"/>
      <c r="O439" s="85"/>
      <c r="P439" s="85"/>
    </row>
    <row r="440">
      <c r="A440" s="89"/>
      <c r="B440" s="89"/>
      <c r="C440" s="90"/>
      <c r="D440" s="91"/>
      <c r="E440" s="91"/>
      <c r="F440" s="91"/>
      <c r="G440" s="91"/>
      <c r="H440" s="85"/>
      <c r="I440" s="85"/>
      <c r="J440" s="85"/>
      <c r="K440" s="85"/>
      <c r="L440" s="85"/>
      <c r="M440" s="85"/>
      <c r="N440" s="85"/>
      <c r="O440" s="85"/>
      <c r="P440" s="85"/>
    </row>
    <row r="441">
      <c r="A441" s="89"/>
      <c r="B441" s="89"/>
      <c r="C441" s="90"/>
      <c r="D441" s="91"/>
      <c r="E441" s="91"/>
      <c r="F441" s="91"/>
      <c r="G441" s="91"/>
      <c r="H441" s="85"/>
      <c r="I441" s="85"/>
      <c r="J441" s="85"/>
      <c r="K441" s="85"/>
      <c r="L441" s="85"/>
      <c r="M441" s="85"/>
      <c r="N441" s="85"/>
      <c r="O441" s="85"/>
      <c r="P441" s="85"/>
    </row>
    <row r="442">
      <c r="A442" s="89"/>
      <c r="B442" s="89"/>
      <c r="C442" s="90"/>
      <c r="D442" s="91"/>
      <c r="E442" s="91"/>
      <c r="F442" s="91"/>
      <c r="G442" s="91"/>
      <c r="H442" s="85"/>
      <c r="I442" s="85"/>
      <c r="J442" s="85"/>
      <c r="K442" s="85"/>
      <c r="L442" s="85"/>
      <c r="M442" s="85"/>
      <c r="N442" s="85"/>
      <c r="O442" s="85"/>
      <c r="P442" s="85"/>
    </row>
    <row r="443">
      <c r="A443" s="89"/>
      <c r="B443" s="89"/>
      <c r="C443" s="90"/>
      <c r="D443" s="91"/>
      <c r="E443" s="91"/>
      <c r="F443" s="91"/>
      <c r="G443" s="91"/>
      <c r="H443" s="85"/>
      <c r="I443" s="85"/>
      <c r="J443" s="85"/>
      <c r="K443" s="85"/>
      <c r="L443" s="85"/>
      <c r="M443" s="85"/>
      <c r="N443" s="85"/>
      <c r="O443" s="85"/>
      <c r="P443" s="85"/>
    </row>
    <row r="444">
      <c r="A444" s="89"/>
      <c r="B444" s="89"/>
      <c r="C444" s="90"/>
      <c r="D444" s="91"/>
      <c r="E444" s="91"/>
      <c r="F444" s="91"/>
      <c r="G444" s="91"/>
      <c r="H444" s="85"/>
      <c r="I444" s="85"/>
      <c r="J444" s="85"/>
      <c r="K444" s="85"/>
      <c r="L444" s="85"/>
      <c r="M444" s="85"/>
      <c r="N444" s="85"/>
      <c r="O444" s="85"/>
      <c r="P444" s="85"/>
    </row>
    <row r="445">
      <c r="A445" s="89"/>
      <c r="B445" s="89"/>
      <c r="C445" s="90"/>
      <c r="D445" s="91"/>
      <c r="E445" s="91"/>
      <c r="F445" s="91"/>
      <c r="G445" s="91"/>
      <c r="H445" s="85"/>
      <c r="I445" s="85"/>
      <c r="J445" s="85"/>
      <c r="K445" s="85"/>
      <c r="L445" s="85"/>
      <c r="M445" s="85"/>
      <c r="N445" s="85"/>
      <c r="O445" s="85"/>
      <c r="P445" s="85"/>
    </row>
    <row r="446">
      <c r="A446" s="89"/>
      <c r="B446" s="89"/>
      <c r="C446" s="90"/>
      <c r="D446" s="91"/>
      <c r="E446" s="91"/>
      <c r="F446" s="91"/>
      <c r="G446" s="91"/>
      <c r="H446" s="85"/>
      <c r="I446" s="85"/>
      <c r="J446" s="85"/>
      <c r="K446" s="85"/>
      <c r="L446" s="85"/>
      <c r="M446" s="85"/>
      <c r="N446" s="85"/>
      <c r="O446" s="85"/>
      <c r="P446" s="85"/>
    </row>
    <row r="447">
      <c r="A447" s="89"/>
      <c r="B447" s="89"/>
      <c r="C447" s="90"/>
      <c r="D447" s="91"/>
      <c r="E447" s="91"/>
      <c r="F447" s="91"/>
      <c r="G447" s="91"/>
      <c r="H447" s="85"/>
      <c r="I447" s="85"/>
      <c r="J447" s="85"/>
      <c r="K447" s="85"/>
      <c r="L447" s="85"/>
      <c r="M447" s="85"/>
      <c r="N447" s="85"/>
      <c r="O447" s="85"/>
      <c r="P447" s="85"/>
    </row>
    <row r="448">
      <c r="A448" s="89"/>
      <c r="B448" s="89"/>
      <c r="C448" s="90"/>
      <c r="D448" s="91"/>
      <c r="E448" s="91"/>
      <c r="F448" s="91"/>
      <c r="G448" s="91"/>
      <c r="H448" s="85"/>
      <c r="I448" s="85"/>
      <c r="J448" s="85"/>
      <c r="K448" s="85"/>
      <c r="L448" s="85"/>
      <c r="M448" s="85"/>
      <c r="N448" s="85"/>
      <c r="O448" s="85"/>
      <c r="P448" s="85"/>
    </row>
    <row r="449">
      <c r="A449" s="89"/>
      <c r="B449" s="89"/>
      <c r="C449" s="90"/>
      <c r="D449" s="91"/>
      <c r="E449" s="91"/>
      <c r="F449" s="91"/>
      <c r="G449" s="91"/>
      <c r="H449" s="85"/>
      <c r="I449" s="85"/>
      <c r="J449" s="85"/>
      <c r="K449" s="85"/>
      <c r="L449" s="85"/>
      <c r="M449" s="85"/>
      <c r="N449" s="85"/>
      <c r="O449" s="85"/>
      <c r="P449" s="85"/>
    </row>
    <row r="450">
      <c r="A450" s="89"/>
      <c r="B450" s="89"/>
      <c r="C450" s="90"/>
      <c r="D450" s="91"/>
      <c r="E450" s="91"/>
      <c r="F450" s="91"/>
      <c r="G450" s="91"/>
      <c r="H450" s="85"/>
      <c r="I450" s="85"/>
      <c r="J450" s="85"/>
      <c r="K450" s="85"/>
      <c r="L450" s="85"/>
      <c r="M450" s="85"/>
      <c r="N450" s="85"/>
      <c r="O450" s="85"/>
      <c r="P450" s="85"/>
    </row>
    <row r="451">
      <c r="A451" s="89"/>
      <c r="B451" s="89"/>
      <c r="C451" s="90"/>
      <c r="D451" s="91"/>
      <c r="E451" s="91"/>
      <c r="F451" s="91"/>
      <c r="G451" s="91"/>
      <c r="H451" s="85"/>
      <c r="I451" s="85"/>
      <c r="J451" s="85"/>
      <c r="K451" s="85"/>
      <c r="L451" s="85"/>
      <c r="M451" s="85"/>
      <c r="N451" s="85"/>
      <c r="O451" s="85"/>
      <c r="P451" s="85"/>
    </row>
    <row r="452">
      <c r="A452" s="89"/>
      <c r="B452" s="89"/>
      <c r="C452" s="90"/>
      <c r="D452" s="91"/>
      <c r="E452" s="91"/>
      <c r="F452" s="91"/>
      <c r="G452" s="91"/>
      <c r="H452" s="85"/>
      <c r="I452" s="85"/>
      <c r="J452" s="85"/>
      <c r="K452" s="85"/>
      <c r="L452" s="85"/>
      <c r="M452" s="85"/>
      <c r="N452" s="85"/>
      <c r="O452" s="85"/>
      <c r="P452" s="85"/>
    </row>
    <row r="453">
      <c r="A453" s="89"/>
      <c r="B453" s="89"/>
      <c r="C453" s="90"/>
      <c r="D453" s="91"/>
      <c r="E453" s="91"/>
      <c r="F453" s="91"/>
      <c r="G453" s="91"/>
      <c r="H453" s="85"/>
      <c r="I453" s="85"/>
      <c r="J453" s="85"/>
      <c r="K453" s="85"/>
      <c r="L453" s="85"/>
      <c r="M453" s="85"/>
      <c r="N453" s="85"/>
      <c r="O453" s="85"/>
      <c r="P453" s="85"/>
    </row>
    <row r="454">
      <c r="A454" s="89"/>
      <c r="B454" s="89"/>
      <c r="C454" s="90"/>
      <c r="D454" s="91"/>
      <c r="E454" s="91"/>
      <c r="F454" s="91"/>
      <c r="G454" s="91"/>
      <c r="H454" s="85"/>
      <c r="I454" s="85"/>
      <c r="J454" s="85"/>
      <c r="K454" s="85"/>
      <c r="L454" s="85"/>
      <c r="M454" s="85"/>
      <c r="N454" s="85"/>
      <c r="O454" s="85"/>
      <c r="P454" s="85"/>
    </row>
    <row r="455">
      <c r="A455" s="89"/>
      <c r="B455" s="89"/>
      <c r="C455" s="90"/>
      <c r="D455" s="91"/>
      <c r="E455" s="91"/>
      <c r="F455" s="91"/>
      <c r="G455" s="91"/>
      <c r="H455" s="85"/>
      <c r="I455" s="85"/>
      <c r="J455" s="85"/>
      <c r="K455" s="85"/>
      <c r="L455" s="85"/>
      <c r="M455" s="85"/>
      <c r="N455" s="85"/>
      <c r="O455" s="85"/>
      <c r="P455" s="85"/>
    </row>
    <row r="456">
      <c r="A456" s="89"/>
      <c r="B456" s="89"/>
      <c r="C456" s="90"/>
      <c r="D456" s="91"/>
      <c r="E456" s="91"/>
      <c r="F456" s="91"/>
      <c r="G456" s="91"/>
      <c r="H456" s="85"/>
      <c r="I456" s="85"/>
      <c r="J456" s="85"/>
      <c r="K456" s="85"/>
      <c r="L456" s="85"/>
      <c r="M456" s="85"/>
      <c r="N456" s="85"/>
      <c r="O456" s="85"/>
      <c r="P456" s="85"/>
    </row>
    <row r="457">
      <c r="A457" s="89"/>
      <c r="B457" s="89"/>
      <c r="C457" s="90"/>
      <c r="D457" s="91"/>
      <c r="E457" s="91"/>
      <c r="F457" s="91"/>
      <c r="G457" s="91"/>
      <c r="H457" s="85"/>
      <c r="I457" s="85"/>
      <c r="J457" s="85"/>
      <c r="K457" s="85"/>
      <c r="L457" s="85"/>
      <c r="M457" s="85"/>
      <c r="N457" s="85"/>
      <c r="O457" s="85"/>
      <c r="P457" s="85"/>
    </row>
    <row r="458">
      <c r="A458" s="89"/>
      <c r="B458" s="89"/>
      <c r="C458" s="90"/>
      <c r="D458" s="91"/>
      <c r="E458" s="91"/>
      <c r="F458" s="91"/>
      <c r="G458" s="91"/>
      <c r="H458" s="85"/>
      <c r="I458" s="85"/>
      <c r="J458" s="85"/>
      <c r="K458" s="85"/>
      <c r="L458" s="85"/>
      <c r="M458" s="85"/>
      <c r="N458" s="85"/>
      <c r="O458" s="85"/>
      <c r="P458" s="85"/>
    </row>
    <row r="459">
      <c r="A459" s="89"/>
      <c r="B459" s="89"/>
      <c r="C459" s="90"/>
      <c r="D459" s="91"/>
      <c r="E459" s="91"/>
      <c r="F459" s="91"/>
      <c r="G459" s="91"/>
      <c r="H459" s="85"/>
      <c r="I459" s="85"/>
      <c r="J459" s="85"/>
      <c r="K459" s="85"/>
      <c r="L459" s="85"/>
      <c r="M459" s="85"/>
      <c r="N459" s="85"/>
      <c r="O459" s="85"/>
      <c r="P459" s="85"/>
    </row>
    <row r="460">
      <c r="A460" s="89"/>
      <c r="B460" s="89"/>
      <c r="C460" s="90"/>
      <c r="D460" s="91"/>
      <c r="E460" s="91"/>
      <c r="F460" s="91"/>
      <c r="G460" s="91"/>
      <c r="H460" s="85"/>
      <c r="I460" s="85"/>
      <c r="J460" s="85"/>
      <c r="K460" s="85"/>
      <c r="L460" s="85"/>
      <c r="M460" s="85"/>
      <c r="N460" s="85"/>
      <c r="O460" s="85"/>
      <c r="P460" s="85"/>
    </row>
    <row r="461">
      <c r="A461" s="89"/>
      <c r="B461" s="89"/>
      <c r="C461" s="90"/>
      <c r="D461" s="91"/>
      <c r="E461" s="91"/>
      <c r="F461" s="91"/>
      <c r="G461" s="91"/>
      <c r="H461" s="85"/>
      <c r="I461" s="85"/>
      <c r="J461" s="85"/>
      <c r="K461" s="85"/>
      <c r="L461" s="85"/>
      <c r="M461" s="85"/>
      <c r="N461" s="85"/>
      <c r="O461" s="85"/>
      <c r="P461" s="85"/>
    </row>
    <row r="462">
      <c r="A462" s="89"/>
      <c r="B462" s="89"/>
      <c r="C462" s="90"/>
      <c r="D462" s="91"/>
      <c r="E462" s="91"/>
      <c r="F462" s="91"/>
      <c r="G462" s="91"/>
      <c r="H462" s="85"/>
      <c r="I462" s="85"/>
      <c r="J462" s="85"/>
      <c r="K462" s="85"/>
      <c r="L462" s="85"/>
      <c r="M462" s="85"/>
      <c r="N462" s="85"/>
      <c r="O462" s="85"/>
      <c r="P462" s="85"/>
    </row>
    <row r="463">
      <c r="A463" s="89"/>
      <c r="B463" s="89"/>
      <c r="C463" s="90"/>
      <c r="D463" s="91"/>
      <c r="E463" s="91"/>
      <c r="F463" s="91"/>
      <c r="G463" s="91"/>
      <c r="H463" s="85"/>
      <c r="I463" s="85"/>
      <c r="J463" s="85"/>
      <c r="K463" s="85"/>
      <c r="L463" s="85"/>
      <c r="M463" s="85"/>
      <c r="N463" s="85"/>
      <c r="O463" s="85"/>
      <c r="P463" s="85"/>
    </row>
    <row r="464">
      <c r="A464" s="89"/>
      <c r="B464" s="89"/>
      <c r="C464" s="90"/>
      <c r="D464" s="91"/>
      <c r="E464" s="91"/>
      <c r="F464" s="91"/>
      <c r="G464" s="91"/>
      <c r="H464" s="85"/>
      <c r="I464" s="85"/>
      <c r="J464" s="85"/>
      <c r="K464" s="85"/>
      <c r="L464" s="85"/>
      <c r="M464" s="85"/>
      <c r="N464" s="85"/>
      <c r="O464" s="85"/>
      <c r="P464" s="85"/>
    </row>
    <row r="465">
      <c r="A465" s="89"/>
      <c r="B465" s="89"/>
      <c r="C465" s="90"/>
      <c r="D465" s="91"/>
      <c r="E465" s="91"/>
      <c r="F465" s="91"/>
      <c r="G465" s="91"/>
      <c r="H465" s="85"/>
      <c r="I465" s="85"/>
      <c r="J465" s="85"/>
      <c r="K465" s="85"/>
      <c r="L465" s="85"/>
      <c r="M465" s="85"/>
      <c r="N465" s="85"/>
      <c r="O465" s="85"/>
      <c r="P465" s="85"/>
    </row>
    <row r="466">
      <c r="A466" s="89"/>
      <c r="B466" s="89"/>
      <c r="C466" s="90"/>
      <c r="D466" s="91"/>
      <c r="E466" s="91"/>
      <c r="F466" s="91"/>
      <c r="G466" s="91"/>
      <c r="H466" s="85"/>
      <c r="I466" s="85"/>
      <c r="J466" s="85"/>
      <c r="K466" s="85"/>
      <c r="L466" s="85"/>
      <c r="M466" s="85"/>
      <c r="N466" s="85"/>
      <c r="O466" s="85"/>
      <c r="P466" s="85"/>
    </row>
    <row r="467">
      <c r="A467" s="89"/>
      <c r="B467" s="89"/>
      <c r="C467" s="90"/>
      <c r="D467" s="91"/>
      <c r="E467" s="91"/>
      <c r="F467" s="91"/>
      <c r="G467" s="91"/>
      <c r="H467" s="85"/>
      <c r="I467" s="85"/>
      <c r="J467" s="85"/>
      <c r="K467" s="85"/>
      <c r="L467" s="85"/>
      <c r="M467" s="85"/>
      <c r="N467" s="85"/>
      <c r="O467" s="85"/>
      <c r="P467" s="85"/>
    </row>
    <row r="468">
      <c r="A468" s="89"/>
      <c r="B468" s="89"/>
      <c r="C468" s="90"/>
      <c r="D468" s="91"/>
      <c r="E468" s="91"/>
      <c r="F468" s="91"/>
      <c r="G468" s="91"/>
      <c r="H468" s="85"/>
      <c r="I468" s="85"/>
      <c r="J468" s="85"/>
      <c r="K468" s="85"/>
      <c r="L468" s="85"/>
      <c r="M468" s="85"/>
      <c r="N468" s="85"/>
      <c r="O468" s="85"/>
      <c r="P468" s="85"/>
    </row>
    <row r="469">
      <c r="A469" s="89"/>
      <c r="B469" s="89"/>
      <c r="C469" s="90"/>
      <c r="D469" s="91"/>
      <c r="E469" s="91"/>
      <c r="F469" s="91"/>
      <c r="G469" s="91"/>
      <c r="H469" s="85"/>
      <c r="I469" s="85"/>
      <c r="J469" s="85"/>
      <c r="K469" s="85"/>
      <c r="L469" s="85"/>
      <c r="M469" s="85"/>
      <c r="N469" s="85"/>
      <c r="O469" s="85"/>
      <c r="P469" s="85"/>
    </row>
    <row r="470">
      <c r="A470" s="89"/>
      <c r="B470" s="89"/>
      <c r="C470" s="90"/>
      <c r="D470" s="91"/>
      <c r="E470" s="91"/>
      <c r="F470" s="91"/>
      <c r="G470" s="91"/>
      <c r="H470" s="85"/>
      <c r="I470" s="85"/>
      <c r="J470" s="85"/>
      <c r="K470" s="85"/>
      <c r="L470" s="85"/>
      <c r="M470" s="85"/>
      <c r="N470" s="85"/>
      <c r="O470" s="85"/>
      <c r="P470" s="85"/>
    </row>
    <row r="471">
      <c r="A471" s="89"/>
      <c r="B471" s="89"/>
      <c r="C471" s="90"/>
      <c r="D471" s="91"/>
      <c r="E471" s="91"/>
      <c r="F471" s="91"/>
      <c r="G471" s="91"/>
      <c r="H471" s="85"/>
      <c r="I471" s="85"/>
      <c r="J471" s="85"/>
      <c r="K471" s="85"/>
      <c r="L471" s="85"/>
      <c r="M471" s="85"/>
      <c r="N471" s="85"/>
      <c r="O471" s="85"/>
      <c r="P471" s="85"/>
    </row>
    <row r="472">
      <c r="A472" s="89"/>
      <c r="B472" s="89"/>
      <c r="C472" s="90"/>
      <c r="D472" s="91"/>
      <c r="E472" s="91"/>
      <c r="F472" s="91"/>
      <c r="G472" s="91"/>
      <c r="H472" s="85"/>
      <c r="I472" s="85"/>
      <c r="J472" s="85"/>
      <c r="K472" s="85"/>
      <c r="L472" s="85"/>
      <c r="M472" s="85"/>
      <c r="N472" s="85"/>
      <c r="O472" s="85"/>
      <c r="P472" s="85"/>
    </row>
    <row r="473">
      <c r="A473" s="89"/>
      <c r="B473" s="89"/>
      <c r="C473" s="90"/>
      <c r="D473" s="91"/>
      <c r="E473" s="91"/>
      <c r="F473" s="91"/>
      <c r="G473" s="91"/>
      <c r="H473" s="85"/>
      <c r="I473" s="85"/>
      <c r="J473" s="85"/>
      <c r="K473" s="85"/>
      <c r="L473" s="85"/>
      <c r="M473" s="85"/>
      <c r="N473" s="85"/>
      <c r="O473" s="85"/>
      <c r="P473" s="85"/>
    </row>
    <row r="474">
      <c r="A474" s="89"/>
      <c r="B474" s="89"/>
      <c r="C474" s="90"/>
      <c r="D474" s="91"/>
      <c r="E474" s="91"/>
      <c r="F474" s="91"/>
      <c r="G474" s="91"/>
      <c r="H474" s="85"/>
      <c r="I474" s="85"/>
      <c r="J474" s="85"/>
      <c r="K474" s="85"/>
      <c r="L474" s="85"/>
      <c r="M474" s="85"/>
      <c r="N474" s="85"/>
      <c r="O474" s="85"/>
      <c r="P474" s="85"/>
    </row>
    <row r="475">
      <c r="A475" s="89"/>
      <c r="B475" s="89"/>
      <c r="C475" s="90"/>
      <c r="D475" s="91"/>
      <c r="E475" s="91"/>
      <c r="F475" s="91"/>
      <c r="G475" s="91"/>
      <c r="H475" s="85"/>
      <c r="I475" s="85"/>
      <c r="J475" s="85"/>
      <c r="K475" s="85"/>
      <c r="L475" s="85"/>
      <c r="M475" s="85"/>
      <c r="N475" s="85"/>
      <c r="O475" s="85"/>
      <c r="P475" s="85"/>
    </row>
    <row r="476">
      <c r="A476" s="89"/>
      <c r="B476" s="89"/>
      <c r="C476" s="90"/>
      <c r="D476" s="91"/>
      <c r="E476" s="91"/>
      <c r="F476" s="91"/>
      <c r="G476" s="91"/>
      <c r="H476" s="85"/>
      <c r="I476" s="85"/>
      <c r="J476" s="85"/>
      <c r="K476" s="85"/>
      <c r="L476" s="85"/>
      <c r="M476" s="85"/>
      <c r="N476" s="85"/>
      <c r="O476" s="85"/>
      <c r="P476" s="85"/>
    </row>
    <row r="477">
      <c r="A477" s="89"/>
      <c r="B477" s="89"/>
      <c r="C477" s="90"/>
      <c r="D477" s="91"/>
      <c r="E477" s="91"/>
      <c r="F477" s="91"/>
      <c r="G477" s="91"/>
      <c r="H477" s="85"/>
      <c r="I477" s="85"/>
      <c r="J477" s="85"/>
      <c r="K477" s="85"/>
      <c r="L477" s="85"/>
      <c r="M477" s="85"/>
      <c r="N477" s="85"/>
      <c r="O477" s="85"/>
      <c r="P477" s="85"/>
    </row>
    <row r="478">
      <c r="A478" s="89"/>
      <c r="B478" s="89"/>
      <c r="C478" s="90"/>
      <c r="D478" s="91"/>
      <c r="E478" s="91"/>
      <c r="F478" s="91"/>
      <c r="G478" s="91"/>
      <c r="H478" s="85"/>
      <c r="I478" s="85"/>
      <c r="J478" s="85"/>
      <c r="K478" s="85"/>
      <c r="L478" s="85"/>
      <c r="M478" s="85"/>
      <c r="N478" s="85"/>
      <c r="O478" s="85"/>
      <c r="P478" s="85"/>
    </row>
    <row r="479">
      <c r="A479" s="89"/>
      <c r="B479" s="89"/>
      <c r="C479" s="90"/>
      <c r="D479" s="91"/>
      <c r="E479" s="91"/>
      <c r="F479" s="91"/>
      <c r="G479" s="91"/>
      <c r="H479" s="85"/>
      <c r="I479" s="85"/>
      <c r="J479" s="85"/>
      <c r="K479" s="85"/>
      <c r="L479" s="85"/>
      <c r="M479" s="85"/>
      <c r="N479" s="85"/>
      <c r="O479" s="85"/>
      <c r="P479" s="85"/>
    </row>
    <row r="480">
      <c r="A480" s="89"/>
      <c r="B480" s="89"/>
      <c r="C480" s="90"/>
      <c r="D480" s="91"/>
      <c r="E480" s="91"/>
      <c r="F480" s="91"/>
      <c r="G480" s="91"/>
      <c r="H480" s="85"/>
      <c r="I480" s="85"/>
      <c r="J480" s="85"/>
      <c r="K480" s="85"/>
      <c r="L480" s="85"/>
      <c r="M480" s="85"/>
      <c r="N480" s="85"/>
      <c r="O480" s="85"/>
      <c r="P480" s="85"/>
    </row>
    <row r="481">
      <c r="A481" s="89"/>
      <c r="B481" s="89"/>
      <c r="C481" s="90"/>
      <c r="D481" s="91"/>
      <c r="E481" s="91"/>
      <c r="F481" s="91"/>
      <c r="G481" s="91"/>
      <c r="H481" s="85"/>
      <c r="I481" s="85"/>
      <c r="J481" s="85"/>
      <c r="K481" s="85"/>
      <c r="L481" s="85"/>
      <c r="M481" s="85"/>
      <c r="N481" s="85"/>
      <c r="O481" s="85"/>
      <c r="P481" s="85"/>
    </row>
    <row r="482">
      <c r="A482" s="89"/>
      <c r="B482" s="89"/>
      <c r="C482" s="90"/>
      <c r="D482" s="91"/>
      <c r="E482" s="91"/>
      <c r="F482" s="91"/>
      <c r="G482" s="91"/>
      <c r="H482" s="85"/>
      <c r="I482" s="85"/>
      <c r="J482" s="85"/>
      <c r="K482" s="85"/>
      <c r="L482" s="85"/>
      <c r="M482" s="85"/>
      <c r="N482" s="85"/>
      <c r="O482" s="85"/>
      <c r="P482" s="85"/>
    </row>
    <row r="483">
      <c r="A483" s="89"/>
      <c r="B483" s="89"/>
      <c r="C483" s="90"/>
      <c r="D483" s="91"/>
      <c r="E483" s="91"/>
      <c r="F483" s="91"/>
      <c r="G483" s="91"/>
      <c r="H483" s="85"/>
      <c r="I483" s="85"/>
      <c r="J483" s="85"/>
      <c r="K483" s="85"/>
      <c r="L483" s="85"/>
      <c r="M483" s="85"/>
      <c r="N483" s="85"/>
      <c r="O483" s="85"/>
      <c r="P483" s="85"/>
    </row>
    <row r="484">
      <c r="A484" s="89"/>
      <c r="B484" s="89"/>
      <c r="C484" s="90"/>
      <c r="D484" s="91"/>
      <c r="E484" s="91"/>
      <c r="F484" s="91"/>
      <c r="G484" s="91"/>
      <c r="H484" s="85"/>
      <c r="I484" s="85"/>
      <c r="J484" s="85"/>
      <c r="K484" s="85"/>
      <c r="L484" s="85"/>
      <c r="M484" s="85"/>
      <c r="N484" s="85"/>
      <c r="O484" s="85"/>
      <c r="P484" s="85"/>
    </row>
    <row r="485">
      <c r="A485" s="89"/>
      <c r="B485" s="89"/>
      <c r="C485" s="90"/>
      <c r="D485" s="91"/>
      <c r="E485" s="91"/>
      <c r="F485" s="91"/>
      <c r="G485" s="91"/>
      <c r="H485" s="85"/>
      <c r="I485" s="85"/>
      <c r="J485" s="85"/>
      <c r="K485" s="85"/>
      <c r="L485" s="85"/>
      <c r="M485" s="85"/>
      <c r="N485" s="85"/>
      <c r="O485" s="85"/>
      <c r="P485" s="85"/>
    </row>
    <row r="486">
      <c r="A486" s="89"/>
      <c r="B486" s="89"/>
      <c r="C486" s="90"/>
      <c r="D486" s="91"/>
      <c r="E486" s="91"/>
      <c r="F486" s="91"/>
      <c r="G486" s="91"/>
      <c r="H486" s="85"/>
      <c r="I486" s="85"/>
      <c r="J486" s="85"/>
      <c r="K486" s="85"/>
      <c r="L486" s="85"/>
      <c r="M486" s="85"/>
      <c r="N486" s="85"/>
      <c r="O486" s="85"/>
      <c r="P486" s="85"/>
    </row>
    <row r="487">
      <c r="A487" s="89"/>
      <c r="B487" s="89"/>
      <c r="C487" s="90"/>
      <c r="D487" s="91"/>
      <c r="E487" s="91"/>
      <c r="F487" s="91"/>
      <c r="G487" s="91"/>
      <c r="H487" s="85"/>
      <c r="I487" s="85"/>
      <c r="J487" s="85"/>
      <c r="K487" s="85"/>
      <c r="L487" s="85"/>
      <c r="M487" s="85"/>
      <c r="N487" s="85"/>
      <c r="O487" s="85"/>
      <c r="P487" s="85"/>
    </row>
    <row r="488">
      <c r="A488" s="89"/>
      <c r="B488" s="89"/>
      <c r="C488" s="90"/>
      <c r="D488" s="91"/>
      <c r="E488" s="91"/>
      <c r="F488" s="91"/>
      <c r="G488" s="91"/>
      <c r="H488" s="85"/>
      <c r="I488" s="85"/>
      <c r="J488" s="85"/>
      <c r="K488" s="85"/>
      <c r="L488" s="85"/>
      <c r="M488" s="85"/>
      <c r="N488" s="85"/>
      <c r="O488" s="85"/>
      <c r="P488" s="85"/>
    </row>
    <row r="489">
      <c r="A489" s="89"/>
      <c r="B489" s="89"/>
      <c r="C489" s="90"/>
      <c r="D489" s="91"/>
      <c r="E489" s="91"/>
      <c r="F489" s="91"/>
      <c r="G489" s="91"/>
      <c r="H489" s="85"/>
      <c r="I489" s="85"/>
      <c r="J489" s="85"/>
      <c r="K489" s="85"/>
      <c r="L489" s="85"/>
      <c r="M489" s="85"/>
      <c r="N489" s="85"/>
      <c r="O489" s="85"/>
      <c r="P489" s="85"/>
    </row>
    <row r="490">
      <c r="A490" s="89"/>
      <c r="B490" s="89"/>
      <c r="C490" s="90"/>
      <c r="D490" s="91"/>
      <c r="E490" s="91"/>
      <c r="F490" s="91"/>
      <c r="G490" s="91"/>
      <c r="H490" s="85"/>
      <c r="I490" s="85"/>
      <c r="J490" s="85"/>
      <c r="K490" s="85"/>
      <c r="L490" s="85"/>
      <c r="M490" s="85"/>
      <c r="N490" s="85"/>
      <c r="O490" s="85"/>
      <c r="P490" s="85"/>
    </row>
    <row r="491">
      <c r="A491" s="89"/>
      <c r="B491" s="89"/>
      <c r="C491" s="90"/>
      <c r="D491" s="91"/>
      <c r="E491" s="91"/>
      <c r="F491" s="91"/>
      <c r="G491" s="91"/>
      <c r="H491" s="85"/>
      <c r="I491" s="85"/>
      <c r="J491" s="85"/>
      <c r="K491" s="85"/>
      <c r="L491" s="85"/>
      <c r="M491" s="85"/>
      <c r="N491" s="85"/>
      <c r="O491" s="85"/>
      <c r="P491" s="85"/>
    </row>
    <row r="492">
      <c r="A492" s="89"/>
      <c r="B492" s="89"/>
      <c r="C492" s="90"/>
      <c r="D492" s="91"/>
      <c r="E492" s="91"/>
      <c r="F492" s="91"/>
      <c r="G492" s="91"/>
      <c r="H492" s="85"/>
      <c r="I492" s="85"/>
      <c r="J492" s="85"/>
      <c r="K492" s="85"/>
      <c r="L492" s="85"/>
      <c r="M492" s="85"/>
      <c r="N492" s="85"/>
      <c r="O492" s="85"/>
      <c r="P492" s="85"/>
    </row>
    <row r="493">
      <c r="A493" s="89"/>
      <c r="B493" s="89"/>
      <c r="C493" s="90"/>
      <c r="D493" s="91"/>
      <c r="E493" s="91"/>
      <c r="F493" s="91"/>
      <c r="G493" s="91"/>
      <c r="H493" s="85"/>
      <c r="I493" s="85"/>
      <c r="J493" s="85"/>
      <c r="K493" s="85"/>
      <c r="L493" s="85"/>
      <c r="M493" s="85"/>
      <c r="N493" s="85"/>
      <c r="O493" s="85"/>
      <c r="P493" s="85"/>
    </row>
    <row r="494">
      <c r="A494" s="89"/>
      <c r="B494" s="89"/>
      <c r="C494" s="90"/>
      <c r="D494" s="91"/>
      <c r="E494" s="91"/>
      <c r="F494" s="91"/>
      <c r="G494" s="91"/>
      <c r="H494" s="85"/>
      <c r="I494" s="85"/>
      <c r="J494" s="85"/>
      <c r="K494" s="85"/>
      <c r="L494" s="85"/>
      <c r="M494" s="85"/>
      <c r="N494" s="85"/>
      <c r="O494" s="85"/>
      <c r="P494" s="85"/>
    </row>
    <row r="495">
      <c r="A495" s="89"/>
      <c r="B495" s="89"/>
      <c r="C495" s="90"/>
      <c r="D495" s="91"/>
      <c r="E495" s="91"/>
      <c r="F495" s="91"/>
      <c r="G495" s="91"/>
      <c r="H495" s="85"/>
      <c r="I495" s="85"/>
      <c r="J495" s="85"/>
      <c r="K495" s="85"/>
      <c r="L495" s="85"/>
      <c r="M495" s="85"/>
      <c r="N495" s="85"/>
      <c r="O495" s="85"/>
      <c r="P495" s="85"/>
    </row>
    <row r="496">
      <c r="A496" s="89"/>
      <c r="B496" s="89"/>
      <c r="C496" s="90"/>
      <c r="D496" s="91"/>
      <c r="E496" s="91"/>
      <c r="F496" s="91"/>
      <c r="G496" s="91"/>
      <c r="H496" s="85"/>
      <c r="I496" s="85"/>
      <c r="J496" s="85"/>
      <c r="K496" s="85"/>
      <c r="L496" s="85"/>
      <c r="M496" s="85"/>
      <c r="N496" s="85"/>
      <c r="O496" s="85"/>
      <c r="P496" s="85"/>
    </row>
    <row r="497">
      <c r="A497" s="89"/>
      <c r="B497" s="89"/>
      <c r="C497" s="90"/>
      <c r="D497" s="91"/>
      <c r="E497" s="91"/>
      <c r="F497" s="91"/>
      <c r="G497" s="91"/>
      <c r="H497" s="85"/>
      <c r="I497" s="85"/>
      <c r="J497" s="85"/>
      <c r="K497" s="85"/>
      <c r="L497" s="85"/>
      <c r="M497" s="85"/>
      <c r="N497" s="85"/>
      <c r="O497" s="85"/>
      <c r="P497" s="85"/>
    </row>
    <row r="498">
      <c r="A498" s="89"/>
      <c r="B498" s="89"/>
      <c r="C498" s="90"/>
      <c r="D498" s="91"/>
      <c r="E498" s="91"/>
      <c r="F498" s="91"/>
      <c r="G498" s="91"/>
      <c r="H498" s="85"/>
      <c r="I498" s="85"/>
      <c r="J498" s="85"/>
      <c r="K498" s="85"/>
      <c r="L498" s="85"/>
      <c r="M498" s="85"/>
      <c r="N498" s="85"/>
      <c r="O498" s="85"/>
      <c r="P498" s="85"/>
    </row>
    <row r="499">
      <c r="A499" s="89"/>
      <c r="B499" s="89"/>
      <c r="C499" s="90"/>
      <c r="D499" s="91"/>
      <c r="E499" s="91"/>
      <c r="F499" s="91"/>
      <c r="G499" s="91"/>
      <c r="H499" s="85"/>
      <c r="I499" s="85"/>
      <c r="J499" s="85"/>
      <c r="K499" s="85"/>
      <c r="L499" s="85"/>
      <c r="M499" s="85"/>
      <c r="N499" s="85"/>
      <c r="O499" s="85"/>
      <c r="P499" s="85"/>
    </row>
    <row r="500">
      <c r="A500" s="89"/>
      <c r="B500" s="89"/>
      <c r="C500" s="90"/>
      <c r="D500" s="91"/>
      <c r="E500" s="91"/>
      <c r="F500" s="91"/>
      <c r="G500" s="91"/>
      <c r="H500" s="85"/>
      <c r="I500" s="85"/>
      <c r="J500" s="85"/>
      <c r="K500" s="85"/>
      <c r="L500" s="85"/>
      <c r="M500" s="85"/>
      <c r="N500" s="85"/>
      <c r="O500" s="85"/>
      <c r="P500" s="85"/>
    </row>
    <row r="501">
      <c r="A501" s="89"/>
      <c r="B501" s="89"/>
      <c r="C501" s="90"/>
      <c r="D501" s="91"/>
      <c r="E501" s="91"/>
      <c r="F501" s="91"/>
      <c r="G501" s="91"/>
      <c r="H501" s="85"/>
      <c r="I501" s="85"/>
      <c r="J501" s="85"/>
      <c r="K501" s="85"/>
      <c r="L501" s="85"/>
      <c r="M501" s="85"/>
      <c r="N501" s="85"/>
      <c r="O501" s="85"/>
      <c r="P501" s="85"/>
    </row>
    <row r="502">
      <c r="A502" s="89"/>
      <c r="B502" s="89"/>
      <c r="C502" s="90"/>
      <c r="D502" s="91"/>
      <c r="E502" s="91"/>
      <c r="F502" s="91"/>
      <c r="G502" s="91"/>
      <c r="H502" s="85"/>
      <c r="I502" s="85"/>
      <c r="J502" s="85"/>
      <c r="K502" s="85"/>
      <c r="L502" s="85"/>
      <c r="M502" s="85"/>
      <c r="N502" s="85"/>
      <c r="O502" s="85"/>
      <c r="P502" s="85"/>
    </row>
    <row r="503">
      <c r="A503" s="89"/>
      <c r="B503" s="89"/>
      <c r="C503" s="90"/>
      <c r="D503" s="91"/>
      <c r="E503" s="91"/>
      <c r="F503" s="91"/>
      <c r="G503" s="91"/>
      <c r="H503" s="85"/>
      <c r="I503" s="85"/>
      <c r="J503" s="85"/>
      <c r="K503" s="85"/>
      <c r="L503" s="85"/>
      <c r="M503" s="85"/>
      <c r="N503" s="85"/>
      <c r="O503" s="85"/>
      <c r="P503" s="85"/>
    </row>
    <row r="504">
      <c r="A504" s="89"/>
      <c r="B504" s="89"/>
      <c r="C504" s="90"/>
      <c r="D504" s="91"/>
      <c r="E504" s="91"/>
      <c r="F504" s="91"/>
      <c r="G504" s="91"/>
      <c r="H504" s="85"/>
      <c r="I504" s="85"/>
      <c r="J504" s="85"/>
      <c r="K504" s="85"/>
      <c r="L504" s="85"/>
      <c r="M504" s="85"/>
      <c r="N504" s="85"/>
      <c r="O504" s="85"/>
      <c r="P504" s="85"/>
    </row>
    <row r="505">
      <c r="A505" s="89"/>
      <c r="B505" s="89"/>
      <c r="C505" s="90"/>
      <c r="D505" s="91"/>
      <c r="E505" s="91"/>
      <c r="F505" s="91"/>
      <c r="G505" s="91"/>
      <c r="H505" s="85"/>
      <c r="I505" s="85"/>
      <c r="J505" s="85"/>
      <c r="K505" s="85"/>
      <c r="L505" s="85"/>
      <c r="M505" s="85"/>
      <c r="N505" s="85"/>
      <c r="O505" s="85"/>
      <c r="P505" s="85"/>
    </row>
    <row r="506">
      <c r="A506" s="89"/>
      <c r="B506" s="89"/>
      <c r="C506" s="90"/>
      <c r="D506" s="91"/>
      <c r="E506" s="91"/>
      <c r="F506" s="91"/>
      <c r="G506" s="91"/>
      <c r="H506" s="85"/>
      <c r="I506" s="85"/>
      <c r="J506" s="85"/>
      <c r="K506" s="85"/>
      <c r="L506" s="85"/>
      <c r="M506" s="85"/>
      <c r="N506" s="85"/>
      <c r="O506" s="85"/>
      <c r="P506" s="85"/>
    </row>
    <row r="507">
      <c r="A507" s="89"/>
      <c r="B507" s="89"/>
      <c r="C507" s="90"/>
      <c r="D507" s="91"/>
      <c r="E507" s="91"/>
      <c r="F507" s="91"/>
      <c r="G507" s="91"/>
      <c r="H507" s="85"/>
      <c r="I507" s="85"/>
      <c r="J507" s="85"/>
      <c r="K507" s="85"/>
      <c r="L507" s="85"/>
      <c r="M507" s="85"/>
      <c r="N507" s="85"/>
      <c r="O507" s="85"/>
      <c r="P507" s="85"/>
    </row>
    <row r="508">
      <c r="A508" s="89"/>
      <c r="B508" s="89"/>
      <c r="C508" s="90"/>
      <c r="D508" s="91"/>
      <c r="E508" s="91"/>
      <c r="F508" s="91"/>
      <c r="G508" s="91"/>
      <c r="H508" s="85"/>
      <c r="I508" s="85"/>
      <c r="J508" s="85"/>
      <c r="K508" s="85"/>
      <c r="L508" s="85"/>
      <c r="M508" s="85"/>
      <c r="N508" s="85"/>
      <c r="O508" s="85"/>
      <c r="P508" s="85"/>
    </row>
    <row r="509">
      <c r="A509" s="89"/>
      <c r="B509" s="89"/>
      <c r="C509" s="90"/>
      <c r="D509" s="91"/>
      <c r="E509" s="91"/>
      <c r="F509" s="91"/>
      <c r="G509" s="91"/>
      <c r="H509" s="85"/>
      <c r="I509" s="85"/>
      <c r="J509" s="85"/>
      <c r="K509" s="85"/>
      <c r="L509" s="85"/>
      <c r="M509" s="85"/>
      <c r="N509" s="85"/>
      <c r="O509" s="85"/>
      <c r="P509" s="85"/>
    </row>
    <row r="510">
      <c r="A510" s="89"/>
      <c r="B510" s="89"/>
      <c r="C510" s="90"/>
      <c r="D510" s="91"/>
      <c r="E510" s="91"/>
      <c r="F510" s="91"/>
      <c r="G510" s="91"/>
      <c r="H510" s="85"/>
      <c r="I510" s="85"/>
      <c r="J510" s="85"/>
      <c r="K510" s="85"/>
      <c r="L510" s="85"/>
      <c r="M510" s="85"/>
      <c r="N510" s="85"/>
      <c r="O510" s="85"/>
      <c r="P510" s="85"/>
    </row>
    <row r="511">
      <c r="A511" s="89"/>
      <c r="B511" s="89"/>
      <c r="C511" s="90"/>
      <c r="D511" s="91"/>
      <c r="E511" s="91"/>
      <c r="F511" s="91"/>
      <c r="G511" s="91"/>
      <c r="H511" s="85"/>
      <c r="I511" s="85"/>
      <c r="J511" s="85"/>
      <c r="K511" s="85"/>
      <c r="L511" s="85"/>
      <c r="M511" s="85"/>
      <c r="N511" s="85"/>
      <c r="O511" s="85"/>
      <c r="P511" s="85"/>
    </row>
    <row r="512">
      <c r="A512" s="89"/>
      <c r="B512" s="89"/>
      <c r="C512" s="90"/>
      <c r="D512" s="91"/>
      <c r="E512" s="91"/>
      <c r="F512" s="91"/>
      <c r="G512" s="91"/>
      <c r="H512" s="85"/>
      <c r="I512" s="85"/>
      <c r="J512" s="85"/>
      <c r="K512" s="85"/>
      <c r="L512" s="85"/>
      <c r="M512" s="85"/>
      <c r="N512" s="85"/>
      <c r="O512" s="85"/>
      <c r="P512" s="85"/>
    </row>
    <row r="513">
      <c r="A513" s="89"/>
      <c r="B513" s="89"/>
      <c r="C513" s="90"/>
      <c r="D513" s="91"/>
      <c r="E513" s="91"/>
      <c r="F513" s="91"/>
      <c r="G513" s="91"/>
      <c r="H513" s="85"/>
      <c r="I513" s="85"/>
      <c r="J513" s="85"/>
      <c r="K513" s="85"/>
      <c r="L513" s="85"/>
      <c r="M513" s="85"/>
      <c r="N513" s="85"/>
      <c r="O513" s="85"/>
      <c r="P513" s="85"/>
    </row>
    <row r="514">
      <c r="A514" s="89"/>
      <c r="B514" s="89"/>
      <c r="C514" s="90"/>
      <c r="D514" s="91"/>
      <c r="E514" s="91"/>
      <c r="F514" s="91"/>
      <c r="G514" s="91"/>
      <c r="H514" s="85"/>
      <c r="I514" s="85"/>
      <c r="J514" s="85"/>
      <c r="K514" s="85"/>
      <c r="L514" s="85"/>
      <c r="M514" s="85"/>
      <c r="N514" s="85"/>
      <c r="O514" s="85"/>
      <c r="P514" s="85"/>
    </row>
    <row r="515">
      <c r="A515" s="89"/>
      <c r="B515" s="89"/>
      <c r="C515" s="90"/>
      <c r="D515" s="91"/>
      <c r="E515" s="91"/>
      <c r="F515" s="91"/>
      <c r="G515" s="91"/>
      <c r="H515" s="85"/>
      <c r="I515" s="85"/>
      <c r="J515" s="85"/>
      <c r="K515" s="85"/>
      <c r="L515" s="85"/>
      <c r="M515" s="85"/>
      <c r="N515" s="85"/>
      <c r="O515" s="85"/>
      <c r="P515" s="85"/>
    </row>
    <row r="516">
      <c r="A516" s="89"/>
      <c r="B516" s="89"/>
      <c r="C516" s="90"/>
      <c r="D516" s="91"/>
      <c r="E516" s="91"/>
      <c r="F516" s="91"/>
      <c r="G516" s="91"/>
      <c r="H516" s="85"/>
      <c r="I516" s="85"/>
      <c r="J516" s="85"/>
      <c r="K516" s="85"/>
      <c r="L516" s="85"/>
      <c r="M516" s="85"/>
      <c r="N516" s="85"/>
      <c r="O516" s="85"/>
      <c r="P516" s="85"/>
    </row>
    <row r="517">
      <c r="A517" s="89"/>
      <c r="B517" s="89"/>
      <c r="C517" s="90"/>
      <c r="D517" s="91"/>
      <c r="E517" s="91"/>
      <c r="F517" s="91"/>
      <c r="G517" s="91"/>
      <c r="H517" s="85"/>
      <c r="I517" s="85"/>
      <c r="J517" s="85"/>
      <c r="K517" s="85"/>
      <c r="L517" s="85"/>
      <c r="M517" s="85"/>
      <c r="N517" s="85"/>
      <c r="O517" s="85"/>
      <c r="P517" s="85"/>
    </row>
    <row r="518">
      <c r="A518" s="89"/>
      <c r="B518" s="89"/>
      <c r="C518" s="90"/>
      <c r="D518" s="91"/>
      <c r="E518" s="91"/>
      <c r="F518" s="91"/>
      <c r="G518" s="91"/>
      <c r="H518" s="85"/>
      <c r="I518" s="85"/>
      <c r="J518" s="85"/>
      <c r="K518" s="85"/>
      <c r="L518" s="85"/>
      <c r="M518" s="85"/>
      <c r="N518" s="85"/>
      <c r="O518" s="85"/>
      <c r="P518" s="85"/>
    </row>
    <row r="519">
      <c r="A519" s="89"/>
      <c r="B519" s="89"/>
      <c r="C519" s="90"/>
      <c r="D519" s="91"/>
      <c r="E519" s="91"/>
      <c r="F519" s="91"/>
      <c r="G519" s="91"/>
      <c r="H519" s="85"/>
      <c r="I519" s="85"/>
      <c r="J519" s="85"/>
      <c r="K519" s="85"/>
      <c r="L519" s="85"/>
      <c r="M519" s="85"/>
      <c r="N519" s="85"/>
      <c r="O519" s="85"/>
      <c r="P519" s="85"/>
    </row>
    <row r="520">
      <c r="A520" s="89"/>
      <c r="B520" s="89"/>
      <c r="C520" s="90"/>
      <c r="D520" s="91"/>
      <c r="E520" s="91"/>
      <c r="F520" s="91"/>
      <c r="G520" s="91"/>
      <c r="H520" s="85"/>
      <c r="I520" s="85"/>
      <c r="J520" s="85"/>
      <c r="K520" s="85"/>
      <c r="L520" s="85"/>
      <c r="M520" s="85"/>
      <c r="N520" s="85"/>
      <c r="O520" s="85"/>
      <c r="P520" s="85"/>
    </row>
    <row r="521">
      <c r="A521" s="89"/>
      <c r="B521" s="89"/>
      <c r="C521" s="90"/>
      <c r="D521" s="91"/>
      <c r="E521" s="91"/>
      <c r="F521" s="91"/>
      <c r="G521" s="91"/>
      <c r="H521" s="85"/>
      <c r="I521" s="85"/>
      <c r="J521" s="85"/>
      <c r="K521" s="85"/>
      <c r="L521" s="85"/>
      <c r="M521" s="85"/>
      <c r="N521" s="85"/>
      <c r="O521" s="85"/>
      <c r="P521" s="85"/>
    </row>
    <row r="522">
      <c r="A522" s="89"/>
      <c r="B522" s="89"/>
      <c r="C522" s="90"/>
      <c r="D522" s="91"/>
      <c r="E522" s="91"/>
      <c r="F522" s="91"/>
      <c r="G522" s="91"/>
      <c r="H522" s="85"/>
      <c r="I522" s="85"/>
      <c r="J522" s="85"/>
      <c r="K522" s="85"/>
      <c r="L522" s="85"/>
      <c r="M522" s="85"/>
      <c r="N522" s="85"/>
      <c r="O522" s="85"/>
      <c r="P522" s="85"/>
    </row>
    <row r="523">
      <c r="A523" s="89"/>
      <c r="B523" s="89"/>
      <c r="C523" s="90"/>
      <c r="D523" s="91"/>
      <c r="E523" s="91"/>
      <c r="F523" s="91"/>
      <c r="G523" s="91"/>
      <c r="H523" s="85"/>
      <c r="I523" s="85"/>
      <c r="J523" s="85"/>
      <c r="K523" s="85"/>
      <c r="L523" s="85"/>
      <c r="M523" s="85"/>
      <c r="N523" s="85"/>
      <c r="O523" s="85"/>
      <c r="P523" s="85"/>
    </row>
    <row r="524">
      <c r="A524" s="89"/>
      <c r="B524" s="89"/>
      <c r="C524" s="90"/>
      <c r="D524" s="91"/>
      <c r="E524" s="91"/>
      <c r="F524" s="91"/>
      <c r="G524" s="91"/>
      <c r="H524" s="85"/>
      <c r="I524" s="85"/>
      <c r="J524" s="85"/>
      <c r="K524" s="85"/>
      <c r="L524" s="85"/>
      <c r="M524" s="85"/>
      <c r="N524" s="85"/>
      <c r="O524" s="85"/>
      <c r="P524" s="85"/>
    </row>
    <row r="525">
      <c r="A525" s="89"/>
      <c r="B525" s="89"/>
      <c r="C525" s="90"/>
      <c r="D525" s="91"/>
      <c r="E525" s="91"/>
      <c r="F525" s="91"/>
      <c r="G525" s="91"/>
      <c r="H525" s="85"/>
      <c r="I525" s="85"/>
      <c r="J525" s="85"/>
      <c r="K525" s="85"/>
      <c r="L525" s="85"/>
      <c r="M525" s="85"/>
      <c r="N525" s="85"/>
      <c r="O525" s="85"/>
      <c r="P525" s="85"/>
    </row>
    <row r="526">
      <c r="A526" s="89"/>
      <c r="B526" s="89"/>
      <c r="C526" s="90"/>
      <c r="D526" s="91"/>
      <c r="E526" s="91"/>
      <c r="F526" s="91"/>
      <c r="G526" s="91"/>
      <c r="H526" s="85"/>
      <c r="I526" s="85"/>
      <c r="J526" s="85"/>
      <c r="K526" s="85"/>
      <c r="L526" s="85"/>
      <c r="M526" s="85"/>
      <c r="N526" s="85"/>
      <c r="O526" s="85"/>
      <c r="P526" s="85"/>
    </row>
    <row r="527">
      <c r="A527" s="89"/>
      <c r="B527" s="89"/>
      <c r="C527" s="90"/>
      <c r="D527" s="91"/>
      <c r="E527" s="91"/>
      <c r="F527" s="91"/>
      <c r="G527" s="91"/>
      <c r="H527" s="85"/>
      <c r="I527" s="85"/>
      <c r="J527" s="85"/>
      <c r="K527" s="85"/>
      <c r="L527" s="85"/>
      <c r="M527" s="85"/>
      <c r="N527" s="85"/>
      <c r="O527" s="85"/>
      <c r="P527" s="85"/>
    </row>
    <row r="528">
      <c r="A528" s="89"/>
      <c r="B528" s="89"/>
      <c r="C528" s="90"/>
      <c r="D528" s="91"/>
      <c r="E528" s="91"/>
      <c r="F528" s="91"/>
      <c r="G528" s="91"/>
      <c r="H528" s="85"/>
      <c r="I528" s="85"/>
      <c r="J528" s="85"/>
      <c r="K528" s="85"/>
      <c r="L528" s="85"/>
      <c r="M528" s="85"/>
      <c r="N528" s="85"/>
      <c r="O528" s="85"/>
      <c r="P528" s="85"/>
    </row>
    <row r="529">
      <c r="A529" s="89"/>
      <c r="B529" s="89"/>
      <c r="C529" s="90"/>
      <c r="D529" s="91"/>
      <c r="E529" s="91"/>
      <c r="F529" s="91"/>
      <c r="G529" s="91"/>
      <c r="H529" s="85"/>
      <c r="I529" s="85"/>
      <c r="J529" s="85"/>
      <c r="K529" s="85"/>
      <c r="L529" s="85"/>
      <c r="M529" s="85"/>
      <c r="N529" s="85"/>
      <c r="O529" s="85"/>
      <c r="P529" s="85"/>
    </row>
    <row r="530">
      <c r="A530" s="89"/>
      <c r="B530" s="89"/>
      <c r="C530" s="90"/>
      <c r="D530" s="91"/>
      <c r="E530" s="91"/>
      <c r="F530" s="91"/>
      <c r="G530" s="91"/>
      <c r="H530" s="85"/>
      <c r="I530" s="85"/>
      <c r="J530" s="85"/>
      <c r="K530" s="85"/>
      <c r="L530" s="85"/>
      <c r="M530" s="85"/>
      <c r="N530" s="85"/>
      <c r="O530" s="85"/>
      <c r="P530" s="85"/>
    </row>
    <row r="531">
      <c r="A531" s="89"/>
      <c r="B531" s="89"/>
      <c r="C531" s="90"/>
      <c r="D531" s="91"/>
      <c r="E531" s="91"/>
      <c r="F531" s="91"/>
      <c r="G531" s="91"/>
      <c r="H531" s="85"/>
      <c r="I531" s="85"/>
      <c r="J531" s="85"/>
      <c r="K531" s="85"/>
      <c r="L531" s="85"/>
      <c r="M531" s="85"/>
      <c r="N531" s="85"/>
      <c r="O531" s="85"/>
      <c r="P531" s="85"/>
    </row>
    <row r="532">
      <c r="A532" s="89"/>
      <c r="B532" s="89"/>
      <c r="C532" s="90"/>
      <c r="D532" s="91"/>
      <c r="E532" s="91"/>
      <c r="F532" s="91"/>
      <c r="G532" s="91"/>
      <c r="H532" s="85"/>
      <c r="I532" s="85"/>
      <c r="J532" s="85"/>
      <c r="K532" s="85"/>
      <c r="L532" s="85"/>
      <c r="M532" s="85"/>
      <c r="N532" s="85"/>
      <c r="O532" s="85"/>
      <c r="P532" s="85"/>
    </row>
    <row r="533">
      <c r="A533" s="89"/>
      <c r="B533" s="89"/>
      <c r="C533" s="90"/>
      <c r="D533" s="91"/>
      <c r="E533" s="91"/>
      <c r="F533" s="91"/>
      <c r="G533" s="91"/>
      <c r="H533" s="85"/>
      <c r="I533" s="85"/>
      <c r="J533" s="85"/>
      <c r="K533" s="85"/>
      <c r="L533" s="85"/>
      <c r="M533" s="85"/>
      <c r="N533" s="85"/>
      <c r="O533" s="85"/>
      <c r="P533" s="85"/>
    </row>
    <row r="534">
      <c r="A534" s="89"/>
      <c r="B534" s="89"/>
      <c r="C534" s="90"/>
      <c r="D534" s="91"/>
      <c r="E534" s="91"/>
      <c r="F534" s="91"/>
      <c r="G534" s="91"/>
      <c r="H534" s="85"/>
      <c r="I534" s="85"/>
      <c r="J534" s="85"/>
      <c r="K534" s="85"/>
      <c r="L534" s="85"/>
      <c r="M534" s="85"/>
      <c r="N534" s="85"/>
      <c r="O534" s="85"/>
      <c r="P534" s="85"/>
    </row>
    <row r="535">
      <c r="A535" s="89"/>
      <c r="B535" s="89"/>
      <c r="C535" s="90"/>
      <c r="D535" s="91"/>
      <c r="E535" s="91"/>
      <c r="F535" s="91"/>
      <c r="G535" s="91"/>
      <c r="H535" s="85"/>
      <c r="I535" s="85"/>
      <c r="J535" s="85"/>
      <c r="K535" s="85"/>
      <c r="L535" s="85"/>
      <c r="M535" s="85"/>
      <c r="N535" s="85"/>
      <c r="O535" s="85"/>
      <c r="P535" s="85"/>
    </row>
    <row r="536">
      <c r="A536" s="89"/>
      <c r="B536" s="89"/>
      <c r="C536" s="90"/>
      <c r="D536" s="91"/>
      <c r="E536" s="91"/>
      <c r="F536" s="91"/>
      <c r="G536" s="91"/>
      <c r="H536" s="85"/>
      <c r="I536" s="85"/>
      <c r="J536" s="85"/>
      <c r="K536" s="85"/>
      <c r="L536" s="85"/>
      <c r="M536" s="85"/>
      <c r="N536" s="85"/>
      <c r="O536" s="85"/>
      <c r="P536" s="85"/>
    </row>
    <row r="537">
      <c r="A537" s="89"/>
      <c r="B537" s="89"/>
      <c r="C537" s="90"/>
      <c r="D537" s="91"/>
      <c r="E537" s="91"/>
      <c r="F537" s="91"/>
      <c r="G537" s="91"/>
      <c r="H537" s="85"/>
      <c r="I537" s="85"/>
      <c r="J537" s="85"/>
      <c r="K537" s="85"/>
      <c r="L537" s="85"/>
      <c r="M537" s="85"/>
      <c r="N537" s="85"/>
      <c r="O537" s="85"/>
      <c r="P537" s="85"/>
    </row>
    <row r="538">
      <c r="A538" s="89"/>
      <c r="B538" s="89"/>
      <c r="C538" s="90"/>
      <c r="D538" s="91"/>
      <c r="E538" s="91"/>
      <c r="F538" s="91"/>
      <c r="G538" s="91"/>
      <c r="H538" s="85"/>
      <c r="I538" s="85"/>
      <c r="J538" s="85"/>
      <c r="K538" s="85"/>
      <c r="L538" s="85"/>
      <c r="M538" s="85"/>
      <c r="N538" s="85"/>
      <c r="O538" s="85"/>
      <c r="P538" s="85"/>
    </row>
    <row r="539">
      <c r="A539" s="89"/>
      <c r="B539" s="89"/>
      <c r="C539" s="90"/>
      <c r="D539" s="91"/>
      <c r="E539" s="91"/>
      <c r="F539" s="91"/>
      <c r="G539" s="91"/>
      <c r="H539" s="85"/>
      <c r="I539" s="85"/>
      <c r="J539" s="85"/>
      <c r="K539" s="85"/>
      <c r="L539" s="85"/>
      <c r="M539" s="85"/>
      <c r="N539" s="85"/>
      <c r="O539" s="85"/>
      <c r="P539" s="85"/>
    </row>
    <row r="540">
      <c r="A540" s="89"/>
      <c r="B540" s="89"/>
      <c r="C540" s="90"/>
      <c r="D540" s="91"/>
      <c r="E540" s="91"/>
      <c r="F540" s="91"/>
      <c r="G540" s="91"/>
      <c r="H540" s="85"/>
      <c r="I540" s="85"/>
      <c r="J540" s="85"/>
      <c r="K540" s="85"/>
      <c r="L540" s="85"/>
      <c r="M540" s="85"/>
      <c r="N540" s="85"/>
      <c r="O540" s="85"/>
      <c r="P540" s="85"/>
    </row>
    <row r="541">
      <c r="A541" s="89"/>
      <c r="B541" s="89"/>
      <c r="C541" s="90"/>
      <c r="D541" s="91"/>
      <c r="E541" s="91"/>
      <c r="F541" s="91"/>
      <c r="G541" s="91"/>
      <c r="H541" s="85"/>
      <c r="I541" s="85"/>
      <c r="J541" s="85"/>
      <c r="K541" s="85"/>
      <c r="L541" s="85"/>
      <c r="M541" s="85"/>
      <c r="N541" s="85"/>
      <c r="O541" s="85"/>
      <c r="P541" s="85"/>
    </row>
    <row r="542">
      <c r="A542" s="89"/>
      <c r="B542" s="89"/>
      <c r="C542" s="90"/>
      <c r="D542" s="91"/>
      <c r="E542" s="91"/>
      <c r="F542" s="91"/>
      <c r="G542" s="91"/>
      <c r="H542" s="85"/>
      <c r="I542" s="85"/>
      <c r="J542" s="85"/>
      <c r="K542" s="85"/>
      <c r="L542" s="85"/>
      <c r="M542" s="85"/>
      <c r="N542" s="85"/>
      <c r="O542" s="85"/>
      <c r="P542" s="85"/>
    </row>
    <row r="543">
      <c r="A543" s="89"/>
      <c r="B543" s="89"/>
      <c r="C543" s="90"/>
      <c r="D543" s="91"/>
      <c r="E543" s="91"/>
      <c r="F543" s="91"/>
      <c r="G543" s="91"/>
      <c r="H543" s="85"/>
      <c r="I543" s="85"/>
      <c r="J543" s="85"/>
      <c r="K543" s="85"/>
      <c r="L543" s="85"/>
      <c r="M543" s="85"/>
      <c r="N543" s="85"/>
      <c r="O543" s="85"/>
      <c r="P543" s="85"/>
    </row>
    <row r="544">
      <c r="A544" s="89"/>
      <c r="B544" s="89"/>
      <c r="C544" s="90"/>
      <c r="D544" s="91"/>
      <c r="E544" s="91"/>
      <c r="F544" s="91"/>
      <c r="G544" s="91"/>
      <c r="H544" s="85"/>
      <c r="I544" s="85"/>
      <c r="J544" s="85"/>
      <c r="K544" s="85"/>
      <c r="L544" s="85"/>
      <c r="M544" s="85"/>
      <c r="N544" s="85"/>
      <c r="O544" s="85"/>
      <c r="P544" s="85"/>
    </row>
    <row r="545">
      <c r="A545" s="89"/>
      <c r="B545" s="89"/>
      <c r="C545" s="90"/>
      <c r="D545" s="91"/>
      <c r="E545" s="91"/>
      <c r="F545" s="91"/>
      <c r="G545" s="91"/>
      <c r="H545" s="85"/>
      <c r="I545" s="85"/>
      <c r="J545" s="85"/>
      <c r="K545" s="85"/>
      <c r="L545" s="85"/>
      <c r="M545" s="85"/>
      <c r="N545" s="85"/>
      <c r="O545" s="85"/>
      <c r="P545" s="85"/>
    </row>
    <row r="546">
      <c r="A546" s="89"/>
      <c r="B546" s="89"/>
      <c r="C546" s="90"/>
      <c r="D546" s="91"/>
      <c r="E546" s="91"/>
      <c r="F546" s="91"/>
      <c r="G546" s="91"/>
      <c r="H546" s="85"/>
      <c r="I546" s="85"/>
      <c r="J546" s="85"/>
      <c r="K546" s="85"/>
      <c r="L546" s="85"/>
      <c r="M546" s="85"/>
      <c r="N546" s="85"/>
      <c r="O546" s="85"/>
      <c r="P546" s="85"/>
    </row>
    <row r="547">
      <c r="A547" s="89"/>
      <c r="B547" s="89"/>
      <c r="C547" s="90"/>
      <c r="D547" s="91"/>
      <c r="E547" s="91"/>
      <c r="F547" s="91"/>
      <c r="G547" s="91"/>
      <c r="H547" s="85"/>
      <c r="I547" s="85"/>
      <c r="J547" s="85"/>
      <c r="K547" s="85"/>
      <c r="L547" s="85"/>
      <c r="M547" s="85"/>
      <c r="N547" s="85"/>
      <c r="O547" s="85"/>
      <c r="P547" s="85"/>
    </row>
    <row r="548">
      <c r="A548" s="89"/>
      <c r="B548" s="89"/>
      <c r="C548" s="90"/>
      <c r="D548" s="91"/>
      <c r="E548" s="91"/>
      <c r="F548" s="91"/>
      <c r="G548" s="91"/>
      <c r="H548" s="85"/>
      <c r="I548" s="85"/>
      <c r="J548" s="85"/>
      <c r="K548" s="85"/>
      <c r="L548" s="85"/>
      <c r="M548" s="85"/>
      <c r="N548" s="85"/>
      <c r="O548" s="85"/>
      <c r="P548" s="85"/>
    </row>
    <row r="549">
      <c r="A549" s="89"/>
      <c r="B549" s="89"/>
      <c r="C549" s="90"/>
      <c r="D549" s="91"/>
      <c r="E549" s="91"/>
      <c r="F549" s="91"/>
      <c r="G549" s="91"/>
      <c r="H549" s="85"/>
      <c r="I549" s="85"/>
      <c r="J549" s="85"/>
      <c r="K549" s="85"/>
      <c r="L549" s="85"/>
      <c r="M549" s="85"/>
      <c r="N549" s="85"/>
      <c r="O549" s="85"/>
      <c r="P549" s="85"/>
    </row>
    <row r="550">
      <c r="A550" s="89"/>
      <c r="B550" s="89"/>
      <c r="C550" s="90"/>
      <c r="D550" s="91"/>
      <c r="E550" s="91"/>
      <c r="F550" s="91"/>
      <c r="G550" s="91"/>
      <c r="H550" s="85"/>
      <c r="I550" s="85"/>
      <c r="J550" s="85"/>
      <c r="K550" s="85"/>
      <c r="L550" s="85"/>
      <c r="M550" s="85"/>
      <c r="N550" s="85"/>
      <c r="O550" s="85"/>
      <c r="P550" s="85"/>
    </row>
    <row r="551">
      <c r="A551" s="89"/>
      <c r="B551" s="89"/>
      <c r="C551" s="90"/>
      <c r="D551" s="91"/>
      <c r="E551" s="91"/>
      <c r="F551" s="91"/>
      <c r="G551" s="91"/>
      <c r="H551" s="85"/>
      <c r="I551" s="85"/>
      <c r="J551" s="85"/>
      <c r="K551" s="85"/>
      <c r="L551" s="85"/>
      <c r="M551" s="85"/>
      <c r="N551" s="85"/>
      <c r="O551" s="85"/>
      <c r="P551" s="85"/>
    </row>
    <row r="552">
      <c r="A552" s="89"/>
      <c r="B552" s="89"/>
      <c r="C552" s="90"/>
      <c r="D552" s="91"/>
      <c r="E552" s="91"/>
      <c r="F552" s="91"/>
      <c r="G552" s="91"/>
      <c r="H552" s="85"/>
      <c r="I552" s="85"/>
      <c r="J552" s="85"/>
      <c r="K552" s="85"/>
      <c r="L552" s="85"/>
      <c r="M552" s="85"/>
      <c r="N552" s="85"/>
      <c r="O552" s="85"/>
      <c r="P552" s="85"/>
    </row>
    <row r="553">
      <c r="A553" s="89"/>
      <c r="B553" s="89"/>
      <c r="C553" s="90"/>
      <c r="D553" s="91"/>
      <c r="E553" s="91"/>
      <c r="F553" s="91"/>
      <c r="G553" s="91"/>
      <c r="H553" s="85"/>
      <c r="I553" s="85"/>
      <c r="J553" s="85"/>
      <c r="K553" s="85"/>
      <c r="L553" s="85"/>
      <c r="M553" s="85"/>
      <c r="N553" s="85"/>
      <c r="O553" s="85"/>
      <c r="P553" s="85"/>
    </row>
    <row r="554">
      <c r="A554" s="89"/>
      <c r="B554" s="89"/>
      <c r="C554" s="90"/>
      <c r="D554" s="91"/>
      <c r="E554" s="91"/>
      <c r="F554" s="91"/>
      <c r="G554" s="91"/>
      <c r="H554" s="85"/>
      <c r="I554" s="85"/>
      <c r="J554" s="85"/>
      <c r="K554" s="85"/>
      <c r="L554" s="85"/>
      <c r="M554" s="85"/>
      <c r="N554" s="85"/>
      <c r="O554" s="85"/>
      <c r="P554" s="85"/>
    </row>
    <row r="555">
      <c r="A555" s="89"/>
      <c r="B555" s="89"/>
      <c r="C555" s="90"/>
      <c r="D555" s="91"/>
      <c r="E555" s="91"/>
      <c r="F555" s="91"/>
      <c r="G555" s="91"/>
      <c r="H555" s="85"/>
      <c r="I555" s="85"/>
      <c r="J555" s="85"/>
      <c r="K555" s="85"/>
      <c r="L555" s="85"/>
      <c r="M555" s="85"/>
      <c r="N555" s="85"/>
      <c r="O555" s="85"/>
      <c r="P555" s="85"/>
    </row>
    <row r="556">
      <c r="A556" s="89"/>
      <c r="B556" s="89"/>
      <c r="C556" s="90"/>
      <c r="D556" s="91"/>
      <c r="E556" s="91"/>
      <c r="F556" s="91"/>
      <c r="G556" s="91"/>
      <c r="H556" s="85"/>
      <c r="I556" s="85"/>
      <c r="J556" s="85"/>
      <c r="K556" s="85"/>
      <c r="L556" s="85"/>
      <c r="M556" s="85"/>
      <c r="N556" s="85"/>
      <c r="O556" s="85"/>
      <c r="P556" s="85"/>
    </row>
    <row r="557">
      <c r="A557" s="89"/>
      <c r="B557" s="89"/>
      <c r="C557" s="90"/>
      <c r="D557" s="91"/>
      <c r="E557" s="91"/>
      <c r="F557" s="91"/>
      <c r="G557" s="91"/>
      <c r="H557" s="85"/>
      <c r="I557" s="85"/>
      <c r="J557" s="85"/>
      <c r="K557" s="85"/>
      <c r="L557" s="85"/>
      <c r="M557" s="85"/>
      <c r="N557" s="85"/>
      <c r="O557" s="85"/>
      <c r="P557" s="85"/>
    </row>
    <row r="558">
      <c r="A558" s="89"/>
      <c r="B558" s="89"/>
      <c r="C558" s="90"/>
      <c r="D558" s="91"/>
      <c r="E558" s="91"/>
      <c r="F558" s="91"/>
      <c r="G558" s="91"/>
      <c r="H558" s="85"/>
      <c r="I558" s="85"/>
      <c r="J558" s="85"/>
      <c r="K558" s="85"/>
      <c r="L558" s="85"/>
      <c r="M558" s="85"/>
      <c r="N558" s="85"/>
      <c r="O558" s="85"/>
      <c r="P558" s="85"/>
    </row>
    <row r="559">
      <c r="A559" s="89"/>
      <c r="B559" s="89"/>
      <c r="C559" s="90"/>
      <c r="D559" s="91"/>
      <c r="E559" s="91"/>
      <c r="F559" s="91"/>
      <c r="G559" s="91"/>
      <c r="H559" s="85"/>
      <c r="I559" s="85"/>
      <c r="J559" s="85"/>
      <c r="K559" s="85"/>
      <c r="L559" s="85"/>
      <c r="M559" s="85"/>
      <c r="N559" s="85"/>
      <c r="O559" s="85"/>
      <c r="P559" s="85"/>
    </row>
    <row r="560">
      <c r="A560" s="89"/>
      <c r="B560" s="89"/>
      <c r="C560" s="90"/>
      <c r="D560" s="91"/>
      <c r="E560" s="91"/>
      <c r="F560" s="91"/>
      <c r="G560" s="91"/>
      <c r="H560" s="85"/>
      <c r="I560" s="85"/>
      <c r="J560" s="85"/>
      <c r="K560" s="85"/>
      <c r="L560" s="85"/>
      <c r="M560" s="85"/>
      <c r="N560" s="85"/>
      <c r="O560" s="85"/>
      <c r="P560" s="85"/>
    </row>
    <row r="561">
      <c r="A561" s="89"/>
      <c r="B561" s="89"/>
      <c r="C561" s="90"/>
      <c r="D561" s="91"/>
      <c r="E561" s="91"/>
      <c r="F561" s="91"/>
      <c r="G561" s="91"/>
      <c r="H561" s="85"/>
      <c r="I561" s="85"/>
      <c r="J561" s="85"/>
      <c r="K561" s="85"/>
      <c r="L561" s="85"/>
      <c r="M561" s="85"/>
      <c r="N561" s="85"/>
      <c r="O561" s="85"/>
      <c r="P561" s="85"/>
    </row>
    <row r="562">
      <c r="A562" s="89"/>
      <c r="B562" s="89"/>
      <c r="C562" s="90"/>
      <c r="D562" s="91"/>
      <c r="E562" s="91"/>
      <c r="F562" s="91"/>
      <c r="G562" s="91"/>
      <c r="H562" s="85"/>
      <c r="I562" s="85"/>
      <c r="J562" s="85"/>
      <c r="K562" s="85"/>
      <c r="L562" s="85"/>
      <c r="M562" s="85"/>
      <c r="N562" s="85"/>
      <c r="O562" s="85"/>
      <c r="P562" s="85"/>
    </row>
    <row r="563">
      <c r="A563" s="89"/>
      <c r="B563" s="89"/>
      <c r="C563" s="90"/>
      <c r="D563" s="91"/>
      <c r="E563" s="91"/>
      <c r="F563" s="91"/>
      <c r="G563" s="91"/>
      <c r="H563" s="85"/>
      <c r="I563" s="85"/>
      <c r="J563" s="85"/>
      <c r="K563" s="85"/>
      <c r="L563" s="85"/>
      <c r="M563" s="85"/>
      <c r="N563" s="85"/>
      <c r="O563" s="85"/>
      <c r="P563" s="85"/>
    </row>
    <row r="564">
      <c r="A564" s="89"/>
      <c r="B564" s="89"/>
      <c r="C564" s="90"/>
      <c r="D564" s="91"/>
      <c r="E564" s="91"/>
      <c r="F564" s="91"/>
      <c r="G564" s="91"/>
      <c r="H564" s="85"/>
      <c r="I564" s="85"/>
      <c r="J564" s="85"/>
      <c r="K564" s="85"/>
      <c r="L564" s="85"/>
      <c r="M564" s="85"/>
      <c r="N564" s="85"/>
      <c r="O564" s="85"/>
      <c r="P564" s="85"/>
    </row>
    <row r="565">
      <c r="A565" s="89"/>
      <c r="B565" s="89"/>
      <c r="C565" s="90"/>
      <c r="D565" s="91"/>
      <c r="E565" s="91"/>
      <c r="F565" s="91"/>
      <c r="G565" s="91"/>
      <c r="H565" s="85"/>
      <c r="I565" s="85"/>
      <c r="J565" s="85"/>
      <c r="K565" s="85"/>
      <c r="L565" s="85"/>
      <c r="M565" s="85"/>
      <c r="N565" s="85"/>
      <c r="O565" s="85"/>
      <c r="P565" s="85"/>
    </row>
    <row r="566">
      <c r="A566" s="89"/>
      <c r="B566" s="89"/>
      <c r="C566" s="90"/>
      <c r="D566" s="91"/>
      <c r="E566" s="91"/>
      <c r="F566" s="91"/>
      <c r="G566" s="91"/>
      <c r="H566" s="85"/>
      <c r="I566" s="85"/>
      <c r="J566" s="85"/>
      <c r="K566" s="85"/>
      <c r="L566" s="85"/>
      <c r="M566" s="85"/>
      <c r="N566" s="85"/>
      <c r="O566" s="85"/>
      <c r="P566" s="85"/>
    </row>
    <row r="567">
      <c r="A567" s="89"/>
      <c r="B567" s="89"/>
      <c r="C567" s="90"/>
      <c r="D567" s="91"/>
      <c r="E567" s="91"/>
      <c r="F567" s="91"/>
      <c r="G567" s="91"/>
      <c r="H567" s="85"/>
      <c r="I567" s="85"/>
      <c r="J567" s="85"/>
      <c r="K567" s="85"/>
      <c r="L567" s="85"/>
      <c r="M567" s="85"/>
      <c r="N567" s="85"/>
      <c r="O567" s="85"/>
      <c r="P567" s="85"/>
    </row>
    <row r="568">
      <c r="A568" s="89"/>
      <c r="B568" s="89"/>
      <c r="C568" s="90"/>
      <c r="D568" s="91"/>
      <c r="E568" s="91"/>
      <c r="F568" s="91"/>
      <c r="G568" s="91"/>
      <c r="H568" s="85"/>
      <c r="I568" s="85"/>
      <c r="J568" s="85"/>
      <c r="K568" s="85"/>
      <c r="L568" s="85"/>
      <c r="M568" s="85"/>
      <c r="N568" s="85"/>
      <c r="O568" s="85"/>
      <c r="P568" s="85"/>
    </row>
    <row r="569">
      <c r="A569" s="89"/>
      <c r="B569" s="89"/>
      <c r="C569" s="90"/>
      <c r="D569" s="91"/>
      <c r="E569" s="91"/>
      <c r="F569" s="91"/>
      <c r="G569" s="91"/>
      <c r="H569" s="85"/>
      <c r="I569" s="85"/>
      <c r="J569" s="85"/>
      <c r="K569" s="85"/>
      <c r="L569" s="85"/>
      <c r="M569" s="85"/>
      <c r="N569" s="85"/>
      <c r="O569" s="85"/>
      <c r="P569" s="85"/>
    </row>
    <row r="570">
      <c r="A570" s="89"/>
      <c r="B570" s="89"/>
      <c r="C570" s="90"/>
      <c r="D570" s="91"/>
      <c r="E570" s="91"/>
      <c r="F570" s="91"/>
      <c r="G570" s="91"/>
      <c r="H570" s="85"/>
      <c r="I570" s="85"/>
      <c r="J570" s="85"/>
      <c r="K570" s="85"/>
      <c r="L570" s="85"/>
      <c r="M570" s="85"/>
      <c r="N570" s="85"/>
      <c r="O570" s="85"/>
      <c r="P570" s="85"/>
    </row>
    <row r="571">
      <c r="A571" s="89"/>
      <c r="B571" s="89"/>
      <c r="C571" s="90"/>
      <c r="D571" s="91"/>
      <c r="E571" s="91"/>
      <c r="F571" s="91"/>
      <c r="G571" s="91"/>
      <c r="H571" s="85"/>
      <c r="I571" s="85"/>
      <c r="J571" s="85"/>
      <c r="K571" s="85"/>
      <c r="L571" s="85"/>
      <c r="M571" s="85"/>
      <c r="N571" s="85"/>
      <c r="O571" s="85"/>
      <c r="P571" s="85"/>
    </row>
    <row r="572">
      <c r="A572" s="89"/>
      <c r="B572" s="89"/>
      <c r="C572" s="90"/>
      <c r="D572" s="91"/>
      <c r="E572" s="91"/>
      <c r="F572" s="91"/>
      <c r="G572" s="91"/>
      <c r="H572" s="85"/>
      <c r="I572" s="85"/>
      <c r="J572" s="85"/>
      <c r="K572" s="85"/>
      <c r="L572" s="85"/>
      <c r="M572" s="85"/>
      <c r="N572" s="85"/>
      <c r="O572" s="85"/>
      <c r="P572" s="85"/>
    </row>
    <row r="573">
      <c r="A573" s="89"/>
      <c r="B573" s="89"/>
      <c r="C573" s="90"/>
      <c r="D573" s="91"/>
      <c r="E573" s="91"/>
      <c r="F573" s="91"/>
      <c r="G573" s="91"/>
      <c r="H573" s="85"/>
      <c r="I573" s="85"/>
      <c r="J573" s="85"/>
      <c r="K573" s="85"/>
      <c r="L573" s="85"/>
      <c r="M573" s="85"/>
      <c r="N573" s="85"/>
      <c r="O573" s="85"/>
      <c r="P573" s="85"/>
    </row>
    <row r="574">
      <c r="A574" s="89"/>
      <c r="B574" s="89"/>
      <c r="C574" s="90"/>
      <c r="D574" s="91"/>
      <c r="E574" s="91"/>
      <c r="F574" s="91"/>
      <c r="G574" s="91"/>
      <c r="H574" s="85"/>
      <c r="I574" s="85"/>
      <c r="J574" s="85"/>
      <c r="K574" s="85"/>
      <c r="L574" s="85"/>
      <c r="M574" s="85"/>
      <c r="N574" s="85"/>
      <c r="O574" s="85"/>
      <c r="P574" s="85"/>
    </row>
    <row r="575">
      <c r="A575" s="89"/>
      <c r="B575" s="89"/>
      <c r="C575" s="90"/>
      <c r="D575" s="91"/>
      <c r="E575" s="91"/>
      <c r="F575" s="91"/>
      <c r="G575" s="91"/>
      <c r="H575" s="85"/>
      <c r="I575" s="85"/>
      <c r="J575" s="85"/>
      <c r="K575" s="85"/>
      <c r="L575" s="85"/>
      <c r="M575" s="85"/>
      <c r="N575" s="85"/>
      <c r="O575" s="85"/>
      <c r="P575" s="85"/>
    </row>
    <row r="576">
      <c r="A576" s="89"/>
      <c r="B576" s="89"/>
      <c r="C576" s="90"/>
      <c r="D576" s="91"/>
      <c r="E576" s="91"/>
      <c r="F576" s="91"/>
      <c r="G576" s="91"/>
      <c r="H576" s="85"/>
      <c r="I576" s="85"/>
      <c r="J576" s="85"/>
      <c r="K576" s="85"/>
      <c r="L576" s="85"/>
      <c r="M576" s="85"/>
      <c r="N576" s="85"/>
      <c r="O576" s="85"/>
      <c r="P576" s="85"/>
    </row>
    <row r="577">
      <c r="A577" s="89"/>
      <c r="B577" s="89"/>
      <c r="C577" s="90"/>
      <c r="D577" s="91"/>
      <c r="E577" s="91"/>
      <c r="F577" s="91"/>
      <c r="G577" s="91"/>
      <c r="H577" s="85"/>
      <c r="I577" s="85"/>
      <c r="J577" s="85"/>
      <c r="K577" s="85"/>
      <c r="L577" s="85"/>
      <c r="M577" s="85"/>
      <c r="N577" s="85"/>
      <c r="O577" s="85"/>
      <c r="P577" s="85"/>
    </row>
    <row r="578">
      <c r="A578" s="89"/>
      <c r="B578" s="89"/>
      <c r="C578" s="90"/>
      <c r="D578" s="91"/>
      <c r="E578" s="91"/>
      <c r="F578" s="91"/>
      <c r="G578" s="91"/>
      <c r="H578" s="85"/>
      <c r="I578" s="85"/>
      <c r="J578" s="85"/>
      <c r="K578" s="85"/>
      <c r="L578" s="85"/>
      <c r="M578" s="85"/>
      <c r="N578" s="85"/>
      <c r="O578" s="85"/>
      <c r="P578" s="85"/>
    </row>
    <row r="579">
      <c r="A579" s="89"/>
      <c r="B579" s="89"/>
      <c r="C579" s="90"/>
      <c r="D579" s="91"/>
      <c r="E579" s="91"/>
      <c r="F579" s="91"/>
      <c r="G579" s="91"/>
      <c r="H579" s="85"/>
      <c r="I579" s="85"/>
      <c r="J579" s="85"/>
      <c r="K579" s="85"/>
      <c r="L579" s="85"/>
      <c r="M579" s="85"/>
      <c r="N579" s="85"/>
      <c r="O579" s="85"/>
      <c r="P579" s="85"/>
    </row>
    <row r="580">
      <c r="A580" s="89"/>
      <c r="B580" s="89"/>
      <c r="C580" s="90"/>
      <c r="D580" s="91"/>
      <c r="E580" s="91"/>
      <c r="F580" s="91"/>
      <c r="G580" s="91"/>
      <c r="H580" s="85"/>
      <c r="I580" s="85"/>
      <c r="J580" s="85"/>
      <c r="K580" s="85"/>
      <c r="L580" s="85"/>
      <c r="M580" s="85"/>
      <c r="N580" s="85"/>
      <c r="O580" s="85"/>
      <c r="P580" s="85"/>
    </row>
    <row r="581">
      <c r="A581" s="89"/>
      <c r="B581" s="89"/>
      <c r="C581" s="90"/>
      <c r="D581" s="91"/>
      <c r="E581" s="91"/>
      <c r="F581" s="91"/>
      <c r="G581" s="91"/>
      <c r="H581" s="85"/>
      <c r="I581" s="85"/>
      <c r="J581" s="85"/>
      <c r="K581" s="85"/>
      <c r="L581" s="85"/>
      <c r="M581" s="85"/>
      <c r="N581" s="85"/>
      <c r="O581" s="85"/>
      <c r="P581" s="85"/>
    </row>
    <row r="582">
      <c r="A582" s="89"/>
      <c r="B582" s="89"/>
      <c r="C582" s="90"/>
      <c r="D582" s="91"/>
      <c r="E582" s="91"/>
      <c r="F582" s="91"/>
      <c r="G582" s="91"/>
      <c r="H582" s="85"/>
      <c r="I582" s="85"/>
      <c r="J582" s="85"/>
      <c r="K582" s="85"/>
      <c r="L582" s="85"/>
      <c r="M582" s="85"/>
      <c r="N582" s="85"/>
      <c r="O582" s="85"/>
      <c r="P582" s="85"/>
    </row>
    <row r="583">
      <c r="A583" s="89"/>
      <c r="B583" s="89"/>
      <c r="C583" s="90"/>
      <c r="D583" s="91"/>
      <c r="E583" s="91"/>
      <c r="F583" s="91"/>
      <c r="G583" s="91"/>
      <c r="H583" s="85"/>
      <c r="I583" s="85"/>
      <c r="J583" s="85"/>
      <c r="K583" s="85"/>
      <c r="L583" s="85"/>
      <c r="M583" s="85"/>
      <c r="N583" s="85"/>
      <c r="O583" s="85"/>
      <c r="P583" s="85"/>
    </row>
    <row r="584">
      <c r="A584" s="89"/>
      <c r="B584" s="89"/>
      <c r="C584" s="90"/>
      <c r="D584" s="91"/>
      <c r="E584" s="91"/>
      <c r="F584" s="91"/>
      <c r="G584" s="91"/>
      <c r="H584" s="85"/>
      <c r="I584" s="85"/>
      <c r="J584" s="85"/>
      <c r="K584" s="85"/>
      <c r="L584" s="85"/>
      <c r="M584" s="85"/>
      <c r="N584" s="85"/>
      <c r="O584" s="85"/>
      <c r="P584" s="85"/>
    </row>
    <row r="585">
      <c r="A585" s="89"/>
      <c r="B585" s="89"/>
      <c r="C585" s="90"/>
      <c r="D585" s="91"/>
      <c r="E585" s="91"/>
      <c r="F585" s="91"/>
      <c r="G585" s="91"/>
      <c r="H585" s="85"/>
      <c r="I585" s="85"/>
      <c r="J585" s="85"/>
      <c r="K585" s="85"/>
      <c r="L585" s="85"/>
      <c r="M585" s="85"/>
      <c r="N585" s="85"/>
      <c r="O585" s="85"/>
      <c r="P585" s="85"/>
    </row>
    <row r="586">
      <c r="A586" s="89"/>
      <c r="B586" s="89"/>
      <c r="C586" s="90"/>
      <c r="D586" s="91"/>
      <c r="E586" s="91"/>
      <c r="F586" s="91"/>
      <c r="G586" s="91"/>
      <c r="H586" s="85"/>
      <c r="I586" s="85"/>
      <c r="J586" s="85"/>
      <c r="K586" s="85"/>
      <c r="L586" s="85"/>
      <c r="M586" s="85"/>
      <c r="N586" s="85"/>
      <c r="O586" s="85"/>
      <c r="P586" s="85"/>
    </row>
    <row r="587">
      <c r="A587" s="89"/>
      <c r="B587" s="89"/>
      <c r="C587" s="90"/>
      <c r="D587" s="91"/>
      <c r="E587" s="91"/>
      <c r="F587" s="91"/>
      <c r="G587" s="91"/>
      <c r="H587" s="85"/>
      <c r="I587" s="85"/>
      <c r="J587" s="85"/>
      <c r="K587" s="85"/>
      <c r="L587" s="85"/>
      <c r="M587" s="85"/>
      <c r="N587" s="85"/>
      <c r="O587" s="85"/>
      <c r="P587" s="85"/>
    </row>
    <row r="588">
      <c r="A588" s="89"/>
      <c r="B588" s="89"/>
      <c r="C588" s="90"/>
      <c r="D588" s="91"/>
      <c r="E588" s="91"/>
      <c r="F588" s="91"/>
      <c r="G588" s="91"/>
      <c r="H588" s="85"/>
      <c r="I588" s="85"/>
      <c r="J588" s="85"/>
      <c r="K588" s="85"/>
      <c r="L588" s="85"/>
      <c r="M588" s="85"/>
      <c r="N588" s="85"/>
      <c r="O588" s="85"/>
      <c r="P588" s="85"/>
    </row>
    <row r="589">
      <c r="A589" s="89"/>
      <c r="B589" s="89"/>
      <c r="C589" s="90"/>
      <c r="D589" s="91"/>
      <c r="E589" s="91"/>
      <c r="F589" s="91"/>
      <c r="G589" s="91"/>
      <c r="H589" s="85"/>
      <c r="I589" s="85"/>
      <c r="J589" s="85"/>
      <c r="K589" s="85"/>
      <c r="L589" s="85"/>
      <c r="M589" s="85"/>
      <c r="N589" s="85"/>
      <c r="O589" s="85"/>
      <c r="P589" s="85"/>
    </row>
    <row r="590">
      <c r="A590" s="89"/>
      <c r="B590" s="89"/>
      <c r="C590" s="90"/>
      <c r="D590" s="91"/>
      <c r="E590" s="91"/>
      <c r="F590" s="91"/>
      <c r="G590" s="91"/>
      <c r="H590" s="85"/>
      <c r="I590" s="85"/>
      <c r="J590" s="85"/>
      <c r="K590" s="85"/>
      <c r="L590" s="85"/>
      <c r="M590" s="85"/>
      <c r="N590" s="85"/>
      <c r="O590" s="85"/>
      <c r="P590" s="85"/>
    </row>
    <row r="591">
      <c r="A591" s="89"/>
      <c r="B591" s="89"/>
      <c r="C591" s="90"/>
      <c r="D591" s="91"/>
      <c r="E591" s="91"/>
      <c r="F591" s="91"/>
      <c r="G591" s="91"/>
      <c r="H591" s="85"/>
      <c r="I591" s="85"/>
      <c r="J591" s="85"/>
      <c r="K591" s="85"/>
      <c r="L591" s="85"/>
      <c r="M591" s="85"/>
      <c r="N591" s="85"/>
      <c r="O591" s="85"/>
      <c r="P591" s="85"/>
    </row>
    <row r="592">
      <c r="A592" s="89"/>
      <c r="B592" s="89"/>
      <c r="C592" s="90"/>
      <c r="D592" s="91"/>
      <c r="E592" s="91"/>
      <c r="F592" s="91"/>
      <c r="G592" s="91"/>
      <c r="H592" s="85"/>
      <c r="I592" s="85"/>
      <c r="J592" s="85"/>
      <c r="K592" s="85"/>
      <c r="L592" s="85"/>
      <c r="M592" s="85"/>
      <c r="N592" s="85"/>
      <c r="O592" s="85"/>
      <c r="P592" s="85"/>
    </row>
    <row r="593">
      <c r="A593" s="89"/>
      <c r="B593" s="89"/>
      <c r="C593" s="90"/>
      <c r="D593" s="91"/>
      <c r="E593" s="91"/>
      <c r="F593" s="91"/>
      <c r="G593" s="91"/>
      <c r="H593" s="85"/>
      <c r="I593" s="85"/>
      <c r="J593" s="85"/>
      <c r="K593" s="85"/>
      <c r="L593" s="85"/>
      <c r="M593" s="85"/>
      <c r="N593" s="85"/>
      <c r="O593" s="85"/>
      <c r="P593" s="85"/>
    </row>
    <row r="594">
      <c r="A594" s="89"/>
      <c r="B594" s="89"/>
      <c r="C594" s="90"/>
      <c r="D594" s="91"/>
      <c r="E594" s="91"/>
      <c r="F594" s="91"/>
      <c r="G594" s="91"/>
      <c r="H594" s="85"/>
      <c r="I594" s="85"/>
      <c r="J594" s="85"/>
      <c r="K594" s="85"/>
      <c r="L594" s="85"/>
      <c r="M594" s="85"/>
      <c r="N594" s="85"/>
      <c r="O594" s="85"/>
      <c r="P594" s="85"/>
    </row>
    <row r="595">
      <c r="A595" s="89"/>
      <c r="B595" s="89"/>
      <c r="C595" s="90"/>
      <c r="D595" s="91"/>
      <c r="E595" s="91"/>
      <c r="F595" s="91"/>
      <c r="G595" s="91"/>
      <c r="H595" s="85"/>
      <c r="I595" s="85"/>
      <c r="J595" s="85"/>
      <c r="K595" s="85"/>
      <c r="L595" s="85"/>
      <c r="M595" s="85"/>
      <c r="N595" s="85"/>
      <c r="O595" s="85"/>
      <c r="P595" s="85"/>
    </row>
    <row r="596">
      <c r="A596" s="89"/>
      <c r="B596" s="89"/>
      <c r="C596" s="90"/>
      <c r="D596" s="91"/>
      <c r="E596" s="91"/>
      <c r="F596" s="91"/>
      <c r="G596" s="91"/>
      <c r="H596" s="85"/>
      <c r="I596" s="85"/>
      <c r="J596" s="85"/>
      <c r="K596" s="85"/>
      <c r="L596" s="85"/>
      <c r="M596" s="85"/>
      <c r="N596" s="85"/>
      <c r="O596" s="85"/>
      <c r="P596" s="85"/>
    </row>
    <row r="597">
      <c r="A597" s="89"/>
      <c r="B597" s="89"/>
      <c r="C597" s="90"/>
      <c r="D597" s="91"/>
      <c r="E597" s="91"/>
      <c r="F597" s="91"/>
      <c r="G597" s="91"/>
      <c r="H597" s="85"/>
      <c r="I597" s="85"/>
      <c r="J597" s="85"/>
      <c r="K597" s="85"/>
      <c r="L597" s="85"/>
      <c r="M597" s="85"/>
      <c r="N597" s="85"/>
      <c r="O597" s="85"/>
      <c r="P597" s="85"/>
    </row>
    <row r="598">
      <c r="A598" s="89"/>
      <c r="B598" s="89"/>
      <c r="C598" s="90"/>
      <c r="D598" s="91"/>
      <c r="E598" s="91"/>
      <c r="F598" s="91"/>
      <c r="G598" s="91"/>
      <c r="H598" s="85"/>
      <c r="I598" s="85"/>
      <c r="J598" s="85"/>
      <c r="K598" s="85"/>
      <c r="L598" s="85"/>
      <c r="M598" s="85"/>
      <c r="N598" s="85"/>
      <c r="O598" s="85"/>
      <c r="P598" s="85"/>
    </row>
    <row r="599">
      <c r="A599" s="89"/>
      <c r="B599" s="89"/>
      <c r="C599" s="90"/>
      <c r="D599" s="91"/>
      <c r="E599" s="91"/>
      <c r="F599" s="91"/>
      <c r="G599" s="91"/>
      <c r="H599" s="85"/>
      <c r="I599" s="85"/>
      <c r="J599" s="85"/>
      <c r="K599" s="85"/>
      <c r="L599" s="85"/>
      <c r="M599" s="85"/>
      <c r="N599" s="85"/>
      <c r="O599" s="85"/>
      <c r="P599" s="85"/>
    </row>
    <row r="600">
      <c r="A600" s="89"/>
      <c r="B600" s="89"/>
      <c r="C600" s="90"/>
      <c r="D600" s="91"/>
      <c r="E600" s="91"/>
      <c r="F600" s="91"/>
      <c r="G600" s="91"/>
      <c r="H600" s="85"/>
      <c r="I600" s="85"/>
      <c r="J600" s="85"/>
      <c r="K600" s="85"/>
      <c r="L600" s="85"/>
      <c r="M600" s="85"/>
      <c r="N600" s="85"/>
      <c r="O600" s="85"/>
      <c r="P600" s="85"/>
    </row>
    <row r="601">
      <c r="A601" s="89"/>
      <c r="B601" s="89"/>
      <c r="C601" s="90"/>
      <c r="D601" s="91"/>
      <c r="E601" s="91"/>
      <c r="F601" s="91"/>
      <c r="G601" s="91"/>
      <c r="H601" s="85"/>
      <c r="I601" s="85"/>
      <c r="J601" s="85"/>
      <c r="K601" s="85"/>
      <c r="L601" s="85"/>
      <c r="M601" s="85"/>
      <c r="N601" s="85"/>
      <c r="O601" s="85"/>
      <c r="P601" s="85"/>
    </row>
    <row r="602">
      <c r="A602" s="89"/>
      <c r="B602" s="89"/>
      <c r="C602" s="90"/>
      <c r="D602" s="91"/>
      <c r="E602" s="91"/>
      <c r="F602" s="91"/>
      <c r="G602" s="91"/>
      <c r="H602" s="85"/>
      <c r="I602" s="85"/>
      <c r="J602" s="85"/>
      <c r="K602" s="85"/>
      <c r="L602" s="85"/>
      <c r="M602" s="85"/>
      <c r="N602" s="85"/>
      <c r="O602" s="85"/>
      <c r="P602" s="85"/>
    </row>
    <row r="603">
      <c r="A603" s="89"/>
      <c r="B603" s="89"/>
      <c r="C603" s="90"/>
      <c r="D603" s="91"/>
      <c r="E603" s="91"/>
      <c r="F603" s="91"/>
      <c r="G603" s="91"/>
      <c r="H603" s="85"/>
      <c r="I603" s="85"/>
      <c r="J603" s="85"/>
      <c r="K603" s="85"/>
      <c r="L603" s="85"/>
      <c r="M603" s="85"/>
      <c r="N603" s="85"/>
      <c r="O603" s="85"/>
      <c r="P603" s="85"/>
    </row>
    <row r="604">
      <c r="A604" s="89"/>
      <c r="B604" s="89"/>
      <c r="C604" s="90"/>
      <c r="D604" s="91"/>
      <c r="E604" s="91"/>
      <c r="F604" s="91"/>
      <c r="G604" s="91"/>
      <c r="H604" s="85"/>
      <c r="I604" s="85"/>
      <c r="J604" s="85"/>
      <c r="K604" s="85"/>
      <c r="L604" s="85"/>
      <c r="M604" s="85"/>
      <c r="N604" s="85"/>
      <c r="O604" s="85"/>
      <c r="P604" s="85"/>
    </row>
    <row r="605">
      <c r="A605" s="89"/>
      <c r="B605" s="89"/>
      <c r="C605" s="90"/>
      <c r="D605" s="91"/>
      <c r="E605" s="91"/>
      <c r="F605" s="91"/>
      <c r="G605" s="91"/>
      <c r="H605" s="85"/>
      <c r="I605" s="85"/>
      <c r="J605" s="85"/>
      <c r="K605" s="85"/>
      <c r="L605" s="85"/>
      <c r="M605" s="85"/>
      <c r="N605" s="85"/>
      <c r="O605" s="85"/>
      <c r="P605" s="85"/>
    </row>
    <row r="606">
      <c r="A606" s="89"/>
      <c r="B606" s="89"/>
      <c r="C606" s="90"/>
      <c r="D606" s="91"/>
      <c r="E606" s="91"/>
      <c r="F606" s="91"/>
      <c r="G606" s="91"/>
      <c r="H606" s="85"/>
      <c r="I606" s="85"/>
      <c r="J606" s="85"/>
      <c r="K606" s="85"/>
      <c r="L606" s="85"/>
      <c r="M606" s="85"/>
      <c r="N606" s="85"/>
      <c r="O606" s="85"/>
      <c r="P606" s="85"/>
    </row>
    <row r="607">
      <c r="A607" s="89"/>
      <c r="B607" s="89"/>
      <c r="C607" s="90"/>
      <c r="D607" s="91"/>
      <c r="E607" s="91"/>
      <c r="F607" s="91"/>
      <c r="G607" s="91"/>
      <c r="H607" s="85"/>
      <c r="I607" s="85"/>
      <c r="J607" s="85"/>
      <c r="K607" s="85"/>
      <c r="L607" s="85"/>
      <c r="M607" s="85"/>
      <c r="N607" s="85"/>
      <c r="O607" s="85"/>
      <c r="P607" s="85"/>
    </row>
    <row r="608">
      <c r="A608" s="89"/>
      <c r="B608" s="89"/>
      <c r="C608" s="90"/>
      <c r="D608" s="91"/>
      <c r="E608" s="91"/>
      <c r="F608" s="91"/>
      <c r="G608" s="91"/>
      <c r="H608" s="85"/>
      <c r="I608" s="85"/>
      <c r="J608" s="85"/>
      <c r="K608" s="85"/>
      <c r="L608" s="85"/>
      <c r="M608" s="85"/>
      <c r="N608" s="85"/>
      <c r="O608" s="85"/>
      <c r="P608" s="85"/>
    </row>
    <row r="609">
      <c r="A609" s="89"/>
      <c r="B609" s="89"/>
      <c r="C609" s="90"/>
      <c r="D609" s="91"/>
      <c r="E609" s="91"/>
      <c r="F609" s="91"/>
      <c r="G609" s="91"/>
      <c r="H609" s="85"/>
      <c r="I609" s="85"/>
      <c r="J609" s="85"/>
      <c r="K609" s="85"/>
      <c r="L609" s="85"/>
      <c r="M609" s="85"/>
      <c r="N609" s="85"/>
      <c r="O609" s="85"/>
      <c r="P609" s="85"/>
    </row>
    <row r="610">
      <c r="A610" s="89"/>
      <c r="B610" s="89"/>
      <c r="C610" s="90"/>
      <c r="D610" s="91"/>
      <c r="E610" s="91"/>
      <c r="F610" s="91"/>
      <c r="G610" s="91"/>
      <c r="H610" s="85"/>
      <c r="I610" s="85"/>
      <c r="J610" s="85"/>
      <c r="K610" s="85"/>
      <c r="L610" s="85"/>
      <c r="M610" s="85"/>
      <c r="N610" s="85"/>
      <c r="O610" s="85"/>
      <c r="P610" s="85"/>
    </row>
    <row r="611">
      <c r="A611" s="89"/>
      <c r="B611" s="89"/>
      <c r="C611" s="90"/>
      <c r="D611" s="91"/>
      <c r="E611" s="91"/>
      <c r="F611" s="91"/>
      <c r="G611" s="91"/>
      <c r="H611" s="85"/>
      <c r="I611" s="85"/>
      <c r="J611" s="85"/>
      <c r="K611" s="85"/>
      <c r="L611" s="85"/>
      <c r="M611" s="85"/>
      <c r="N611" s="85"/>
      <c r="O611" s="85"/>
      <c r="P611" s="85"/>
    </row>
    <row r="612">
      <c r="A612" s="89"/>
      <c r="B612" s="89"/>
      <c r="C612" s="90"/>
      <c r="D612" s="91"/>
      <c r="E612" s="91"/>
      <c r="F612" s="91"/>
      <c r="G612" s="91"/>
      <c r="H612" s="85"/>
      <c r="I612" s="85"/>
      <c r="J612" s="85"/>
      <c r="K612" s="85"/>
      <c r="L612" s="85"/>
      <c r="M612" s="85"/>
      <c r="N612" s="85"/>
      <c r="O612" s="85"/>
      <c r="P612" s="85"/>
    </row>
    <row r="613">
      <c r="A613" s="89"/>
      <c r="B613" s="89"/>
      <c r="C613" s="90"/>
      <c r="D613" s="91"/>
      <c r="E613" s="91"/>
      <c r="F613" s="91"/>
      <c r="G613" s="91"/>
      <c r="H613" s="85"/>
      <c r="I613" s="85"/>
      <c r="J613" s="85"/>
      <c r="K613" s="85"/>
      <c r="L613" s="85"/>
      <c r="M613" s="85"/>
      <c r="N613" s="85"/>
      <c r="O613" s="85"/>
      <c r="P613" s="85"/>
    </row>
    <row r="614">
      <c r="A614" s="89"/>
      <c r="B614" s="89"/>
      <c r="C614" s="90"/>
      <c r="D614" s="91"/>
      <c r="E614" s="91"/>
      <c r="F614" s="91"/>
      <c r="G614" s="91"/>
      <c r="H614" s="85"/>
      <c r="I614" s="85"/>
      <c r="J614" s="85"/>
      <c r="K614" s="85"/>
      <c r="L614" s="85"/>
      <c r="M614" s="85"/>
      <c r="N614" s="85"/>
      <c r="O614" s="85"/>
      <c r="P614" s="85"/>
    </row>
    <row r="615">
      <c r="A615" s="89"/>
      <c r="B615" s="89"/>
      <c r="C615" s="90"/>
      <c r="D615" s="91"/>
      <c r="E615" s="91"/>
      <c r="F615" s="91"/>
      <c r="G615" s="91"/>
      <c r="H615" s="85"/>
      <c r="I615" s="85"/>
      <c r="J615" s="85"/>
      <c r="K615" s="85"/>
      <c r="L615" s="85"/>
      <c r="M615" s="85"/>
      <c r="N615" s="85"/>
      <c r="O615" s="85"/>
      <c r="P615" s="85"/>
    </row>
    <row r="616">
      <c r="A616" s="89"/>
      <c r="B616" s="89"/>
      <c r="C616" s="90"/>
      <c r="D616" s="91"/>
      <c r="E616" s="91"/>
      <c r="F616" s="91"/>
      <c r="G616" s="91"/>
      <c r="H616" s="85"/>
      <c r="I616" s="85"/>
      <c r="J616" s="85"/>
      <c r="K616" s="85"/>
      <c r="L616" s="85"/>
      <c r="M616" s="85"/>
      <c r="N616" s="85"/>
      <c r="O616" s="85"/>
      <c r="P616" s="85"/>
    </row>
    <row r="617">
      <c r="A617" s="89"/>
      <c r="B617" s="89"/>
      <c r="C617" s="90"/>
      <c r="D617" s="91"/>
      <c r="E617" s="91"/>
      <c r="F617" s="91"/>
      <c r="G617" s="91"/>
      <c r="H617" s="85"/>
      <c r="I617" s="85"/>
      <c r="J617" s="85"/>
      <c r="K617" s="85"/>
      <c r="L617" s="85"/>
      <c r="M617" s="85"/>
      <c r="N617" s="85"/>
      <c r="O617" s="85"/>
      <c r="P617" s="85"/>
    </row>
    <row r="618">
      <c r="A618" s="89"/>
      <c r="B618" s="89"/>
      <c r="C618" s="90"/>
      <c r="D618" s="91"/>
      <c r="E618" s="91"/>
      <c r="F618" s="91"/>
      <c r="G618" s="91"/>
      <c r="H618" s="85"/>
      <c r="I618" s="85"/>
      <c r="J618" s="85"/>
      <c r="K618" s="85"/>
      <c r="L618" s="85"/>
      <c r="M618" s="85"/>
      <c r="N618" s="85"/>
      <c r="O618" s="85"/>
      <c r="P618" s="85"/>
    </row>
    <row r="619">
      <c r="A619" s="89"/>
      <c r="B619" s="89"/>
      <c r="C619" s="90"/>
      <c r="D619" s="91"/>
      <c r="E619" s="91"/>
      <c r="F619" s="91"/>
      <c r="G619" s="91"/>
      <c r="H619" s="85"/>
      <c r="I619" s="85"/>
      <c r="J619" s="85"/>
      <c r="K619" s="85"/>
      <c r="L619" s="85"/>
      <c r="M619" s="85"/>
      <c r="N619" s="85"/>
      <c r="O619" s="85"/>
      <c r="P619" s="85"/>
    </row>
    <row r="620">
      <c r="A620" s="89"/>
      <c r="B620" s="89"/>
      <c r="C620" s="90"/>
      <c r="D620" s="91"/>
      <c r="E620" s="91"/>
      <c r="F620" s="91"/>
      <c r="G620" s="91"/>
      <c r="H620" s="85"/>
      <c r="I620" s="85"/>
      <c r="J620" s="85"/>
      <c r="K620" s="85"/>
      <c r="L620" s="85"/>
      <c r="M620" s="85"/>
      <c r="N620" s="85"/>
      <c r="O620" s="85"/>
      <c r="P620" s="85"/>
    </row>
    <row r="621">
      <c r="A621" s="89"/>
      <c r="B621" s="89"/>
      <c r="C621" s="90"/>
      <c r="D621" s="91"/>
      <c r="E621" s="91"/>
      <c r="F621" s="91"/>
      <c r="G621" s="91"/>
      <c r="H621" s="85"/>
      <c r="I621" s="85"/>
      <c r="J621" s="85"/>
      <c r="K621" s="85"/>
      <c r="L621" s="85"/>
      <c r="M621" s="85"/>
      <c r="N621" s="85"/>
      <c r="O621" s="85"/>
      <c r="P621" s="85"/>
    </row>
    <row r="622">
      <c r="A622" s="89"/>
      <c r="B622" s="89"/>
      <c r="C622" s="90"/>
      <c r="D622" s="91"/>
      <c r="E622" s="91"/>
      <c r="F622" s="91"/>
      <c r="G622" s="91"/>
      <c r="H622" s="85"/>
      <c r="I622" s="85"/>
      <c r="J622" s="85"/>
      <c r="K622" s="85"/>
      <c r="L622" s="85"/>
      <c r="M622" s="85"/>
      <c r="N622" s="85"/>
      <c r="O622" s="85"/>
      <c r="P622" s="85"/>
    </row>
    <row r="623">
      <c r="A623" s="89"/>
      <c r="B623" s="89"/>
      <c r="C623" s="90"/>
      <c r="D623" s="91"/>
      <c r="E623" s="91"/>
      <c r="F623" s="91"/>
      <c r="G623" s="91"/>
      <c r="H623" s="85"/>
      <c r="I623" s="85"/>
      <c r="J623" s="85"/>
      <c r="K623" s="85"/>
      <c r="L623" s="85"/>
      <c r="M623" s="85"/>
      <c r="N623" s="85"/>
      <c r="O623" s="85"/>
      <c r="P623" s="85"/>
    </row>
    <row r="624">
      <c r="A624" s="89"/>
      <c r="B624" s="89"/>
      <c r="C624" s="90"/>
      <c r="D624" s="91"/>
      <c r="E624" s="91"/>
      <c r="F624" s="91"/>
      <c r="G624" s="91"/>
      <c r="H624" s="85"/>
      <c r="I624" s="85"/>
      <c r="J624" s="85"/>
      <c r="K624" s="85"/>
      <c r="L624" s="85"/>
      <c r="M624" s="85"/>
      <c r="N624" s="85"/>
      <c r="O624" s="85"/>
      <c r="P624" s="85"/>
    </row>
    <row r="625">
      <c r="A625" s="89"/>
      <c r="B625" s="89"/>
      <c r="C625" s="90"/>
      <c r="D625" s="91"/>
      <c r="E625" s="91"/>
      <c r="F625" s="91"/>
      <c r="G625" s="91"/>
      <c r="H625" s="85"/>
      <c r="I625" s="85"/>
      <c r="J625" s="85"/>
      <c r="K625" s="85"/>
      <c r="L625" s="85"/>
      <c r="M625" s="85"/>
      <c r="N625" s="85"/>
      <c r="O625" s="85"/>
      <c r="P625" s="85"/>
    </row>
    <row r="626">
      <c r="A626" s="89"/>
      <c r="B626" s="89"/>
      <c r="C626" s="90"/>
      <c r="D626" s="91"/>
      <c r="E626" s="91"/>
      <c r="F626" s="91"/>
      <c r="G626" s="91"/>
      <c r="H626" s="85"/>
      <c r="I626" s="85"/>
      <c r="J626" s="85"/>
      <c r="K626" s="85"/>
      <c r="L626" s="85"/>
      <c r="M626" s="85"/>
      <c r="N626" s="85"/>
      <c r="O626" s="85"/>
      <c r="P626" s="85"/>
    </row>
    <row r="627">
      <c r="A627" s="89"/>
      <c r="B627" s="89"/>
      <c r="C627" s="90"/>
      <c r="D627" s="91"/>
      <c r="E627" s="91"/>
      <c r="F627" s="91"/>
      <c r="G627" s="91"/>
      <c r="H627" s="85"/>
      <c r="I627" s="85"/>
      <c r="J627" s="85"/>
      <c r="K627" s="85"/>
      <c r="L627" s="85"/>
      <c r="M627" s="85"/>
      <c r="N627" s="85"/>
      <c r="O627" s="85"/>
      <c r="P627" s="85"/>
    </row>
    <row r="628">
      <c r="A628" s="89"/>
      <c r="B628" s="89"/>
      <c r="C628" s="90"/>
      <c r="D628" s="91"/>
      <c r="E628" s="91"/>
      <c r="F628" s="91"/>
      <c r="G628" s="91"/>
      <c r="H628" s="85"/>
      <c r="I628" s="85"/>
      <c r="J628" s="85"/>
      <c r="K628" s="85"/>
      <c r="L628" s="85"/>
      <c r="M628" s="85"/>
      <c r="N628" s="85"/>
      <c r="O628" s="85"/>
      <c r="P628" s="85"/>
    </row>
    <row r="629">
      <c r="A629" s="89"/>
      <c r="B629" s="89"/>
      <c r="C629" s="90"/>
      <c r="D629" s="91"/>
      <c r="E629" s="91"/>
      <c r="F629" s="91"/>
      <c r="G629" s="91"/>
      <c r="H629" s="85"/>
      <c r="I629" s="85"/>
      <c r="J629" s="85"/>
      <c r="K629" s="85"/>
      <c r="L629" s="85"/>
      <c r="M629" s="85"/>
      <c r="N629" s="85"/>
      <c r="O629" s="85"/>
      <c r="P629" s="85"/>
    </row>
    <row r="630">
      <c r="A630" s="89"/>
      <c r="B630" s="89"/>
      <c r="C630" s="90"/>
      <c r="D630" s="91"/>
      <c r="E630" s="91"/>
      <c r="F630" s="91"/>
      <c r="G630" s="91"/>
      <c r="H630" s="85"/>
      <c r="I630" s="85"/>
      <c r="J630" s="85"/>
      <c r="K630" s="85"/>
      <c r="L630" s="85"/>
      <c r="M630" s="85"/>
      <c r="N630" s="85"/>
      <c r="O630" s="85"/>
      <c r="P630" s="85"/>
    </row>
    <row r="631">
      <c r="A631" s="89"/>
      <c r="B631" s="89"/>
      <c r="C631" s="90"/>
      <c r="D631" s="91"/>
      <c r="E631" s="91"/>
      <c r="F631" s="91"/>
      <c r="G631" s="91"/>
      <c r="H631" s="85"/>
      <c r="I631" s="85"/>
      <c r="J631" s="85"/>
      <c r="K631" s="85"/>
      <c r="L631" s="85"/>
      <c r="M631" s="85"/>
      <c r="N631" s="85"/>
      <c r="O631" s="85"/>
      <c r="P631" s="85"/>
    </row>
    <row r="632">
      <c r="A632" s="89"/>
      <c r="B632" s="89"/>
      <c r="C632" s="90"/>
      <c r="D632" s="91"/>
      <c r="E632" s="91"/>
      <c r="F632" s="91"/>
      <c r="G632" s="91"/>
      <c r="H632" s="85"/>
      <c r="I632" s="85"/>
      <c r="J632" s="85"/>
      <c r="K632" s="85"/>
      <c r="L632" s="85"/>
      <c r="M632" s="85"/>
      <c r="N632" s="85"/>
      <c r="O632" s="85"/>
      <c r="P632" s="85"/>
    </row>
    <row r="633">
      <c r="A633" s="89"/>
      <c r="B633" s="89"/>
      <c r="C633" s="90"/>
      <c r="D633" s="91"/>
      <c r="E633" s="91"/>
      <c r="F633" s="91"/>
      <c r="G633" s="91"/>
      <c r="H633" s="85"/>
      <c r="I633" s="85"/>
      <c r="J633" s="85"/>
      <c r="K633" s="85"/>
      <c r="L633" s="85"/>
      <c r="M633" s="85"/>
      <c r="N633" s="85"/>
      <c r="O633" s="85"/>
      <c r="P633" s="85"/>
    </row>
    <row r="634">
      <c r="A634" s="89"/>
      <c r="B634" s="89"/>
      <c r="C634" s="90"/>
      <c r="D634" s="91"/>
      <c r="E634" s="91"/>
      <c r="F634" s="91"/>
      <c r="G634" s="91"/>
      <c r="H634" s="85"/>
      <c r="I634" s="85"/>
      <c r="J634" s="85"/>
      <c r="K634" s="85"/>
      <c r="L634" s="85"/>
      <c r="M634" s="85"/>
      <c r="N634" s="85"/>
      <c r="O634" s="85"/>
      <c r="P634" s="85"/>
    </row>
    <row r="635">
      <c r="A635" s="89"/>
      <c r="B635" s="89"/>
      <c r="C635" s="90"/>
      <c r="D635" s="91"/>
      <c r="E635" s="91"/>
      <c r="F635" s="91"/>
      <c r="G635" s="91"/>
      <c r="H635" s="85"/>
      <c r="I635" s="85"/>
      <c r="J635" s="85"/>
      <c r="K635" s="85"/>
      <c r="L635" s="85"/>
      <c r="M635" s="85"/>
      <c r="N635" s="85"/>
      <c r="O635" s="85"/>
      <c r="P635" s="85"/>
    </row>
    <row r="636">
      <c r="A636" s="89"/>
      <c r="B636" s="89"/>
      <c r="C636" s="90"/>
      <c r="D636" s="91"/>
      <c r="E636" s="91"/>
      <c r="F636" s="91"/>
      <c r="G636" s="91"/>
      <c r="H636" s="85"/>
      <c r="I636" s="85"/>
      <c r="J636" s="85"/>
      <c r="K636" s="85"/>
      <c r="L636" s="85"/>
      <c r="M636" s="85"/>
      <c r="N636" s="85"/>
      <c r="O636" s="85"/>
      <c r="P636" s="85"/>
    </row>
    <row r="637">
      <c r="A637" s="89"/>
      <c r="B637" s="89"/>
      <c r="C637" s="90"/>
      <c r="D637" s="91"/>
      <c r="E637" s="91"/>
      <c r="F637" s="91"/>
      <c r="G637" s="91"/>
      <c r="H637" s="85"/>
      <c r="I637" s="85"/>
      <c r="J637" s="85"/>
      <c r="K637" s="85"/>
      <c r="L637" s="85"/>
      <c r="M637" s="85"/>
      <c r="N637" s="85"/>
      <c r="O637" s="85"/>
      <c r="P637" s="85"/>
    </row>
    <row r="638">
      <c r="A638" s="89"/>
      <c r="B638" s="89"/>
      <c r="C638" s="90"/>
      <c r="D638" s="91"/>
      <c r="E638" s="91"/>
      <c r="F638" s="91"/>
      <c r="G638" s="91"/>
      <c r="H638" s="85"/>
      <c r="I638" s="85"/>
      <c r="J638" s="85"/>
      <c r="K638" s="85"/>
      <c r="L638" s="85"/>
      <c r="M638" s="85"/>
      <c r="N638" s="85"/>
      <c r="O638" s="85"/>
      <c r="P638" s="85"/>
    </row>
    <row r="639">
      <c r="A639" s="89"/>
      <c r="B639" s="89"/>
      <c r="C639" s="90"/>
      <c r="D639" s="91"/>
      <c r="E639" s="91"/>
      <c r="F639" s="91"/>
      <c r="G639" s="91"/>
      <c r="H639" s="85"/>
      <c r="I639" s="85"/>
      <c r="J639" s="85"/>
      <c r="K639" s="85"/>
      <c r="L639" s="85"/>
      <c r="M639" s="85"/>
      <c r="N639" s="85"/>
      <c r="O639" s="85"/>
      <c r="P639" s="85"/>
    </row>
    <row r="640">
      <c r="A640" s="89"/>
      <c r="B640" s="89"/>
      <c r="C640" s="90"/>
      <c r="D640" s="91"/>
      <c r="E640" s="91"/>
      <c r="F640" s="91"/>
      <c r="G640" s="91"/>
      <c r="H640" s="85"/>
      <c r="I640" s="85"/>
      <c r="J640" s="85"/>
      <c r="K640" s="85"/>
      <c r="L640" s="85"/>
      <c r="M640" s="85"/>
      <c r="N640" s="85"/>
      <c r="O640" s="85"/>
      <c r="P640" s="85"/>
    </row>
    <row r="641">
      <c r="A641" s="89"/>
      <c r="B641" s="89"/>
      <c r="C641" s="90"/>
      <c r="D641" s="91"/>
      <c r="E641" s="91"/>
      <c r="F641" s="91"/>
      <c r="G641" s="91"/>
      <c r="H641" s="85"/>
      <c r="I641" s="85"/>
      <c r="J641" s="85"/>
      <c r="K641" s="85"/>
      <c r="L641" s="85"/>
      <c r="M641" s="85"/>
      <c r="N641" s="85"/>
      <c r="O641" s="85"/>
      <c r="P641" s="85"/>
    </row>
    <row r="642">
      <c r="A642" s="89"/>
      <c r="B642" s="89"/>
      <c r="C642" s="90"/>
      <c r="D642" s="91"/>
      <c r="E642" s="91"/>
      <c r="F642" s="91"/>
      <c r="G642" s="91"/>
      <c r="H642" s="85"/>
      <c r="I642" s="85"/>
      <c r="J642" s="85"/>
      <c r="K642" s="85"/>
      <c r="L642" s="85"/>
      <c r="M642" s="85"/>
      <c r="N642" s="85"/>
      <c r="O642" s="85"/>
      <c r="P642" s="85"/>
    </row>
    <row r="643">
      <c r="A643" s="89"/>
      <c r="B643" s="89"/>
      <c r="C643" s="90"/>
      <c r="D643" s="91"/>
      <c r="E643" s="91"/>
      <c r="F643" s="91"/>
      <c r="G643" s="91"/>
      <c r="H643" s="85"/>
      <c r="I643" s="85"/>
      <c r="J643" s="85"/>
      <c r="K643" s="85"/>
      <c r="L643" s="85"/>
      <c r="M643" s="85"/>
      <c r="N643" s="85"/>
      <c r="O643" s="85"/>
      <c r="P643" s="85"/>
    </row>
    <row r="644">
      <c r="A644" s="89"/>
      <c r="B644" s="89"/>
      <c r="C644" s="90"/>
      <c r="D644" s="91"/>
      <c r="E644" s="91"/>
      <c r="F644" s="91"/>
      <c r="G644" s="91"/>
      <c r="H644" s="85"/>
      <c r="I644" s="85"/>
      <c r="J644" s="85"/>
      <c r="K644" s="85"/>
      <c r="L644" s="85"/>
      <c r="M644" s="85"/>
      <c r="N644" s="85"/>
      <c r="O644" s="85"/>
      <c r="P644" s="85"/>
    </row>
    <row r="645">
      <c r="A645" s="89"/>
      <c r="B645" s="89"/>
      <c r="C645" s="90"/>
      <c r="D645" s="91"/>
      <c r="E645" s="91"/>
      <c r="F645" s="91"/>
      <c r="G645" s="91"/>
      <c r="H645" s="85"/>
      <c r="I645" s="85"/>
      <c r="J645" s="85"/>
      <c r="K645" s="85"/>
      <c r="L645" s="85"/>
      <c r="M645" s="85"/>
      <c r="N645" s="85"/>
      <c r="O645" s="85"/>
      <c r="P645" s="85"/>
    </row>
    <row r="646">
      <c r="A646" s="89"/>
      <c r="B646" s="89"/>
      <c r="C646" s="90"/>
      <c r="D646" s="91"/>
      <c r="E646" s="91"/>
      <c r="F646" s="91"/>
      <c r="G646" s="91"/>
      <c r="H646" s="85"/>
      <c r="I646" s="85"/>
      <c r="J646" s="85"/>
      <c r="K646" s="85"/>
      <c r="L646" s="85"/>
      <c r="M646" s="85"/>
      <c r="N646" s="85"/>
      <c r="O646" s="85"/>
      <c r="P646" s="85"/>
    </row>
    <row r="647">
      <c r="A647" s="89"/>
      <c r="B647" s="89"/>
      <c r="C647" s="90"/>
      <c r="D647" s="91"/>
      <c r="E647" s="91"/>
      <c r="F647" s="91"/>
      <c r="G647" s="91"/>
      <c r="H647" s="85"/>
      <c r="I647" s="85"/>
      <c r="J647" s="85"/>
      <c r="K647" s="85"/>
      <c r="L647" s="85"/>
      <c r="M647" s="85"/>
      <c r="N647" s="85"/>
      <c r="O647" s="85"/>
      <c r="P647" s="85"/>
    </row>
    <row r="648">
      <c r="A648" s="89"/>
      <c r="B648" s="89"/>
      <c r="C648" s="90"/>
      <c r="D648" s="91"/>
      <c r="E648" s="91"/>
      <c r="F648" s="91"/>
      <c r="G648" s="91"/>
      <c r="H648" s="85"/>
      <c r="I648" s="85"/>
      <c r="J648" s="85"/>
      <c r="K648" s="85"/>
      <c r="L648" s="85"/>
      <c r="M648" s="85"/>
      <c r="N648" s="85"/>
      <c r="O648" s="85"/>
      <c r="P648" s="85"/>
    </row>
    <row r="649">
      <c r="A649" s="89"/>
      <c r="B649" s="89"/>
      <c r="C649" s="90"/>
      <c r="D649" s="91"/>
      <c r="E649" s="91"/>
      <c r="F649" s="91"/>
      <c r="G649" s="91"/>
      <c r="H649" s="85"/>
      <c r="I649" s="85"/>
      <c r="J649" s="85"/>
      <c r="K649" s="85"/>
      <c r="L649" s="85"/>
      <c r="M649" s="85"/>
      <c r="N649" s="85"/>
      <c r="O649" s="85"/>
      <c r="P649" s="85"/>
    </row>
    <row r="650">
      <c r="A650" s="89"/>
      <c r="B650" s="89"/>
      <c r="C650" s="90"/>
      <c r="D650" s="91"/>
      <c r="E650" s="91"/>
      <c r="F650" s="91"/>
      <c r="G650" s="91"/>
      <c r="H650" s="85"/>
      <c r="I650" s="85"/>
      <c r="J650" s="85"/>
      <c r="K650" s="85"/>
      <c r="L650" s="85"/>
      <c r="M650" s="85"/>
      <c r="N650" s="85"/>
      <c r="O650" s="85"/>
      <c r="P650" s="85"/>
    </row>
    <row r="651">
      <c r="A651" s="89"/>
      <c r="B651" s="89"/>
      <c r="C651" s="90"/>
      <c r="D651" s="91"/>
      <c r="E651" s="91"/>
      <c r="F651" s="91"/>
      <c r="G651" s="91"/>
      <c r="H651" s="85"/>
      <c r="I651" s="85"/>
      <c r="J651" s="85"/>
      <c r="K651" s="85"/>
      <c r="L651" s="85"/>
      <c r="M651" s="85"/>
      <c r="N651" s="85"/>
      <c r="O651" s="85"/>
      <c r="P651" s="85"/>
    </row>
    <row r="652">
      <c r="A652" s="89"/>
      <c r="B652" s="89"/>
      <c r="C652" s="90"/>
      <c r="D652" s="91"/>
      <c r="E652" s="91"/>
      <c r="F652" s="91"/>
      <c r="G652" s="91"/>
      <c r="H652" s="85"/>
      <c r="I652" s="85"/>
      <c r="J652" s="85"/>
      <c r="K652" s="85"/>
      <c r="L652" s="85"/>
      <c r="M652" s="85"/>
      <c r="N652" s="85"/>
      <c r="O652" s="85"/>
      <c r="P652" s="85"/>
    </row>
    <row r="653">
      <c r="A653" s="89"/>
      <c r="B653" s="89"/>
      <c r="C653" s="90"/>
      <c r="D653" s="91"/>
      <c r="E653" s="91"/>
      <c r="F653" s="91"/>
      <c r="G653" s="91"/>
      <c r="H653" s="85"/>
      <c r="I653" s="85"/>
      <c r="J653" s="85"/>
      <c r="K653" s="85"/>
      <c r="L653" s="85"/>
      <c r="M653" s="85"/>
      <c r="N653" s="85"/>
      <c r="O653" s="85"/>
      <c r="P653" s="85"/>
    </row>
    <row r="654">
      <c r="A654" s="89"/>
      <c r="B654" s="89"/>
      <c r="C654" s="90"/>
      <c r="D654" s="91"/>
      <c r="E654" s="91"/>
      <c r="F654" s="91"/>
      <c r="G654" s="91"/>
      <c r="H654" s="85"/>
      <c r="I654" s="85"/>
      <c r="J654" s="85"/>
      <c r="K654" s="85"/>
      <c r="L654" s="85"/>
      <c r="M654" s="85"/>
      <c r="N654" s="85"/>
      <c r="O654" s="85"/>
      <c r="P654" s="85"/>
    </row>
    <row r="655">
      <c r="A655" s="89"/>
      <c r="B655" s="89"/>
      <c r="C655" s="90"/>
      <c r="D655" s="91"/>
      <c r="E655" s="91"/>
      <c r="F655" s="91"/>
      <c r="G655" s="91"/>
      <c r="H655" s="85"/>
      <c r="I655" s="85"/>
      <c r="J655" s="85"/>
      <c r="K655" s="85"/>
      <c r="L655" s="85"/>
      <c r="M655" s="85"/>
      <c r="N655" s="85"/>
      <c r="O655" s="85"/>
      <c r="P655" s="85"/>
    </row>
    <row r="656">
      <c r="A656" s="89"/>
      <c r="B656" s="89"/>
      <c r="C656" s="90"/>
      <c r="D656" s="91"/>
      <c r="E656" s="91"/>
      <c r="F656" s="91"/>
      <c r="G656" s="91"/>
      <c r="H656" s="85"/>
      <c r="I656" s="85"/>
      <c r="J656" s="85"/>
      <c r="K656" s="85"/>
      <c r="L656" s="85"/>
      <c r="M656" s="85"/>
      <c r="N656" s="85"/>
      <c r="O656" s="85"/>
      <c r="P656" s="85"/>
    </row>
    <row r="657">
      <c r="A657" s="89"/>
      <c r="B657" s="89"/>
      <c r="C657" s="90"/>
      <c r="D657" s="91"/>
      <c r="E657" s="91"/>
      <c r="F657" s="91"/>
      <c r="G657" s="91"/>
      <c r="H657" s="85"/>
      <c r="I657" s="85"/>
      <c r="J657" s="85"/>
      <c r="K657" s="85"/>
      <c r="L657" s="85"/>
      <c r="M657" s="85"/>
      <c r="N657" s="85"/>
      <c r="O657" s="85"/>
      <c r="P657" s="85"/>
    </row>
    <row r="658">
      <c r="A658" s="89"/>
      <c r="B658" s="89"/>
      <c r="C658" s="90"/>
      <c r="D658" s="91"/>
      <c r="E658" s="91"/>
      <c r="F658" s="91"/>
      <c r="G658" s="91"/>
      <c r="H658" s="85"/>
      <c r="I658" s="85"/>
      <c r="J658" s="85"/>
      <c r="K658" s="85"/>
      <c r="L658" s="85"/>
      <c r="M658" s="85"/>
      <c r="N658" s="85"/>
      <c r="O658" s="85"/>
      <c r="P658" s="85"/>
    </row>
    <row r="659">
      <c r="A659" s="89"/>
      <c r="B659" s="89"/>
      <c r="C659" s="90"/>
      <c r="D659" s="91"/>
      <c r="E659" s="91"/>
      <c r="F659" s="91"/>
      <c r="G659" s="91"/>
      <c r="H659" s="85"/>
      <c r="I659" s="85"/>
      <c r="J659" s="85"/>
      <c r="K659" s="85"/>
      <c r="L659" s="85"/>
      <c r="M659" s="85"/>
      <c r="N659" s="85"/>
      <c r="O659" s="85"/>
      <c r="P659" s="85"/>
    </row>
    <row r="660">
      <c r="A660" s="89"/>
      <c r="B660" s="89"/>
      <c r="C660" s="90"/>
      <c r="D660" s="91"/>
      <c r="E660" s="91"/>
      <c r="F660" s="91"/>
      <c r="G660" s="91"/>
      <c r="H660" s="85"/>
      <c r="I660" s="85"/>
      <c r="J660" s="85"/>
      <c r="K660" s="85"/>
      <c r="L660" s="85"/>
      <c r="M660" s="85"/>
      <c r="N660" s="85"/>
      <c r="O660" s="85"/>
      <c r="P660" s="85"/>
    </row>
    <row r="661">
      <c r="A661" s="89"/>
      <c r="B661" s="89"/>
      <c r="C661" s="90"/>
      <c r="D661" s="91"/>
      <c r="E661" s="91"/>
      <c r="F661" s="91"/>
      <c r="G661" s="91"/>
      <c r="H661" s="85"/>
      <c r="I661" s="85"/>
      <c r="J661" s="85"/>
      <c r="K661" s="85"/>
      <c r="L661" s="85"/>
      <c r="M661" s="85"/>
      <c r="N661" s="85"/>
      <c r="O661" s="85"/>
      <c r="P661" s="85"/>
    </row>
    <row r="662">
      <c r="A662" s="89"/>
      <c r="B662" s="89"/>
      <c r="C662" s="90"/>
      <c r="D662" s="91"/>
      <c r="E662" s="91"/>
      <c r="F662" s="91"/>
      <c r="G662" s="91"/>
      <c r="H662" s="85"/>
      <c r="I662" s="85"/>
      <c r="J662" s="85"/>
      <c r="K662" s="85"/>
      <c r="L662" s="85"/>
      <c r="M662" s="85"/>
      <c r="N662" s="85"/>
      <c r="O662" s="85"/>
      <c r="P662" s="85"/>
    </row>
    <row r="663">
      <c r="A663" s="89"/>
      <c r="B663" s="89"/>
      <c r="C663" s="90"/>
      <c r="D663" s="91"/>
      <c r="E663" s="91"/>
      <c r="F663" s="91"/>
      <c r="G663" s="91"/>
      <c r="H663" s="85"/>
      <c r="I663" s="85"/>
      <c r="J663" s="85"/>
      <c r="K663" s="85"/>
      <c r="L663" s="85"/>
      <c r="M663" s="85"/>
      <c r="N663" s="85"/>
      <c r="O663" s="85"/>
      <c r="P663" s="85"/>
    </row>
    <row r="664">
      <c r="A664" s="89"/>
      <c r="B664" s="89"/>
      <c r="C664" s="90"/>
      <c r="D664" s="91"/>
      <c r="E664" s="91"/>
      <c r="F664" s="91"/>
      <c r="G664" s="91"/>
      <c r="H664" s="85"/>
      <c r="I664" s="85"/>
      <c r="J664" s="85"/>
      <c r="K664" s="85"/>
      <c r="L664" s="85"/>
      <c r="M664" s="85"/>
      <c r="N664" s="85"/>
      <c r="O664" s="85"/>
      <c r="P664" s="85"/>
    </row>
    <row r="665">
      <c r="A665" s="89"/>
      <c r="B665" s="89"/>
      <c r="C665" s="90"/>
      <c r="D665" s="91"/>
      <c r="E665" s="91"/>
      <c r="F665" s="91"/>
      <c r="G665" s="91"/>
      <c r="H665" s="85"/>
      <c r="I665" s="85"/>
      <c r="J665" s="85"/>
      <c r="K665" s="85"/>
      <c r="L665" s="85"/>
      <c r="M665" s="85"/>
      <c r="N665" s="85"/>
      <c r="O665" s="85"/>
      <c r="P665" s="85"/>
    </row>
    <row r="666">
      <c r="A666" s="89"/>
      <c r="B666" s="89"/>
      <c r="C666" s="90"/>
      <c r="D666" s="91"/>
      <c r="E666" s="91"/>
      <c r="F666" s="91"/>
      <c r="G666" s="91"/>
      <c r="H666" s="85"/>
      <c r="I666" s="85"/>
      <c r="J666" s="85"/>
      <c r="K666" s="85"/>
      <c r="L666" s="85"/>
      <c r="M666" s="85"/>
      <c r="N666" s="85"/>
      <c r="O666" s="85"/>
      <c r="P666" s="85"/>
    </row>
    <row r="667">
      <c r="A667" s="89"/>
      <c r="B667" s="89"/>
      <c r="C667" s="90"/>
      <c r="D667" s="91"/>
      <c r="E667" s="91"/>
      <c r="F667" s="91"/>
      <c r="G667" s="91"/>
      <c r="H667" s="85"/>
      <c r="I667" s="85"/>
      <c r="J667" s="85"/>
      <c r="K667" s="85"/>
      <c r="L667" s="85"/>
      <c r="M667" s="85"/>
      <c r="N667" s="85"/>
      <c r="O667" s="85"/>
      <c r="P667" s="85"/>
    </row>
    <row r="668">
      <c r="A668" s="89"/>
      <c r="B668" s="89"/>
      <c r="C668" s="90"/>
      <c r="D668" s="91"/>
      <c r="E668" s="91"/>
      <c r="F668" s="91"/>
      <c r="G668" s="91"/>
      <c r="H668" s="85"/>
      <c r="I668" s="85"/>
      <c r="J668" s="85"/>
      <c r="K668" s="85"/>
      <c r="L668" s="85"/>
      <c r="M668" s="85"/>
      <c r="N668" s="85"/>
      <c r="O668" s="85"/>
      <c r="P668" s="85"/>
    </row>
    <row r="669">
      <c r="A669" s="89"/>
      <c r="B669" s="89"/>
      <c r="C669" s="90"/>
      <c r="D669" s="91"/>
      <c r="E669" s="91"/>
      <c r="F669" s="91"/>
      <c r="G669" s="91"/>
      <c r="H669" s="85"/>
      <c r="I669" s="85"/>
      <c r="J669" s="85"/>
      <c r="K669" s="85"/>
      <c r="L669" s="85"/>
      <c r="M669" s="85"/>
      <c r="N669" s="85"/>
      <c r="O669" s="85"/>
      <c r="P669" s="85"/>
    </row>
    <row r="670">
      <c r="A670" s="89"/>
      <c r="B670" s="89"/>
      <c r="C670" s="90"/>
      <c r="D670" s="91"/>
      <c r="E670" s="91"/>
      <c r="F670" s="91"/>
      <c r="G670" s="91"/>
      <c r="H670" s="85"/>
      <c r="I670" s="85"/>
      <c r="J670" s="85"/>
      <c r="K670" s="85"/>
      <c r="L670" s="85"/>
      <c r="M670" s="85"/>
      <c r="N670" s="85"/>
      <c r="O670" s="85"/>
      <c r="P670" s="85"/>
    </row>
    <row r="671">
      <c r="A671" s="89"/>
      <c r="B671" s="89"/>
      <c r="C671" s="90"/>
      <c r="D671" s="91"/>
      <c r="E671" s="91"/>
      <c r="F671" s="91"/>
      <c r="G671" s="91"/>
      <c r="H671" s="85"/>
      <c r="I671" s="85"/>
      <c r="J671" s="85"/>
      <c r="K671" s="85"/>
      <c r="L671" s="85"/>
      <c r="M671" s="85"/>
      <c r="N671" s="85"/>
      <c r="O671" s="85"/>
      <c r="P671" s="85"/>
    </row>
    <row r="672">
      <c r="A672" s="89"/>
      <c r="B672" s="89"/>
      <c r="C672" s="90"/>
      <c r="D672" s="91"/>
      <c r="E672" s="91"/>
      <c r="F672" s="91"/>
      <c r="G672" s="91"/>
      <c r="H672" s="85"/>
      <c r="I672" s="85"/>
      <c r="J672" s="85"/>
      <c r="K672" s="85"/>
      <c r="L672" s="85"/>
      <c r="M672" s="85"/>
      <c r="N672" s="85"/>
      <c r="O672" s="85"/>
      <c r="P672" s="85"/>
    </row>
    <row r="673">
      <c r="A673" s="89"/>
      <c r="B673" s="89"/>
      <c r="C673" s="90"/>
      <c r="D673" s="91"/>
      <c r="E673" s="91"/>
      <c r="F673" s="91"/>
      <c r="G673" s="91"/>
      <c r="H673" s="85"/>
      <c r="I673" s="85"/>
      <c r="J673" s="85"/>
      <c r="K673" s="85"/>
      <c r="L673" s="85"/>
      <c r="M673" s="85"/>
      <c r="N673" s="85"/>
      <c r="O673" s="85"/>
      <c r="P673" s="85"/>
    </row>
    <row r="674">
      <c r="A674" s="89"/>
      <c r="B674" s="89"/>
      <c r="C674" s="90"/>
      <c r="D674" s="91"/>
      <c r="E674" s="91"/>
      <c r="F674" s="91"/>
      <c r="G674" s="91"/>
      <c r="H674" s="85"/>
      <c r="I674" s="85"/>
      <c r="J674" s="85"/>
      <c r="K674" s="85"/>
      <c r="L674" s="85"/>
      <c r="M674" s="85"/>
      <c r="N674" s="85"/>
      <c r="O674" s="85"/>
      <c r="P674" s="85"/>
    </row>
    <row r="675">
      <c r="A675" s="89"/>
      <c r="B675" s="89"/>
      <c r="C675" s="90"/>
      <c r="D675" s="91"/>
      <c r="E675" s="91"/>
      <c r="F675" s="91"/>
      <c r="G675" s="91"/>
      <c r="H675" s="85"/>
      <c r="I675" s="85"/>
      <c r="J675" s="85"/>
      <c r="K675" s="85"/>
      <c r="L675" s="85"/>
      <c r="M675" s="85"/>
      <c r="N675" s="85"/>
      <c r="O675" s="85"/>
      <c r="P675" s="85"/>
    </row>
    <row r="676">
      <c r="A676" s="89"/>
      <c r="B676" s="89"/>
      <c r="C676" s="90"/>
      <c r="D676" s="91"/>
      <c r="E676" s="91"/>
      <c r="F676" s="91"/>
      <c r="G676" s="91"/>
      <c r="H676" s="85"/>
      <c r="I676" s="85"/>
      <c r="J676" s="85"/>
      <c r="K676" s="85"/>
      <c r="L676" s="85"/>
      <c r="M676" s="85"/>
      <c r="N676" s="85"/>
      <c r="O676" s="85"/>
      <c r="P676" s="85"/>
    </row>
    <row r="677">
      <c r="A677" s="89"/>
      <c r="B677" s="89"/>
      <c r="C677" s="90"/>
      <c r="D677" s="91"/>
      <c r="E677" s="91"/>
      <c r="F677" s="91"/>
      <c r="G677" s="91"/>
      <c r="H677" s="85"/>
      <c r="I677" s="85"/>
      <c r="J677" s="85"/>
      <c r="K677" s="85"/>
      <c r="L677" s="85"/>
      <c r="M677" s="85"/>
      <c r="N677" s="85"/>
      <c r="O677" s="85"/>
      <c r="P677" s="85"/>
    </row>
    <row r="678">
      <c r="A678" s="89"/>
      <c r="B678" s="89"/>
      <c r="C678" s="90"/>
      <c r="D678" s="91"/>
      <c r="E678" s="91"/>
      <c r="F678" s="91"/>
      <c r="G678" s="91"/>
      <c r="H678" s="85"/>
      <c r="I678" s="85"/>
      <c r="J678" s="85"/>
      <c r="K678" s="85"/>
      <c r="L678" s="85"/>
      <c r="M678" s="85"/>
      <c r="N678" s="85"/>
      <c r="O678" s="85"/>
      <c r="P678" s="85"/>
    </row>
    <row r="679">
      <c r="A679" s="89"/>
      <c r="B679" s="89"/>
      <c r="C679" s="90"/>
      <c r="D679" s="91"/>
      <c r="E679" s="91"/>
      <c r="F679" s="91"/>
      <c r="G679" s="91"/>
      <c r="H679" s="85"/>
      <c r="I679" s="85"/>
      <c r="J679" s="85"/>
      <c r="K679" s="85"/>
      <c r="L679" s="85"/>
      <c r="M679" s="85"/>
      <c r="N679" s="85"/>
      <c r="O679" s="85"/>
      <c r="P679" s="85"/>
    </row>
    <row r="680">
      <c r="A680" s="89"/>
      <c r="B680" s="89"/>
      <c r="C680" s="90"/>
      <c r="D680" s="91"/>
      <c r="E680" s="91"/>
      <c r="F680" s="91"/>
      <c r="G680" s="91"/>
      <c r="H680" s="85"/>
      <c r="I680" s="85"/>
      <c r="J680" s="85"/>
      <c r="K680" s="85"/>
      <c r="L680" s="85"/>
      <c r="M680" s="85"/>
      <c r="N680" s="85"/>
      <c r="O680" s="85"/>
      <c r="P680" s="85"/>
    </row>
    <row r="681">
      <c r="A681" s="89"/>
      <c r="B681" s="89"/>
      <c r="C681" s="90"/>
      <c r="D681" s="91"/>
      <c r="E681" s="91"/>
      <c r="F681" s="91"/>
      <c r="G681" s="91"/>
      <c r="H681" s="85"/>
      <c r="I681" s="85"/>
      <c r="J681" s="85"/>
      <c r="K681" s="85"/>
      <c r="L681" s="85"/>
      <c r="M681" s="85"/>
      <c r="N681" s="85"/>
      <c r="O681" s="85"/>
      <c r="P681" s="85"/>
    </row>
    <row r="682">
      <c r="A682" s="89"/>
      <c r="B682" s="89"/>
      <c r="C682" s="90"/>
      <c r="D682" s="91"/>
      <c r="E682" s="91"/>
      <c r="F682" s="91"/>
      <c r="G682" s="91"/>
      <c r="H682" s="85"/>
      <c r="I682" s="85"/>
      <c r="J682" s="85"/>
      <c r="K682" s="85"/>
      <c r="L682" s="85"/>
      <c r="M682" s="85"/>
      <c r="N682" s="85"/>
      <c r="O682" s="85"/>
      <c r="P682" s="85"/>
    </row>
    <row r="683">
      <c r="A683" s="89"/>
      <c r="B683" s="89"/>
      <c r="C683" s="90"/>
      <c r="D683" s="91"/>
      <c r="E683" s="91"/>
      <c r="F683" s="91"/>
      <c r="G683" s="91"/>
      <c r="H683" s="85"/>
      <c r="I683" s="85"/>
      <c r="J683" s="85"/>
      <c r="K683" s="85"/>
      <c r="L683" s="85"/>
      <c r="M683" s="85"/>
      <c r="N683" s="85"/>
      <c r="O683" s="85"/>
      <c r="P683" s="85"/>
    </row>
    <row r="684">
      <c r="A684" s="89"/>
      <c r="B684" s="89"/>
      <c r="C684" s="90"/>
      <c r="D684" s="91"/>
      <c r="E684" s="91"/>
      <c r="F684" s="91"/>
      <c r="G684" s="91"/>
      <c r="H684" s="85"/>
      <c r="I684" s="85"/>
      <c r="J684" s="85"/>
      <c r="K684" s="85"/>
      <c r="L684" s="85"/>
      <c r="M684" s="85"/>
      <c r="N684" s="85"/>
      <c r="O684" s="85"/>
      <c r="P684" s="85"/>
    </row>
    <row r="685">
      <c r="A685" s="89"/>
      <c r="B685" s="89"/>
      <c r="C685" s="90"/>
      <c r="D685" s="91"/>
      <c r="E685" s="91"/>
      <c r="F685" s="91"/>
      <c r="G685" s="91"/>
      <c r="H685" s="85"/>
      <c r="I685" s="85"/>
      <c r="J685" s="85"/>
      <c r="K685" s="85"/>
      <c r="L685" s="85"/>
      <c r="M685" s="85"/>
      <c r="N685" s="85"/>
      <c r="O685" s="85"/>
      <c r="P685" s="85"/>
    </row>
    <row r="686">
      <c r="A686" s="89"/>
      <c r="B686" s="89"/>
      <c r="C686" s="90"/>
      <c r="D686" s="91"/>
      <c r="E686" s="91"/>
      <c r="F686" s="91"/>
      <c r="G686" s="91"/>
      <c r="H686" s="85"/>
      <c r="I686" s="85"/>
      <c r="J686" s="85"/>
      <c r="K686" s="85"/>
      <c r="L686" s="85"/>
      <c r="M686" s="85"/>
      <c r="N686" s="85"/>
      <c r="O686" s="85"/>
      <c r="P686" s="85"/>
    </row>
    <row r="687">
      <c r="A687" s="89"/>
      <c r="B687" s="89"/>
      <c r="C687" s="90"/>
      <c r="D687" s="91"/>
      <c r="E687" s="91"/>
      <c r="F687" s="91"/>
      <c r="G687" s="91"/>
      <c r="H687" s="85"/>
      <c r="I687" s="85"/>
      <c r="J687" s="85"/>
      <c r="K687" s="85"/>
      <c r="L687" s="85"/>
      <c r="M687" s="85"/>
      <c r="N687" s="85"/>
      <c r="O687" s="85"/>
      <c r="P687" s="85"/>
    </row>
    <row r="688">
      <c r="A688" s="89"/>
      <c r="B688" s="89"/>
      <c r="C688" s="90"/>
      <c r="D688" s="91"/>
      <c r="E688" s="91"/>
      <c r="F688" s="91"/>
      <c r="G688" s="91"/>
      <c r="H688" s="85"/>
      <c r="I688" s="85"/>
      <c r="J688" s="85"/>
      <c r="K688" s="85"/>
      <c r="L688" s="85"/>
      <c r="M688" s="85"/>
      <c r="N688" s="85"/>
      <c r="O688" s="85"/>
      <c r="P688" s="85"/>
    </row>
    <row r="689">
      <c r="A689" s="89"/>
      <c r="B689" s="89"/>
      <c r="C689" s="90"/>
      <c r="D689" s="91"/>
      <c r="E689" s="91"/>
      <c r="F689" s="91"/>
      <c r="G689" s="91"/>
      <c r="H689" s="85"/>
      <c r="I689" s="85"/>
      <c r="J689" s="85"/>
      <c r="K689" s="85"/>
      <c r="L689" s="85"/>
      <c r="M689" s="85"/>
      <c r="N689" s="85"/>
      <c r="O689" s="85"/>
      <c r="P689" s="85"/>
    </row>
    <row r="690">
      <c r="A690" s="89"/>
      <c r="B690" s="89"/>
      <c r="C690" s="90"/>
      <c r="D690" s="91"/>
      <c r="E690" s="91"/>
      <c r="F690" s="91"/>
      <c r="G690" s="91"/>
      <c r="H690" s="85"/>
      <c r="I690" s="85"/>
      <c r="J690" s="85"/>
      <c r="K690" s="85"/>
      <c r="L690" s="85"/>
      <c r="M690" s="85"/>
      <c r="N690" s="85"/>
      <c r="O690" s="85"/>
      <c r="P690" s="85"/>
    </row>
    <row r="691">
      <c r="A691" s="89"/>
      <c r="B691" s="89"/>
      <c r="C691" s="90"/>
      <c r="D691" s="91"/>
      <c r="E691" s="91"/>
      <c r="F691" s="91"/>
      <c r="G691" s="91"/>
      <c r="H691" s="85"/>
      <c r="I691" s="85"/>
      <c r="J691" s="85"/>
      <c r="K691" s="85"/>
      <c r="L691" s="85"/>
      <c r="M691" s="85"/>
      <c r="N691" s="85"/>
      <c r="O691" s="85"/>
      <c r="P691" s="85"/>
    </row>
    <row r="692">
      <c r="A692" s="89"/>
      <c r="B692" s="89"/>
      <c r="C692" s="90"/>
      <c r="D692" s="91"/>
      <c r="E692" s="91"/>
      <c r="F692" s="91"/>
      <c r="G692" s="91"/>
      <c r="H692" s="85"/>
      <c r="I692" s="85"/>
      <c r="J692" s="85"/>
      <c r="K692" s="85"/>
      <c r="L692" s="85"/>
      <c r="M692" s="85"/>
      <c r="N692" s="85"/>
      <c r="O692" s="85"/>
      <c r="P692" s="85"/>
    </row>
    <row r="693">
      <c r="A693" s="89"/>
      <c r="B693" s="89"/>
      <c r="C693" s="90"/>
      <c r="D693" s="91"/>
      <c r="E693" s="91"/>
      <c r="F693" s="91"/>
      <c r="G693" s="91"/>
      <c r="H693" s="85"/>
      <c r="I693" s="85"/>
      <c r="J693" s="85"/>
      <c r="K693" s="85"/>
      <c r="L693" s="85"/>
      <c r="M693" s="85"/>
      <c r="N693" s="85"/>
      <c r="O693" s="85"/>
      <c r="P693" s="85"/>
    </row>
    <row r="694">
      <c r="A694" s="89"/>
      <c r="B694" s="89"/>
      <c r="C694" s="90"/>
      <c r="D694" s="91"/>
      <c r="E694" s="91"/>
      <c r="F694" s="91"/>
      <c r="G694" s="91"/>
      <c r="H694" s="85"/>
      <c r="I694" s="85"/>
      <c r="J694" s="85"/>
      <c r="K694" s="85"/>
      <c r="L694" s="85"/>
      <c r="M694" s="85"/>
      <c r="N694" s="85"/>
      <c r="O694" s="85"/>
      <c r="P694" s="85"/>
    </row>
    <row r="695">
      <c r="A695" s="89"/>
      <c r="B695" s="89"/>
      <c r="C695" s="90"/>
      <c r="D695" s="91"/>
      <c r="E695" s="91"/>
      <c r="F695" s="91"/>
      <c r="G695" s="91"/>
      <c r="H695" s="85"/>
      <c r="I695" s="85"/>
      <c r="J695" s="85"/>
      <c r="K695" s="85"/>
      <c r="L695" s="85"/>
      <c r="M695" s="85"/>
      <c r="N695" s="85"/>
      <c r="O695" s="85"/>
      <c r="P695" s="85"/>
    </row>
    <row r="696">
      <c r="A696" s="89"/>
      <c r="B696" s="89"/>
      <c r="C696" s="90"/>
      <c r="D696" s="91"/>
      <c r="E696" s="91"/>
      <c r="F696" s="91"/>
      <c r="G696" s="91"/>
      <c r="H696" s="85"/>
      <c r="I696" s="85"/>
      <c r="J696" s="85"/>
      <c r="K696" s="85"/>
      <c r="L696" s="85"/>
      <c r="M696" s="85"/>
      <c r="N696" s="85"/>
      <c r="O696" s="85"/>
      <c r="P696" s="85"/>
    </row>
    <row r="697">
      <c r="A697" s="89"/>
      <c r="B697" s="89"/>
      <c r="C697" s="90"/>
      <c r="D697" s="91"/>
      <c r="E697" s="91"/>
      <c r="F697" s="91"/>
      <c r="G697" s="91"/>
      <c r="H697" s="85"/>
      <c r="I697" s="85"/>
      <c r="J697" s="85"/>
      <c r="K697" s="85"/>
      <c r="L697" s="85"/>
      <c r="M697" s="85"/>
      <c r="N697" s="85"/>
      <c r="O697" s="85"/>
      <c r="P697" s="85"/>
    </row>
    <row r="698">
      <c r="A698" s="89"/>
      <c r="B698" s="89"/>
      <c r="C698" s="90"/>
      <c r="D698" s="91"/>
      <c r="E698" s="91"/>
      <c r="F698" s="91"/>
      <c r="G698" s="91"/>
      <c r="H698" s="85"/>
      <c r="I698" s="85"/>
      <c r="J698" s="85"/>
      <c r="K698" s="85"/>
      <c r="L698" s="85"/>
      <c r="M698" s="85"/>
      <c r="N698" s="85"/>
      <c r="O698" s="85"/>
      <c r="P698" s="85"/>
    </row>
    <row r="699">
      <c r="A699" s="89"/>
      <c r="B699" s="89"/>
      <c r="C699" s="90"/>
      <c r="D699" s="91"/>
      <c r="E699" s="91"/>
      <c r="F699" s="91"/>
      <c r="G699" s="91"/>
      <c r="H699" s="85"/>
      <c r="I699" s="85"/>
      <c r="J699" s="85"/>
      <c r="K699" s="85"/>
      <c r="L699" s="85"/>
      <c r="M699" s="85"/>
      <c r="N699" s="85"/>
      <c r="O699" s="85"/>
      <c r="P699" s="85"/>
    </row>
    <row r="700">
      <c r="A700" s="89"/>
      <c r="B700" s="89"/>
      <c r="C700" s="90"/>
      <c r="D700" s="91"/>
      <c r="E700" s="91"/>
      <c r="F700" s="91"/>
      <c r="G700" s="91"/>
      <c r="H700" s="85"/>
      <c r="I700" s="85"/>
      <c r="J700" s="85"/>
      <c r="K700" s="85"/>
      <c r="L700" s="85"/>
      <c r="M700" s="85"/>
      <c r="N700" s="85"/>
      <c r="O700" s="85"/>
      <c r="P700" s="85"/>
    </row>
    <row r="701">
      <c r="A701" s="89"/>
      <c r="B701" s="89"/>
      <c r="C701" s="90"/>
      <c r="D701" s="91"/>
      <c r="E701" s="91"/>
      <c r="F701" s="91"/>
      <c r="G701" s="91"/>
      <c r="H701" s="85"/>
      <c r="I701" s="85"/>
      <c r="J701" s="85"/>
      <c r="K701" s="85"/>
      <c r="L701" s="85"/>
      <c r="M701" s="85"/>
      <c r="N701" s="85"/>
      <c r="O701" s="85"/>
      <c r="P701" s="85"/>
    </row>
    <row r="702">
      <c r="A702" s="89"/>
      <c r="B702" s="89"/>
      <c r="C702" s="90"/>
      <c r="D702" s="91"/>
      <c r="E702" s="91"/>
      <c r="F702" s="91"/>
      <c r="G702" s="91"/>
      <c r="H702" s="85"/>
      <c r="I702" s="85"/>
      <c r="J702" s="85"/>
      <c r="K702" s="85"/>
      <c r="L702" s="85"/>
      <c r="M702" s="85"/>
      <c r="N702" s="85"/>
      <c r="O702" s="85"/>
      <c r="P702" s="85"/>
    </row>
    <row r="703">
      <c r="A703" s="89"/>
      <c r="B703" s="89"/>
      <c r="C703" s="90"/>
      <c r="D703" s="91"/>
      <c r="E703" s="91"/>
      <c r="F703" s="91"/>
      <c r="G703" s="91"/>
      <c r="H703" s="85"/>
      <c r="I703" s="85"/>
      <c r="J703" s="85"/>
      <c r="K703" s="85"/>
      <c r="L703" s="85"/>
      <c r="M703" s="85"/>
      <c r="N703" s="85"/>
      <c r="O703" s="85"/>
      <c r="P703" s="85"/>
    </row>
    <row r="704">
      <c r="A704" s="89"/>
      <c r="B704" s="89"/>
      <c r="C704" s="90"/>
      <c r="D704" s="91"/>
      <c r="E704" s="91"/>
      <c r="F704" s="91"/>
      <c r="G704" s="91"/>
      <c r="H704" s="85"/>
      <c r="I704" s="85"/>
      <c r="J704" s="85"/>
      <c r="K704" s="85"/>
      <c r="L704" s="85"/>
      <c r="M704" s="85"/>
      <c r="N704" s="85"/>
      <c r="O704" s="85"/>
      <c r="P704" s="85"/>
    </row>
    <row r="705">
      <c r="A705" s="89"/>
      <c r="B705" s="89"/>
      <c r="C705" s="90"/>
      <c r="D705" s="91"/>
      <c r="E705" s="91"/>
      <c r="F705" s="91"/>
      <c r="G705" s="91"/>
      <c r="H705" s="85"/>
      <c r="I705" s="85"/>
      <c r="J705" s="85"/>
      <c r="K705" s="85"/>
      <c r="L705" s="85"/>
      <c r="M705" s="85"/>
      <c r="N705" s="85"/>
      <c r="O705" s="85"/>
      <c r="P705" s="85"/>
    </row>
    <row r="706">
      <c r="A706" s="89"/>
      <c r="B706" s="89"/>
      <c r="C706" s="90"/>
      <c r="D706" s="91"/>
      <c r="E706" s="91"/>
      <c r="F706" s="91"/>
      <c r="G706" s="91"/>
      <c r="H706" s="85"/>
      <c r="I706" s="85"/>
      <c r="J706" s="85"/>
      <c r="K706" s="85"/>
      <c r="L706" s="85"/>
      <c r="M706" s="85"/>
      <c r="N706" s="85"/>
      <c r="O706" s="85"/>
      <c r="P706" s="85"/>
    </row>
    <row r="707">
      <c r="A707" s="89"/>
      <c r="B707" s="89"/>
      <c r="C707" s="90"/>
      <c r="D707" s="91"/>
      <c r="E707" s="91"/>
      <c r="F707" s="91"/>
      <c r="G707" s="91"/>
      <c r="H707" s="85"/>
      <c r="I707" s="85"/>
      <c r="J707" s="85"/>
      <c r="K707" s="85"/>
      <c r="L707" s="85"/>
      <c r="M707" s="85"/>
      <c r="N707" s="85"/>
      <c r="O707" s="85"/>
      <c r="P707" s="85"/>
    </row>
    <row r="708">
      <c r="A708" s="89"/>
      <c r="B708" s="89"/>
      <c r="C708" s="90"/>
      <c r="D708" s="91"/>
      <c r="E708" s="91"/>
      <c r="F708" s="91"/>
      <c r="G708" s="91"/>
      <c r="H708" s="85"/>
      <c r="I708" s="85"/>
      <c r="J708" s="85"/>
      <c r="K708" s="85"/>
      <c r="L708" s="85"/>
      <c r="M708" s="85"/>
      <c r="N708" s="85"/>
      <c r="O708" s="85"/>
      <c r="P708" s="85"/>
    </row>
    <row r="709">
      <c r="A709" s="89"/>
      <c r="B709" s="89"/>
      <c r="C709" s="90"/>
      <c r="D709" s="91"/>
      <c r="E709" s="91"/>
      <c r="F709" s="91"/>
      <c r="G709" s="91"/>
      <c r="H709" s="85"/>
      <c r="I709" s="85"/>
      <c r="J709" s="85"/>
      <c r="K709" s="85"/>
      <c r="L709" s="85"/>
      <c r="M709" s="85"/>
      <c r="N709" s="85"/>
      <c r="O709" s="85"/>
      <c r="P709" s="85"/>
    </row>
    <row r="710">
      <c r="A710" s="89"/>
      <c r="B710" s="89"/>
      <c r="C710" s="90"/>
      <c r="D710" s="91"/>
      <c r="E710" s="91"/>
      <c r="F710" s="91"/>
      <c r="G710" s="91"/>
      <c r="H710" s="85"/>
      <c r="I710" s="85"/>
      <c r="J710" s="85"/>
      <c r="K710" s="85"/>
      <c r="L710" s="85"/>
      <c r="M710" s="85"/>
      <c r="N710" s="85"/>
      <c r="O710" s="85"/>
      <c r="P710" s="85"/>
    </row>
    <row r="711">
      <c r="A711" s="89"/>
      <c r="B711" s="89"/>
      <c r="C711" s="90"/>
      <c r="D711" s="91"/>
      <c r="E711" s="91"/>
      <c r="F711" s="91"/>
      <c r="G711" s="91"/>
      <c r="H711" s="85"/>
      <c r="I711" s="85"/>
      <c r="J711" s="85"/>
      <c r="K711" s="85"/>
      <c r="L711" s="85"/>
      <c r="M711" s="85"/>
      <c r="N711" s="85"/>
      <c r="O711" s="85"/>
      <c r="P711" s="85"/>
    </row>
    <row r="712">
      <c r="A712" s="89"/>
      <c r="B712" s="89"/>
      <c r="C712" s="90"/>
      <c r="D712" s="91"/>
      <c r="E712" s="91"/>
      <c r="F712" s="91"/>
      <c r="G712" s="91"/>
      <c r="H712" s="85"/>
      <c r="I712" s="85"/>
      <c r="J712" s="85"/>
      <c r="K712" s="85"/>
      <c r="L712" s="85"/>
      <c r="M712" s="85"/>
      <c r="N712" s="85"/>
      <c r="O712" s="85"/>
      <c r="P712" s="85"/>
    </row>
    <row r="713">
      <c r="A713" s="89"/>
      <c r="B713" s="89"/>
      <c r="C713" s="90"/>
      <c r="D713" s="91"/>
      <c r="E713" s="91"/>
      <c r="F713" s="91"/>
      <c r="G713" s="91"/>
      <c r="H713" s="85"/>
      <c r="I713" s="85"/>
      <c r="J713" s="85"/>
      <c r="K713" s="85"/>
      <c r="L713" s="85"/>
      <c r="M713" s="85"/>
      <c r="N713" s="85"/>
      <c r="O713" s="85"/>
      <c r="P713" s="85"/>
    </row>
    <row r="714">
      <c r="A714" s="89"/>
      <c r="B714" s="89"/>
      <c r="C714" s="90"/>
      <c r="D714" s="91"/>
      <c r="E714" s="91"/>
      <c r="F714" s="91"/>
      <c r="G714" s="91"/>
      <c r="H714" s="85"/>
      <c r="I714" s="85"/>
      <c r="J714" s="85"/>
      <c r="K714" s="85"/>
      <c r="L714" s="85"/>
      <c r="M714" s="85"/>
      <c r="N714" s="85"/>
      <c r="O714" s="85"/>
      <c r="P714" s="85"/>
    </row>
    <row r="715">
      <c r="A715" s="89"/>
      <c r="B715" s="89"/>
      <c r="C715" s="90"/>
      <c r="D715" s="91"/>
      <c r="E715" s="91"/>
      <c r="F715" s="91"/>
      <c r="G715" s="91"/>
      <c r="H715" s="85"/>
      <c r="I715" s="85"/>
      <c r="J715" s="85"/>
      <c r="K715" s="85"/>
      <c r="L715" s="85"/>
      <c r="M715" s="85"/>
      <c r="N715" s="85"/>
      <c r="O715" s="85"/>
      <c r="P715" s="85"/>
    </row>
    <row r="716">
      <c r="A716" s="89"/>
      <c r="B716" s="89"/>
      <c r="C716" s="90"/>
      <c r="D716" s="91"/>
      <c r="E716" s="91"/>
      <c r="F716" s="91"/>
      <c r="G716" s="91"/>
      <c r="H716" s="85"/>
      <c r="I716" s="85"/>
      <c r="J716" s="85"/>
      <c r="K716" s="85"/>
      <c r="L716" s="85"/>
      <c r="M716" s="85"/>
      <c r="N716" s="85"/>
      <c r="O716" s="85"/>
      <c r="P716" s="85"/>
    </row>
    <row r="717">
      <c r="A717" s="89"/>
      <c r="B717" s="89"/>
      <c r="C717" s="90"/>
      <c r="D717" s="91"/>
      <c r="E717" s="91"/>
      <c r="F717" s="91"/>
      <c r="G717" s="91"/>
      <c r="H717" s="85"/>
      <c r="I717" s="85"/>
      <c r="J717" s="85"/>
      <c r="K717" s="85"/>
      <c r="L717" s="85"/>
      <c r="M717" s="85"/>
      <c r="N717" s="85"/>
      <c r="O717" s="85"/>
      <c r="P717" s="85"/>
    </row>
    <row r="718">
      <c r="A718" s="89"/>
      <c r="B718" s="89"/>
      <c r="C718" s="90"/>
      <c r="D718" s="91"/>
      <c r="E718" s="91"/>
      <c r="F718" s="91"/>
      <c r="G718" s="91"/>
      <c r="H718" s="85"/>
      <c r="I718" s="85"/>
      <c r="J718" s="85"/>
      <c r="K718" s="85"/>
      <c r="L718" s="85"/>
      <c r="M718" s="85"/>
      <c r="N718" s="85"/>
      <c r="O718" s="85"/>
      <c r="P718" s="85"/>
    </row>
    <row r="719">
      <c r="A719" s="89"/>
      <c r="B719" s="89"/>
      <c r="C719" s="90"/>
      <c r="D719" s="91"/>
      <c r="E719" s="91"/>
      <c r="F719" s="91"/>
      <c r="G719" s="91"/>
      <c r="H719" s="85"/>
      <c r="I719" s="85"/>
      <c r="J719" s="85"/>
      <c r="K719" s="85"/>
      <c r="L719" s="85"/>
      <c r="M719" s="85"/>
      <c r="N719" s="85"/>
      <c r="O719" s="85"/>
      <c r="P719" s="85"/>
    </row>
    <row r="720">
      <c r="A720" s="89"/>
      <c r="B720" s="89"/>
      <c r="C720" s="90"/>
      <c r="D720" s="91"/>
      <c r="E720" s="91"/>
      <c r="F720" s="91"/>
      <c r="G720" s="91"/>
      <c r="H720" s="85"/>
      <c r="I720" s="85"/>
      <c r="J720" s="85"/>
      <c r="K720" s="85"/>
      <c r="L720" s="85"/>
      <c r="M720" s="85"/>
      <c r="N720" s="85"/>
      <c r="O720" s="85"/>
      <c r="P720" s="85"/>
    </row>
    <row r="721">
      <c r="A721" s="89"/>
      <c r="B721" s="89"/>
      <c r="C721" s="90"/>
      <c r="D721" s="91"/>
      <c r="E721" s="91"/>
      <c r="F721" s="91"/>
      <c r="G721" s="91"/>
      <c r="H721" s="85"/>
      <c r="I721" s="85"/>
      <c r="J721" s="85"/>
      <c r="K721" s="85"/>
      <c r="L721" s="85"/>
      <c r="M721" s="85"/>
      <c r="N721" s="85"/>
      <c r="O721" s="85"/>
      <c r="P721" s="85"/>
    </row>
    <row r="722">
      <c r="A722" s="89"/>
      <c r="B722" s="89"/>
      <c r="C722" s="90"/>
      <c r="D722" s="91"/>
      <c r="E722" s="91"/>
      <c r="F722" s="91"/>
      <c r="G722" s="91"/>
      <c r="H722" s="85"/>
      <c r="I722" s="85"/>
      <c r="J722" s="85"/>
      <c r="K722" s="85"/>
      <c r="L722" s="85"/>
      <c r="M722" s="85"/>
      <c r="N722" s="85"/>
      <c r="O722" s="85"/>
      <c r="P722" s="85"/>
    </row>
    <row r="723">
      <c r="A723" s="89"/>
      <c r="B723" s="89"/>
      <c r="C723" s="90"/>
      <c r="D723" s="91"/>
      <c r="E723" s="91"/>
      <c r="F723" s="91"/>
      <c r="G723" s="91"/>
      <c r="H723" s="85"/>
      <c r="I723" s="85"/>
      <c r="J723" s="85"/>
      <c r="K723" s="85"/>
      <c r="L723" s="85"/>
      <c r="M723" s="85"/>
      <c r="N723" s="85"/>
      <c r="O723" s="85"/>
      <c r="P723" s="85"/>
    </row>
    <row r="724">
      <c r="A724" s="89"/>
      <c r="B724" s="89"/>
      <c r="C724" s="90"/>
      <c r="D724" s="91"/>
      <c r="E724" s="91"/>
      <c r="F724" s="91"/>
      <c r="G724" s="91"/>
      <c r="H724" s="85"/>
      <c r="I724" s="85"/>
      <c r="J724" s="85"/>
      <c r="K724" s="85"/>
      <c r="L724" s="85"/>
      <c r="M724" s="85"/>
      <c r="N724" s="85"/>
      <c r="O724" s="85"/>
      <c r="P724" s="85"/>
    </row>
    <row r="725">
      <c r="A725" s="89"/>
      <c r="B725" s="89"/>
      <c r="C725" s="90"/>
      <c r="D725" s="91"/>
      <c r="E725" s="91"/>
      <c r="F725" s="91"/>
      <c r="G725" s="91"/>
      <c r="H725" s="85"/>
      <c r="I725" s="85"/>
      <c r="J725" s="85"/>
      <c r="K725" s="85"/>
      <c r="L725" s="85"/>
      <c r="M725" s="85"/>
      <c r="N725" s="85"/>
      <c r="O725" s="85"/>
      <c r="P725" s="85"/>
    </row>
    <row r="726">
      <c r="A726" s="89"/>
      <c r="B726" s="89"/>
      <c r="C726" s="90"/>
      <c r="D726" s="91"/>
      <c r="E726" s="91"/>
      <c r="F726" s="91"/>
      <c r="G726" s="91"/>
      <c r="H726" s="85"/>
      <c r="I726" s="85"/>
      <c r="J726" s="85"/>
      <c r="K726" s="85"/>
      <c r="L726" s="85"/>
      <c r="M726" s="85"/>
      <c r="N726" s="85"/>
      <c r="O726" s="85"/>
      <c r="P726" s="85"/>
    </row>
    <row r="727">
      <c r="A727" s="89"/>
      <c r="B727" s="89"/>
      <c r="C727" s="90"/>
      <c r="D727" s="91"/>
      <c r="E727" s="91"/>
      <c r="F727" s="91"/>
      <c r="G727" s="91"/>
      <c r="H727" s="85"/>
      <c r="I727" s="85"/>
      <c r="J727" s="85"/>
      <c r="K727" s="85"/>
      <c r="L727" s="85"/>
      <c r="M727" s="85"/>
      <c r="N727" s="85"/>
      <c r="O727" s="85"/>
      <c r="P727" s="85"/>
    </row>
    <row r="728">
      <c r="A728" s="89"/>
      <c r="B728" s="89"/>
      <c r="C728" s="90"/>
      <c r="D728" s="91"/>
      <c r="E728" s="91"/>
      <c r="F728" s="91"/>
      <c r="G728" s="91"/>
      <c r="H728" s="85"/>
      <c r="I728" s="85"/>
      <c r="J728" s="85"/>
      <c r="K728" s="85"/>
      <c r="L728" s="85"/>
      <c r="M728" s="85"/>
      <c r="N728" s="85"/>
      <c r="O728" s="85"/>
      <c r="P728" s="85"/>
    </row>
    <row r="729">
      <c r="A729" s="89"/>
      <c r="B729" s="89"/>
      <c r="C729" s="90"/>
      <c r="D729" s="91"/>
      <c r="E729" s="91"/>
      <c r="F729" s="91"/>
      <c r="G729" s="91"/>
      <c r="H729" s="85"/>
      <c r="I729" s="85"/>
      <c r="J729" s="85"/>
      <c r="K729" s="85"/>
      <c r="L729" s="85"/>
      <c r="M729" s="85"/>
      <c r="N729" s="85"/>
      <c r="O729" s="85"/>
      <c r="P729" s="85"/>
    </row>
    <row r="730">
      <c r="A730" s="89"/>
      <c r="B730" s="89"/>
      <c r="C730" s="90"/>
      <c r="D730" s="91"/>
      <c r="E730" s="91"/>
      <c r="F730" s="91"/>
      <c r="G730" s="91"/>
      <c r="H730" s="85"/>
      <c r="I730" s="85"/>
      <c r="J730" s="85"/>
      <c r="K730" s="85"/>
      <c r="L730" s="85"/>
      <c r="M730" s="85"/>
      <c r="N730" s="85"/>
      <c r="O730" s="85"/>
      <c r="P730" s="85"/>
    </row>
    <row r="731">
      <c r="A731" s="89"/>
      <c r="B731" s="89"/>
      <c r="C731" s="90"/>
      <c r="D731" s="91"/>
      <c r="E731" s="91"/>
      <c r="F731" s="91"/>
      <c r="G731" s="91"/>
      <c r="H731" s="85"/>
      <c r="I731" s="85"/>
      <c r="J731" s="85"/>
      <c r="K731" s="85"/>
      <c r="L731" s="85"/>
      <c r="M731" s="85"/>
      <c r="N731" s="85"/>
      <c r="O731" s="85"/>
      <c r="P731" s="85"/>
    </row>
    <row r="732">
      <c r="A732" s="89"/>
      <c r="B732" s="89"/>
      <c r="C732" s="90"/>
      <c r="D732" s="91"/>
      <c r="E732" s="91"/>
      <c r="F732" s="91"/>
      <c r="G732" s="91"/>
      <c r="H732" s="85"/>
      <c r="I732" s="85"/>
      <c r="J732" s="85"/>
      <c r="K732" s="85"/>
      <c r="L732" s="85"/>
      <c r="M732" s="85"/>
      <c r="N732" s="85"/>
      <c r="O732" s="85"/>
      <c r="P732" s="85"/>
    </row>
    <row r="733">
      <c r="A733" s="89"/>
      <c r="B733" s="89"/>
      <c r="C733" s="90"/>
      <c r="D733" s="91"/>
      <c r="E733" s="91"/>
      <c r="F733" s="91"/>
      <c r="G733" s="91"/>
      <c r="H733" s="85"/>
      <c r="I733" s="85"/>
      <c r="J733" s="85"/>
      <c r="K733" s="85"/>
      <c r="L733" s="85"/>
      <c r="M733" s="85"/>
      <c r="N733" s="85"/>
      <c r="O733" s="85"/>
      <c r="P733" s="85"/>
    </row>
    <row r="734">
      <c r="A734" s="89"/>
      <c r="B734" s="89"/>
      <c r="C734" s="90"/>
      <c r="D734" s="91"/>
      <c r="E734" s="91"/>
      <c r="F734" s="91"/>
      <c r="G734" s="91"/>
      <c r="H734" s="85"/>
      <c r="I734" s="85"/>
      <c r="J734" s="85"/>
      <c r="K734" s="85"/>
      <c r="L734" s="85"/>
      <c r="M734" s="85"/>
      <c r="N734" s="85"/>
      <c r="O734" s="85"/>
      <c r="P734" s="85"/>
    </row>
    <row r="735">
      <c r="A735" s="89"/>
      <c r="B735" s="89"/>
      <c r="C735" s="90"/>
      <c r="D735" s="91"/>
      <c r="E735" s="91"/>
      <c r="F735" s="91"/>
      <c r="G735" s="91"/>
      <c r="H735" s="85"/>
      <c r="I735" s="85"/>
      <c r="J735" s="85"/>
      <c r="K735" s="85"/>
      <c r="L735" s="85"/>
      <c r="M735" s="85"/>
      <c r="N735" s="85"/>
      <c r="O735" s="85"/>
      <c r="P735" s="85"/>
    </row>
    <row r="736">
      <c r="A736" s="89"/>
      <c r="B736" s="89"/>
      <c r="C736" s="90"/>
      <c r="D736" s="91"/>
      <c r="E736" s="91"/>
      <c r="F736" s="91"/>
      <c r="G736" s="91"/>
      <c r="H736" s="85"/>
      <c r="I736" s="85"/>
      <c r="J736" s="85"/>
      <c r="K736" s="85"/>
      <c r="L736" s="85"/>
      <c r="M736" s="85"/>
      <c r="N736" s="85"/>
      <c r="O736" s="85"/>
      <c r="P736" s="85"/>
    </row>
    <row r="737">
      <c r="A737" s="89"/>
      <c r="B737" s="89"/>
      <c r="C737" s="90"/>
      <c r="D737" s="91"/>
      <c r="E737" s="91"/>
      <c r="F737" s="91"/>
      <c r="G737" s="91"/>
      <c r="H737" s="85"/>
      <c r="I737" s="85"/>
      <c r="J737" s="85"/>
      <c r="K737" s="85"/>
      <c r="L737" s="85"/>
      <c r="M737" s="85"/>
      <c r="N737" s="85"/>
      <c r="O737" s="85"/>
      <c r="P737" s="85"/>
    </row>
    <row r="738">
      <c r="A738" s="89"/>
      <c r="B738" s="89"/>
      <c r="C738" s="90"/>
      <c r="D738" s="91"/>
      <c r="E738" s="91"/>
      <c r="F738" s="91"/>
      <c r="G738" s="91"/>
      <c r="H738" s="85"/>
      <c r="I738" s="85"/>
      <c r="J738" s="85"/>
      <c r="K738" s="85"/>
      <c r="L738" s="85"/>
      <c r="M738" s="85"/>
      <c r="N738" s="85"/>
      <c r="O738" s="85"/>
      <c r="P738" s="85"/>
    </row>
    <row r="739">
      <c r="A739" s="89"/>
      <c r="B739" s="89"/>
      <c r="C739" s="90"/>
      <c r="D739" s="91"/>
      <c r="E739" s="91"/>
      <c r="F739" s="91"/>
      <c r="G739" s="91"/>
      <c r="H739" s="85"/>
      <c r="I739" s="85"/>
      <c r="J739" s="85"/>
      <c r="K739" s="85"/>
      <c r="L739" s="85"/>
      <c r="M739" s="85"/>
      <c r="N739" s="85"/>
      <c r="O739" s="85"/>
      <c r="P739" s="85"/>
    </row>
    <row r="740">
      <c r="A740" s="89"/>
      <c r="B740" s="89"/>
      <c r="C740" s="90"/>
      <c r="D740" s="91"/>
      <c r="E740" s="91"/>
      <c r="F740" s="91"/>
      <c r="G740" s="91"/>
      <c r="H740" s="85"/>
      <c r="I740" s="85"/>
      <c r="J740" s="85"/>
      <c r="K740" s="85"/>
      <c r="L740" s="85"/>
      <c r="M740" s="85"/>
      <c r="N740" s="85"/>
      <c r="O740" s="85"/>
      <c r="P740" s="85"/>
    </row>
    <row r="741">
      <c r="A741" s="89"/>
      <c r="B741" s="89"/>
      <c r="C741" s="90"/>
      <c r="D741" s="91"/>
      <c r="E741" s="91"/>
      <c r="F741" s="91"/>
      <c r="G741" s="91"/>
      <c r="H741" s="85"/>
      <c r="I741" s="85"/>
      <c r="J741" s="85"/>
      <c r="K741" s="85"/>
      <c r="L741" s="85"/>
      <c r="M741" s="85"/>
      <c r="N741" s="85"/>
      <c r="O741" s="85"/>
      <c r="P741" s="85"/>
    </row>
    <row r="742">
      <c r="A742" s="89"/>
      <c r="B742" s="89"/>
      <c r="C742" s="90"/>
      <c r="D742" s="91"/>
      <c r="E742" s="91"/>
      <c r="F742" s="91"/>
      <c r="G742" s="91"/>
      <c r="H742" s="85"/>
      <c r="I742" s="85"/>
      <c r="J742" s="85"/>
      <c r="K742" s="85"/>
      <c r="L742" s="85"/>
      <c r="M742" s="85"/>
      <c r="N742" s="85"/>
      <c r="O742" s="85"/>
      <c r="P742" s="85"/>
    </row>
    <row r="743">
      <c r="A743" s="89"/>
      <c r="B743" s="89"/>
      <c r="C743" s="90"/>
      <c r="D743" s="91"/>
      <c r="E743" s="91"/>
      <c r="F743" s="91"/>
      <c r="G743" s="91"/>
      <c r="H743" s="85"/>
      <c r="I743" s="85"/>
      <c r="J743" s="85"/>
      <c r="K743" s="85"/>
      <c r="L743" s="85"/>
      <c r="M743" s="85"/>
      <c r="N743" s="85"/>
      <c r="O743" s="85"/>
      <c r="P743" s="85"/>
    </row>
    <row r="744">
      <c r="A744" s="89"/>
      <c r="B744" s="89"/>
      <c r="C744" s="90"/>
      <c r="D744" s="91"/>
      <c r="E744" s="91"/>
      <c r="F744" s="91"/>
      <c r="G744" s="91"/>
      <c r="H744" s="85"/>
      <c r="I744" s="85"/>
      <c r="J744" s="85"/>
      <c r="K744" s="85"/>
      <c r="L744" s="85"/>
      <c r="M744" s="85"/>
      <c r="N744" s="85"/>
      <c r="O744" s="85"/>
      <c r="P744" s="85"/>
    </row>
    <row r="745">
      <c r="A745" s="89"/>
      <c r="B745" s="89"/>
      <c r="C745" s="90"/>
      <c r="D745" s="91"/>
      <c r="E745" s="91"/>
      <c r="F745" s="91"/>
      <c r="G745" s="91"/>
      <c r="H745" s="85"/>
      <c r="I745" s="85"/>
      <c r="J745" s="85"/>
      <c r="K745" s="85"/>
      <c r="L745" s="85"/>
      <c r="M745" s="85"/>
      <c r="N745" s="85"/>
      <c r="O745" s="85"/>
      <c r="P745" s="85"/>
    </row>
    <row r="746">
      <c r="A746" s="89"/>
      <c r="B746" s="89"/>
      <c r="C746" s="90"/>
      <c r="D746" s="91"/>
      <c r="E746" s="91"/>
      <c r="F746" s="91"/>
      <c r="G746" s="91"/>
      <c r="H746" s="85"/>
      <c r="I746" s="85"/>
      <c r="J746" s="85"/>
      <c r="K746" s="85"/>
      <c r="L746" s="85"/>
      <c r="M746" s="85"/>
      <c r="N746" s="85"/>
      <c r="O746" s="85"/>
      <c r="P746" s="85"/>
    </row>
    <row r="747">
      <c r="A747" s="89"/>
      <c r="B747" s="89"/>
      <c r="C747" s="90"/>
      <c r="D747" s="91"/>
      <c r="E747" s="91"/>
      <c r="F747" s="91"/>
      <c r="G747" s="91"/>
      <c r="H747" s="85"/>
      <c r="I747" s="85"/>
      <c r="J747" s="85"/>
      <c r="K747" s="85"/>
      <c r="L747" s="85"/>
      <c r="M747" s="85"/>
      <c r="N747" s="85"/>
      <c r="O747" s="85"/>
      <c r="P747" s="85"/>
    </row>
    <row r="748">
      <c r="A748" s="89"/>
      <c r="B748" s="89"/>
      <c r="C748" s="90"/>
      <c r="D748" s="91"/>
      <c r="E748" s="91"/>
      <c r="F748" s="91"/>
      <c r="G748" s="91"/>
      <c r="H748" s="85"/>
      <c r="I748" s="85"/>
      <c r="J748" s="85"/>
      <c r="K748" s="85"/>
      <c r="L748" s="85"/>
      <c r="M748" s="85"/>
      <c r="N748" s="85"/>
      <c r="O748" s="85"/>
      <c r="P748" s="85"/>
    </row>
    <row r="749">
      <c r="A749" s="89"/>
      <c r="B749" s="89"/>
      <c r="C749" s="90"/>
      <c r="D749" s="91"/>
      <c r="E749" s="91"/>
      <c r="F749" s="91"/>
      <c r="G749" s="91"/>
      <c r="H749" s="85"/>
      <c r="I749" s="85"/>
      <c r="J749" s="85"/>
      <c r="K749" s="85"/>
      <c r="L749" s="85"/>
      <c r="M749" s="85"/>
      <c r="N749" s="85"/>
      <c r="O749" s="85"/>
      <c r="P749" s="85"/>
    </row>
    <row r="750">
      <c r="A750" s="89"/>
      <c r="B750" s="89"/>
      <c r="C750" s="90"/>
      <c r="D750" s="91"/>
      <c r="E750" s="91"/>
      <c r="F750" s="91"/>
      <c r="G750" s="91"/>
      <c r="H750" s="85"/>
      <c r="I750" s="85"/>
      <c r="J750" s="85"/>
      <c r="K750" s="85"/>
      <c r="L750" s="85"/>
      <c r="M750" s="85"/>
      <c r="N750" s="85"/>
      <c r="O750" s="85"/>
      <c r="P750" s="85"/>
    </row>
    <row r="751">
      <c r="A751" s="89"/>
      <c r="B751" s="89"/>
      <c r="C751" s="90"/>
      <c r="D751" s="91"/>
      <c r="E751" s="91"/>
      <c r="F751" s="91"/>
      <c r="G751" s="91"/>
      <c r="H751" s="85"/>
      <c r="I751" s="85"/>
      <c r="J751" s="85"/>
      <c r="K751" s="85"/>
      <c r="L751" s="85"/>
      <c r="M751" s="85"/>
      <c r="N751" s="85"/>
      <c r="O751" s="85"/>
      <c r="P751" s="85"/>
    </row>
    <row r="752">
      <c r="A752" s="89"/>
      <c r="B752" s="89"/>
      <c r="C752" s="90"/>
      <c r="D752" s="91"/>
      <c r="E752" s="91"/>
      <c r="F752" s="91"/>
      <c r="G752" s="91"/>
      <c r="H752" s="85"/>
      <c r="I752" s="85"/>
      <c r="J752" s="85"/>
      <c r="K752" s="85"/>
      <c r="L752" s="85"/>
      <c r="M752" s="85"/>
      <c r="N752" s="85"/>
      <c r="O752" s="85"/>
      <c r="P752" s="85"/>
    </row>
    <row r="753">
      <c r="A753" s="89"/>
      <c r="B753" s="89"/>
      <c r="C753" s="90"/>
      <c r="D753" s="91"/>
      <c r="E753" s="91"/>
      <c r="F753" s="91"/>
      <c r="G753" s="91"/>
      <c r="H753" s="85"/>
      <c r="I753" s="85"/>
      <c r="J753" s="85"/>
      <c r="K753" s="85"/>
      <c r="L753" s="85"/>
      <c r="M753" s="85"/>
      <c r="N753" s="85"/>
      <c r="O753" s="85"/>
      <c r="P753" s="85"/>
    </row>
    <row r="754">
      <c r="A754" s="89"/>
      <c r="B754" s="89"/>
      <c r="C754" s="90"/>
      <c r="D754" s="91"/>
      <c r="E754" s="91"/>
      <c r="F754" s="91"/>
      <c r="G754" s="91"/>
      <c r="H754" s="85"/>
      <c r="I754" s="85"/>
      <c r="J754" s="85"/>
      <c r="K754" s="85"/>
      <c r="L754" s="85"/>
      <c r="M754" s="85"/>
      <c r="N754" s="85"/>
      <c r="O754" s="85"/>
      <c r="P754" s="85"/>
    </row>
    <row r="755">
      <c r="A755" s="89"/>
      <c r="B755" s="89"/>
      <c r="C755" s="90"/>
      <c r="D755" s="91"/>
      <c r="E755" s="91"/>
      <c r="F755" s="91"/>
      <c r="G755" s="91"/>
      <c r="H755" s="85"/>
      <c r="I755" s="85"/>
      <c r="J755" s="85"/>
      <c r="K755" s="85"/>
      <c r="L755" s="85"/>
      <c r="M755" s="85"/>
      <c r="N755" s="85"/>
      <c r="O755" s="85"/>
      <c r="P755" s="85"/>
    </row>
    <row r="756">
      <c r="A756" s="89"/>
      <c r="B756" s="89"/>
      <c r="C756" s="90"/>
      <c r="D756" s="91"/>
      <c r="E756" s="91"/>
      <c r="F756" s="91"/>
      <c r="G756" s="91"/>
      <c r="H756" s="85"/>
      <c r="I756" s="85"/>
      <c r="J756" s="85"/>
      <c r="K756" s="85"/>
      <c r="L756" s="85"/>
      <c r="M756" s="85"/>
      <c r="N756" s="85"/>
      <c r="O756" s="85"/>
      <c r="P756" s="85"/>
    </row>
    <row r="757">
      <c r="A757" s="89"/>
      <c r="B757" s="89"/>
      <c r="C757" s="90"/>
      <c r="D757" s="91"/>
      <c r="E757" s="91"/>
      <c r="F757" s="91"/>
      <c r="G757" s="91"/>
      <c r="H757" s="85"/>
      <c r="I757" s="85"/>
      <c r="J757" s="85"/>
      <c r="K757" s="85"/>
      <c r="L757" s="85"/>
      <c r="M757" s="85"/>
      <c r="N757" s="85"/>
      <c r="O757" s="85"/>
      <c r="P757" s="85"/>
    </row>
    <row r="758">
      <c r="A758" s="89"/>
      <c r="B758" s="89"/>
      <c r="C758" s="90"/>
      <c r="D758" s="91"/>
      <c r="E758" s="91"/>
      <c r="F758" s="91"/>
      <c r="G758" s="91"/>
      <c r="H758" s="85"/>
      <c r="I758" s="85"/>
      <c r="J758" s="85"/>
      <c r="K758" s="85"/>
      <c r="L758" s="85"/>
      <c r="M758" s="85"/>
      <c r="N758" s="85"/>
      <c r="O758" s="85"/>
      <c r="P758" s="85"/>
    </row>
    <row r="759">
      <c r="A759" s="89"/>
      <c r="B759" s="89"/>
      <c r="C759" s="90"/>
      <c r="D759" s="91"/>
      <c r="E759" s="91"/>
      <c r="F759" s="91"/>
      <c r="G759" s="91"/>
      <c r="H759" s="85"/>
      <c r="I759" s="85"/>
      <c r="J759" s="85"/>
      <c r="K759" s="85"/>
      <c r="L759" s="85"/>
      <c r="M759" s="85"/>
      <c r="N759" s="85"/>
      <c r="O759" s="85"/>
      <c r="P759" s="85"/>
    </row>
    <row r="760">
      <c r="A760" s="89"/>
      <c r="B760" s="89"/>
      <c r="C760" s="90"/>
      <c r="D760" s="91"/>
      <c r="E760" s="91"/>
      <c r="F760" s="91"/>
      <c r="G760" s="91"/>
      <c r="H760" s="85"/>
      <c r="I760" s="85"/>
      <c r="J760" s="85"/>
      <c r="K760" s="85"/>
      <c r="L760" s="85"/>
      <c r="M760" s="85"/>
      <c r="N760" s="85"/>
      <c r="O760" s="85"/>
      <c r="P760" s="85"/>
    </row>
    <row r="761">
      <c r="A761" s="89"/>
      <c r="B761" s="89"/>
      <c r="C761" s="90"/>
      <c r="D761" s="91"/>
      <c r="E761" s="91"/>
      <c r="F761" s="91"/>
      <c r="G761" s="91"/>
      <c r="H761" s="85"/>
      <c r="I761" s="85"/>
      <c r="J761" s="85"/>
      <c r="K761" s="85"/>
      <c r="L761" s="85"/>
      <c r="M761" s="85"/>
      <c r="N761" s="85"/>
      <c r="O761" s="85"/>
      <c r="P761" s="85"/>
    </row>
    <row r="762">
      <c r="A762" s="89"/>
      <c r="B762" s="89"/>
      <c r="C762" s="90"/>
      <c r="D762" s="91"/>
      <c r="E762" s="91"/>
      <c r="F762" s="91"/>
      <c r="G762" s="91"/>
      <c r="H762" s="85"/>
      <c r="I762" s="85"/>
      <c r="J762" s="85"/>
      <c r="K762" s="85"/>
      <c r="L762" s="85"/>
      <c r="M762" s="85"/>
      <c r="N762" s="85"/>
      <c r="O762" s="85"/>
      <c r="P762" s="85"/>
    </row>
    <row r="763">
      <c r="A763" s="89"/>
      <c r="B763" s="89"/>
      <c r="C763" s="90"/>
      <c r="D763" s="91"/>
      <c r="E763" s="91"/>
      <c r="F763" s="91"/>
      <c r="G763" s="91"/>
      <c r="H763" s="85"/>
      <c r="I763" s="85"/>
      <c r="J763" s="85"/>
      <c r="K763" s="85"/>
      <c r="L763" s="85"/>
      <c r="M763" s="85"/>
      <c r="N763" s="85"/>
      <c r="O763" s="85"/>
      <c r="P763" s="85"/>
    </row>
    <row r="764">
      <c r="A764" s="89"/>
      <c r="B764" s="89"/>
      <c r="C764" s="90"/>
      <c r="D764" s="91"/>
      <c r="E764" s="91"/>
      <c r="F764" s="91"/>
      <c r="G764" s="91"/>
      <c r="H764" s="85"/>
      <c r="I764" s="85"/>
      <c r="J764" s="85"/>
      <c r="K764" s="85"/>
      <c r="L764" s="85"/>
      <c r="M764" s="85"/>
      <c r="N764" s="85"/>
      <c r="O764" s="85"/>
      <c r="P764" s="85"/>
    </row>
    <row r="765">
      <c r="A765" s="89"/>
      <c r="B765" s="89"/>
      <c r="C765" s="90"/>
      <c r="D765" s="91"/>
      <c r="E765" s="91"/>
      <c r="F765" s="91"/>
      <c r="G765" s="91"/>
      <c r="H765" s="85"/>
      <c r="I765" s="85"/>
      <c r="J765" s="85"/>
      <c r="K765" s="85"/>
      <c r="L765" s="85"/>
      <c r="M765" s="85"/>
      <c r="N765" s="85"/>
      <c r="O765" s="85"/>
      <c r="P765" s="85"/>
    </row>
    <row r="766">
      <c r="A766" s="89"/>
      <c r="B766" s="89"/>
      <c r="C766" s="90"/>
      <c r="D766" s="91"/>
      <c r="E766" s="91"/>
      <c r="F766" s="91"/>
      <c r="G766" s="91"/>
      <c r="H766" s="85"/>
      <c r="I766" s="85"/>
      <c r="J766" s="85"/>
      <c r="K766" s="85"/>
      <c r="L766" s="85"/>
      <c r="M766" s="85"/>
      <c r="N766" s="85"/>
      <c r="O766" s="85"/>
      <c r="P766" s="85"/>
    </row>
    <row r="767">
      <c r="A767" s="89"/>
      <c r="B767" s="89"/>
      <c r="C767" s="90"/>
      <c r="D767" s="91"/>
      <c r="E767" s="91"/>
      <c r="F767" s="91"/>
      <c r="G767" s="91"/>
      <c r="H767" s="85"/>
      <c r="I767" s="85"/>
      <c r="J767" s="85"/>
      <c r="K767" s="85"/>
      <c r="L767" s="85"/>
      <c r="M767" s="85"/>
      <c r="N767" s="85"/>
      <c r="O767" s="85"/>
      <c r="P767" s="85"/>
    </row>
    <row r="768">
      <c r="A768" s="89"/>
      <c r="B768" s="89"/>
      <c r="C768" s="90"/>
      <c r="D768" s="91"/>
      <c r="E768" s="91"/>
      <c r="F768" s="91"/>
      <c r="G768" s="91"/>
      <c r="H768" s="85"/>
      <c r="I768" s="85"/>
      <c r="J768" s="85"/>
      <c r="K768" s="85"/>
      <c r="L768" s="85"/>
      <c r="M768" s="85"/>
      <c r="N768" s="85"/>
      <c r="O768" s="85"/>
      <c r="P768" s="85"/>
    </row>
    <row r="769">
      <c r="A769" s="89"/>
      <c r="B769" s="89"/>
      <c r="C769" s="90"/>
      <c r="D769" s="91"/>
      <c r="E769" s="91"/>
      <c r="F769" s="91"/>
      <c r="G769" s="91"/>
      <c r="H769" s="85"/>
      <c r="I769" s="85"/>
      <c r="J769" s="85"/>
      <c r="K769" s="85"/>
      <c r="L769" s="85"/>
      <c r="M769" s="85"/>
      <c r="N769" s="85"/>
      <c r="O769" s="85"/>
      <c r="P769" s="85"/>
    </row>
    <row r="770">
      <c r="A770" s="89"/>
      <c r="B770" s="89"/>
      <c r="C770" s="90"/>
      <c r="D770" s="91"/>
      <c r="E770" s="91"/>
      <c r="F770" s="91"/>
      <c r="G770" s="91"/>
      <c r="H770" s="85"/>
      <c r="I770" s="85"/>
      <c r="J770" s="85"/>
      <c r="K770" s="85"/>
      <c r="L770" s="85"/>
      <c r="M770" s="85"/>
      <c r="N770" s="85"/>
      <c r="O770" s="85"/>
      <c r="P770" s="85"/>
    </row>
    <row r="771">
      <c r="A771" s="89"/>
      <c r="B771" s="89"/>
      <c r="C771" s="90"/>
      <c r="D771" s="91"/>
      <c r="E771" s="91"/>
      <c r="F771" s="91"/>
      <c r="G771" s="91"/>
      <c r="H771" s="85"/>
      <c r="I771" s="85"/>
      <c r="J771" s="85"/>
      <c r="K771" s="85"/>
      <c r="L771" s="85"/>
      <c r="M771" s="85"/>
      <c r="N771" s="85"/>
      <c r="O771" s="85"/>
      <c r="P771" s="85"/>
    </row>
    <row r="772">
      <c r="A772" s="89"/>
      <c r="B772" s="89"/>
      <c r="C772" s="90"/>
      <c r="D772" s="91"/>
      <c r="E772" s="91"/>
      <c r="F772" s="91"/>
      <c r="G772" s="91"/>
      <c r="H772" s="85"/>
      <c r="I772" s="85"/>
      <c r="J772" s="85"/>
      <c r="K772" s="85"/>
      <c r="L772" s="85"/>
      <c r="M772" s="85"/>
      <c r="N772" s="85"/>
      <c r="O772" s="85"/>
      <c r="P772" s="85"/>
    </row>
    <row r="773">
      <c r="A773" s="89"/>
      <c r="B773" s="89"/>
      <c r="C773" s="90"/>
      <c r="D773" s="91"/>
      <c r="E773" s="91"/>
      <c r="F773" s="91"/>
      <c r="G773" s="91"/>
      <c r="H773" s="85"/>
      <c r="I773" s="85"/>
      <c r="J773" s="85"/>
      <c r="K773" s="85"/>
      <c r="L773" s="85"/>
      <c r="M773" s="85"/>
      <c r="N773" s="85"/>
      <c r="O773" s="85"/>
      <c r="P773" s="85"/>
    </row>
    <row r="774">
      <c r="A774" s="89"/>
      <c r="B774" s="89"/>
      <c r="C774" s="90"/>
      <c r="D774" s="91"/>
      <c r="E774" s="91"/>
      <c r="F774" s="91"/>
      <c r="G774" s="91"/>
      <c r="H774" s="85"/>
      <c r="I774" s="85"/>
      <c r="J774" s="85"/>
      <c r="K774" s="85"/>
      <c r="L774" s="85"/>
      <c r="M774" s="85"/>
      <c r="N774" s="85"/>
      <c r="O774" s="85"/>
      <c r="P774" s="85"/>
    </row>
    <row r="775">
      <c r="A775" s="89"/>
      <c r="B775" s="89"/>
      <c r="C775" s="90"/>
      <c r="D775" s="91"/>
      <c r="E775" s="91"/>
      <c r="F775" s="91"/>
      <c r="G775" s="91"/>
      <c r="H775" s="85"/>
      <c r="I775" s="85"/>
      <c r="J775" s="85"/>
      <c r="K775" s="85"/>
      <c r="L775" s="85"/>
      <c r="M775" s="85"/>
      <c r="N775" s="85"/>
      <c r="O775" s="85"/>
      <c r="P775" s="85"/>
    </row>
    <row r="776">
      <c r="A776" s="89"/>
      <c r="B776" s="89"/>
      <c r="C776" s="90"/>
      <c r="D776" s="91"/>
      <c r="E776" s="91"/>
      <c r="F776" s="91"/>
      <c r="G776" s="91"/>
      <c r="H776" s="85"/>
      <c r="I776" s="85"/>
      <c r="J776" s="85"/>
      <c r="K776" s="85"/>
      <c r="L776" s="85"/>
      <c r="M776" s="85"/>
      <c r="N776" s="85"/>
      <c r="O776" s="85"/>
      <c r="P776" s="85"/>
    </row>
    <row r="777">
      <c r="A777" s="89"/>
      <c r="B777" s="89"/>
      <c r="C777" s="90"/>
      <c r="D777" s="91"/>
      <c r="E777" s="91"/>
      <c r="F777" s="91"/>
      <c r="G777" s="91"/>
      <c r="H777" s="85"/>
      <c r="I777" s="85"/>
      <c r="J777" s="85"/>
      <c r="K777" s="85"/>
      <c r="L777" s="85"/>
      <c r="M777" s="85"/>
      <c r="N777" s="85"/>
      <c r="O777" s="85"/>
      <c r="P777" s="85"/>
    </row>
    <row r="778">
      <c r="A778" s="89"/>
      <c r="B778" s="89"/>
      <c r="C778" s="90"/>
      <c r="D778" s="91"/>
      <c r="E778" s="91"/>
      <c r="F778" s="91"/>
      <c r="G778" s="91"/>
      <c r="H778" s="85"/>
      <c r="I778" s="85"/>
      <c r="J778" s="85"/>
      <c r="K778" s="85"/>
      <c r="L778" s="85"/>
      <c r="M778" s="85"/>
      <c r="N778" s="85"/>
      <c r="O778" s="85"/>
      <c r="P778" s="85"/>
    </row>
    <row r="779">
      <c r="A779" s="89"/>
      <c r="B779" s="89"/>
      <c r="C779" s="90"/>
      <c r="D779" s="91"/>
      <c r="E779" s="91"/>
      <c r="F779" s="91"/>
      <c r="G779" s="91"/>
      <c r="H779" s="85"/>
      <c r="I779" s="85"/>
      <c r="J779" s="85"/>
      <c r="K779" s="85"/>
      <c r="L779" s="85"/>
      <c r="M779" s="85"/>
      <c r="N779" s="85"/>
      <c r="O779" s="85"/>
      <c r="P779" s="85"/>
    </row>
    <row r="780">
      <c r="A780" s="89"/>
      <c r="B780" s="89"/>
      <c r="C780" s="90"/>
      <c r="D780" s="91"/>
      <c r="E780" s="91"/>
      <c r="F780" s="91"/>
      <c r="G780" s="91"/>
      <c r="H780" s="85"/>
      <c r="I780" s="85"/>
      <c r="J780" s="85"/>
      <c r="K780" s="85"/>
      <c r="L780" s="85"/>
      <c r="M780" s="85"/>
      <c r="N780" s="85"/>
      <c r="O780" s="85"/>
      <c r="P780" s="85"/>
    </row>
    <row r="781">
      <c r="A781" s="89"/>
      <c r="B781" s="89"/>
      <c r="C781" s="90"/>
      <c r="D781" s="91"/>
      <c r="E781" s="91"/>
      <c r="F781" s="91"/>
      <c r="G781" s="91"/>
      <c r="H781" s="85"/>
      <c r="I781" s="85"/>
      <c r="J781" s="85"/>
      <c r="K781" s="85"/>
      <c r="L781" s="85"/>
      <c r="M781" s="85"/>
      <c r="N781" s="85"/>
      <c r="O781" s="85"/>
      <c r="P781" s="85"/>
    </row>
    <row r="782">
      <c r="A782" s="89"/>
      <c r="B782" s="89"/>
      <c r="C782" s="90"/>
      <c r="D782" s="91"/>
      <c r="E782" s="91"/>
      <c r="F782" s="91"/>
      <c r="G782" s="91"/>
      <c r="H782" s="85"/>
      <c r="I782" s="85"/>
      <c r="J782" s="85"/>
      <c r="K782" s="85"/>
      <c r="L782" s="85"/>
      <c r="M782" s="85"/>
      <c r="N782" s="85"/>
      <c r="O782" s="85"/>
      <c r="P782" s="85"/>
    </row>
    <row r="783">
      <c r="A783" s="89"/>
      <c r="B783" s="89"/>
      <c r="C783" s="90"/>
      <c r="D783" s="91"/>
      <c r="E783" s="91"/>
      <c r="F783" s="91"/>
      <c r="G783" s="91"/>
      <c r="H783" s="85"/>
      <c r="I783" s="85"/>
      <c r="J783" s="85"/>
      <c r="K783" s="85"/>
      <c r="L783" s="85"/>
      <c r="M783" s="85"/>
      <c r="N783" s="85"/>
      <c r="O783" s="85"/>
      <c r="P783" s="85"/>
    </row>
    <row r="784">
      <c r="A784" s="89"/>
      <c r="B784" s="89"/>
      <c r="C784" s="90"/>
      <c r="D784" s="91"/>
      <c r="E784" s="91"/>
      <c r="F784" s="91"/>
      <c r="G784" s="91"/>
      <c r="H784" s="85"/>
      <c r="I784" s="85"/>
      <c r="J784" s="85"/>
      <c r="K784" s="85"/>
      <c r="L784" s="85"/>
      <c r="M784" s="85"/>
      <c r="N784" s="85"/>
      <c r="O784" s="85"/>
      <c r="P784" s="85"/>
    </row>
    <row r="785">
      <c r="A785" s="89"/>
      <c r="B785" s="89"/>
      <c r="C785" s="90"/>
      <c r="D785" s="91"/>
      <c r="E785" s="91"/>
      <c r="F785" s="91"/>
      <c r="G785" s="91"/>
      <c r="H785" s="85"/>
      <c r="I785" s="85"/>
      <c r="J785" s="85"/>
      <c r="K785" s="85"/>
      <c r="L785" s="85"/>
      <c r="M785" s="85"/>
      <c r="N785" s="85"/>
      <c r="O785" s="85"/>
      <c r="P785" s="85"/>
    </row>
    <row r="786">
      <c r="A786" s="89"/>
      <c r="B786" s="89"/>
      <c r="C786" s="90"/>
      <c r="D786" s="91"/>
      <c r="E786" s="91"/>
      <c r="F786" s="91"/>
      <c r="G786" s="91"/>
      <c r="H786" s="85"/>
      <c r="I786" s="85"/>
      <c r="J786" s="85"/>
      <c r="K786" s="85"/>
      <c r="L786" s="85"/>
      <c r="M786" s="85"/>
      <c r="N786" s="85"/>
      <c r="O786" s="85"/>
      <c r="P786" s="85"/>
    </row>
    <row r="787">
      <c r="A787" s="89"/>
      <c r="B787" s="89"/>
      <c r="C787" s="90"/>
      <c r="D787" s="91"/>
      <c r="E787" s="91"/>
      <c r="F787" s="91"/>
      <c r="G787" s="91"/>
      <c r="H787" s="85"/>
      <c r="I787" s="85"/>
      <c r="J787" s="85"/>
      <c r="K787" s="85"/>
      <c r="L787" s="85"/>
      <c r="M787" s="85"/>
      <c r="N787" s="85"/>
      <c r="O787" s="85"/>
      <c r="P787" s="85"/>
    </row>
    <row r="788">
      <c r="A788" s="89"/>
      <c r="B788" s="89"/>
      <c r="C788" s="90"/>
      <c r="D788" s="91"/>
      <c r="E788" s="91"/>
      <c r="F788" s="91"/>
      <c r="G788" s="91"/>
      <c r="H788" s="85"/>
      <c r="I788" s="85"/>
      <c r="J788" s="85"/>
      <c r="K788" s="85"/>
      <c r="L788" s="85"/>
      <c r="M788" s="85"/>
      <c r="N788" s="85"/>
      <c r="O788" s="85"/>
      <c r="P788" s="85"/>
    </row>
    <row r="789">
      <c r="A789" s="89"/>
      <c r="B789" s="89"/>
      <c r="C789" s="90"/>
      <c r="D789" s="91"/>
      <c r="E789" s="91"/>
      <c r="F789" s="91"/>
      <c r="G789" s="91"/>
      <c r="H789" s="85"/>
      <c r="I789" s="85"/>
      <c r="J789" s="85"/>
      <c r="K789" s="85"/>
      <c r="L789" s="85"/>
      <c r="M789" s="85"/>
      <c r="N789" s="85"/>
      <c r="O789" s="85"/>
      <c r="P789" s="85"/>
    </row>
    <row r="790">
      <c r="A790" s="89"/>
      <c r="B790" s="89"/>
      <c r="C790" s="90"/>
      <c r="D790" s="91"/>
      <c r="E790" s="91"/>
      <c r="F790" s="91"/>
      <c r="G790" s="91"/>
      <c r="H790" s="85"/>
      <c r="I790" s="85"/>
      <c r="J790" s="85"/>
      <c r="K790" s="85"/>
      <c r="L790" s="85"/>
      <c r="M790" s="85"/>
      <c r="N790" s="85"/>
      <c r="O790" s="85"/>
      <c r="P790" s="85"/>
    </row>
    <row r="791">
      <c r="A791" s="89"/>
      <c r="B791" s="89"/>
      <c r="C791" s="90"/>
      <c r="D791" s="91"/>
      <c r="E791" s="91"/>
      <c r="F791" s="91"/>
      <c r="G791" s="91"/>
      <c r="H791" s="85"/>
      <c r="I791" s="85"/>
      <c r="J791" s="85"/>
      <c r="K791" s="85"/>
      <c r="L791" s="85"/>
      <c r="M791" s="85"/>
      <c r="N791" s="85"/>
      <c r="O791" s="85"/>
      <c r="P791" s="85"/>
    </row>
    <row r="792">
      <c r="A792" s="89"/>
      <c r="B792" s="89"/>
      <c r="C792" s="90"/>
      <c r="D792" s="91"/>
      <c r="E792" s="91"/>
      <c r="F792" s="91"/>
      <c r="G792" s="91"/>
      <c r="H792" s="85"/>
      <c r="I792" s="85"/>
      <c r="J792" s="85"/>
      <c r="K792" s="85"/>
      <c r="L792" s="85"/>
      <c r="M792" s="85"/>
      <c r="N792" s="85"/>
      <c r="O792" s="85"/>
      <c r="P792" s="85"/>
    </row>
    <row r="793">
      <c r="A793" s="89"/>
      <c r="B793" s="89"/>
      <c r="C793" s="90"/>
      <c r="D793" s="91"/>
      <c r="E793" s="91"/>
      <c r="F793" s="91"/>
      <c r="G793" s="91"/>
      <c r="H793" s="85"/>
      <c r="I793" s="85"/>
      <c r="J793" s="85"/>
      <c r="K793" s="85"/>
      <c r="L793" s="85"/>
      <c r="M793" s="85"/>
      <c r="N793" s="85"/>
      <c r="O793" s="85"/>
      <c r="P793" s="85"/>
    </row>
    <row r="794">
      <c r="A794" s="89"/>
      <c r="B794" s="89"/>
      <c r="C794" s="90"/>
      <c r="D794" s="91"/>
      <c r="E794" s="91"/>
      <c r="F794" s="91"/>
      <c r="G794" s="91"/>
      <c r="H794" s="85"/>
      <c r="I794" s="85"/>
      <c r="J794" s="85"/>
      <c r="K794" s="85"/>
      <c r="L794" s="85"/>
      <c r="M794" s="85"/>
      <c r="N794" s="85"/>
      <c r="O794" s="85"/>
      <c r="P794" s="85"/>
    </row>
    <row r="795">
      <c r="A795" s="89"/>
      <c r="B795" s="89"/>
      <c r="C795" s="90"/>
      <c r="D795" s="91"/>
      <c r="E795" s="91"/>
      <c r="F795" s="91"/>
      <c r="G795" s="91"/>
      <c r="H795" s="85"/>
      <c r="I795" s="85"/>
      <c r="J795" s="85"/>
      <c r="K795" s="85"/>
      <c r="L795" s="85"/>
      <c r="M795" s="85"/>
      <c r="N795" s="85"/>
      <c r="O795" s="85"/>
      <c r="P795" s="85"/>
    </row>
    <row r="796">
      <c r="A796" s="89"/>
      <c r="B796" s="89"/>
      <c r="C796" s="90"/>
      <c r="D796" s="91"/>
      <c r="E796" s="91"/>
      <c r="F796" s="91"/>
      <c r="G796" s="91"/>
      <c r="H796" s="85"/>
      <c r="I796" s="85"/>
      <c r="J796" s="85"/>
      <c r="K796" s="85"/>
      <c r="L796" s="85"/>
      <c r="M796" s="85"/>
      <c r="N796" s="85"/>
      <c r="O796" s="85"/>
      <c r="P796" s="85"/>
    </row>
    <row r="797">
      <c r="A797" s="89"/>
      <c r="B797" s="89"/>
      <c r="C797" s="90"/>
      <c r="D797" s="91"/>
      <c r="E797" s="91"/>
      <c r="F797" s="91"/>
      <c r="G797" s="91"/>
      <c r="H797" s="85"/>
      <c r="I797" s="85"/>
      <c r="J797" s="85"/>
      <c r="K797" s="85"/>
      <c r="L797" s="85"/>
      <c r="M797" s="85"/>
      <c r="N797" s="85"/>
      <c r="O797" s="85"/>
      <c r="P797" s="85"/>
    </row>
    <row r="798">
      <c r="A798" s="89"/>
      <c r="B798" s="89"/>
      <c r="C798" s="90"/>
      <c r="D798" s="91"/>
      <c r="E798" s="91"/>
      <c r="F798" s="91"/>
      <c r="G798" s="91"/>
      <c r="H798" s="85"/>
      <c r="I798" s="85"/>
      <c r="J798" s="85"/>
      <c r="K798" s="85"/>
      <c r="L798" s="85"/>
      <c r="M798" s="85"/>
      <c r="N798" s="85"/>
      <c r="O798" s="85"/>
      <c r="P798" s="85"/>
    </row>
    <row r="799">
      <c r="A799" s="89"/>
      <c r="B799" s="89"/>
      <c r="C799" s="90"/>
      <c r="D799" s="91"/>
      <c r="E799" s="91"/>
      <c r="F799" s="91"/>
      <c r="G799" s="91"/>
      <c r="H799" s="85"/>
      <c r="I799" s="85"/>
      <c r="J799" s="85"/>
      <c r="K799" s="85"/>
      <c r="L799" s="85"/>
      <c r="M799" s="85"/>
      <c r="N799" s="85"/>
      <c r="O799" s="85"/>
      <c r="P799" s="85"/>
    </row>
    <row r="800">
      <c r="A800" s="89"/>
      <c r="B800" s="89"/>
      <c r="C800" s="90"/>
      <c r="D800" s="91"/>
      <c r="E800" s="91"/>
      <c r="F800" s="91"/>
      <c r="G800" s="91"/>
      <c r="H800" s="85"/>
      <c r="I800" s="85"/>
      <c r="J800" s="85"/>
      <c r="K800" s="85"/>
      <c r="L800" s="85"/>
      <c r="M800" s="85"/>
      <c r="N800" s="85"/>
      <c r="O800" s="85"/>
      <c r="P800" s="85"/>
    </row>
    <row r="801">
      <c r="A801" s="89"/>
      <c r="B801" s="89"/>
      <c r="C801" s="90"/>
      <c r="D801" s="91"/>
      <c r="E801" s="91"/>
      <c r="F801" s="91"/>
      <c r="G801" s="91"/>
      <c r="H801" s="85"/>
      <c r="I801" s="85"/>
      <c r="J801" s="85"/>
      <c r="K801" s="85"/>
      <c r="L801" s="85"/>
      <c r="M801" s="85"/>
      <c r="N801" s="85"/>
      <c r="O801" s="85"/>
      <c r="P801" s="85"/>
    </row>
    <row r="802">
      <c r="A802" s="89"/>
      <c r="B802" s="89"/>
      <c r="C802" s="90"/>
      <c r="D802" s="91"/>
      <c r="E802" s="91"/>
      <c r="F802" s="91"/>
      <c r="G802" s="91"/>
      <c r="H802" s="85"/>
      <c r="I802" s="85"/>
      <c r="J802" s="85"/>
      <c r="K802" s="85"/>
      <c r="L802" s="85"/>
      <c r="M802" s="85"/>
      <c r="N802" s="85"/>
      <c r="O802" s="85"/>
      <c r="P802" s="85"/>
    </row>
    <row r="803">
      <c r="A803" s="89"/>
      <c r="B803" s="89"/>
      <c r="C803" s="90"/>
      <c r="D803" s="91"/>
      <c r="E803" s="91"/>
      <c r="F803" s="91"/>
      <c r="G803" s="91"/>
      <c r="H803" s="85"/>
      <c r="I803" s="85"/>
      <c r="J803" s="85"/>
      <c r="K803" s="85"/>
      <c r="L803" s="85"/>
      <c r="M803" s="85"/>
      <c r="N803" s="85"/>
      <c r="O803" s="85"/>
      <c r="P803" s="85"/>
    </row>
    <row r="804">
      <c r="A804" s="89"/>
      <c r="B804" s="89"/>
      <c r="C804" s="90"/>
      <c r="D804" s="91"/>
      <c r="E804" s="91"/>
      <c r="F804" s="91"/>
      <c r="G804" s="91"/>
      <c r="H804" s="85"/>
      <c r="I804" s="85"/>
      <c r="J804" s="85"/>
      <c r="K804" s="85"/>
      <c r="L804" s="85"/>
      <c r="M804" s="85"/>
      <c r="N804" s="85"/>
      <c r="O804" s="85"/>
      <c r="P804" s="85"/>
    </row>
    <row r="805">
      <c r="A805" s="89"/>
      <c r="B805" s="89"/>
      <c r="C805" s="90"/>
      <c r="D805" s="91"/>
      <c r="E805" s="91"/>
      <c r="F805" s="91"/>
      <c r="G805" s="91"/>
      <c r="H805" s="85"/>
      <c r="I805" s="85"/>
      <c r="J805" s="85"/>
      <c r="K805" s="85"/>
      <c r="L805" s="85"/>
      <c r="M805" s="85"/>
      <c r="N805" s="85"/>
      <c r="O805" s="85"/>
      <c r="P805" s="85"/>
    </row>
    <row r="806">
      <c r="A806" s="89"/>
      <c r="B806" s="89"/>
      <c r="C806" s="90"/>
      <c r="D806" s="91"/>
      <c r="E806" s="91"/>
      <c r="F806" s="91"/>
      <c r="G806" s="91"/>
      <c r="H806" s="85"/>
      <c r="I806" s="85"/>
      <c r="J806" s="85"/>
      <c r="K806" s="85"/>
      <c r="L806" s="85"/>
      <c r="M806" s="85"/>
      <c r="N806" s="85"/>
      <c r="O806" s="85"/>
      <c r="P806" s="85"/>
    </row>
    <row r="807">
      <c r="A807" s="89"/>
      <c r="B807" s="89"/>
      <c r="C807" s="90"/>
      <c r="D807" s="91"/>
      <c r="E807" s="91"/>
      <c r="F807" s="91"/>
      <c r="G807" s="91"/>
      <c r="H807" s="85"/>
      <c r="I807" s="85"/>
      <c r="J807" s="85"/>
      <c r="K807" s="85"/>
      <c r="L807" s="85"/>
      <c r="M807" s="85"/>
      <c r="N807" s="85"/>
      <c r="O807" s="85"/>
      <c r="P807" s="85"/>
    </row>
    <row r="808">
      <c r="A808" s="89"/>
      <c r="B808" s="89"/>
      <c r="C808" s="90"/>
      <c r="D808" s="91"/>
      <c r="E808" s="91"/>
      <c r="F808" s="91"/>
      <c r="G808" s="91"/>
      <c r="H808" s="85"/>
      <c r="I808" s="85"/>
      <c r="J808" s="85"/>
      <c r="K808" s="85"/>
      <c r="L808" s="85"/>
      <c r="M808" s="85"/>
      <c r="N808" s="85"/>
      <c r="O808" s="85"/>
      <c r="P808" s="85"/>
    </row>
    <row r="809">
      <c r="A809" s="89"/>
      <c r="B809" s="89"/>
      <c r="C809" s="90"/>
      <c r="D809" s="91"/>
      <c r="E809" s="91"/>
      <c r="F809" s="91"/>
      <c r="G809" s="91"/>
      <c r="H809" s="85"/>
      <c r="I809" s="85"/>
      <c r="J809" s="85"/>
      <c r="K809" s="85"/>
      <c r="L809" s="85"/>
      <c r="M809" s="85"/>
      <c r="N809" s="85"/>
      <c r="O809" s="85"/>
      <c r="P809" s="85"/>
    </row>
    <row r="810">
      <c r="A810" s="89"/>
      <c r="B810" s="89"/>
      <c r="C810" s="90"/>
      <c r="D810" s="91"/>
      <c r="E810" s="91"/>
      <c r="F810" s="91"/>
      <c r="G810" s="91"/>
      <c r="H810" s="85"/>
      <c r="I810" s="85"/>
      <c r="J810" s="85"/>
      <c r="K810" s="85"/>
      <c r="L810" s="85"/>
      <c r="M810" s="85"/>
      <c r="N810" s="85"/>
      <c r="O810" s="85"/>
      <c r="P810" s="85"/>
    </row>
    <row r="811">
      <c r="A811" s="89"/>
      <c r="B811" s="89"/>
      <c r="C811" s="90"/>
      <c r="D811" s="91"/>
      <c r="E811" s="91"/>
      <c r="F811" s="91"/>
      <c r="G811" s="91"/>
      <c r="H811" s="85"/>
      <c r="I811" s="85"/>
      <c r="J811" s="85"/>
      <c r="K811" s="85"/>
      <c r="L811" s="85"/>
      <c r="M811" s="85"/>
      <c r="N811" s="85"/>
      <c r="O811" s="85"/>
      <c r="P811" s="85"/>
    </row>
    <row r="812">
      <c r="A812" s="89"/>
      <c r="B812" s="89"/>
      <c r="C812" s="90"/>
      <c r="D812" s="91"/>
      <c r="E812" s="91"/>
      <c r="F812" s="91"/>
      <c r="G812" s="91"/>
      <c r="H812" s="85"/>
      <c r="I812" s="85"/>
      <c r="J812" s="85"/>
      <c r="K812" s="85"/>
      <c r="L812" s="85"/>
      <c r="M812" s="85"/>
      <c r="N812" s="85"/>
      <c r="O812" s="85"/>
      <c r="P812" s="85"/>
    </row>
    <row r="813">
      <c r="A813" s="89"/>
      <c r="B813" s="89"/>
      <c r="C813" s="90"/>
      <c r="D813" s="91"/>
      <c r="E813" s="91"/>
      <c r="F813" s="91"/>
      <c r="G813" s="91"/>
      <c r="H813" s="85"/>
      <c r="I813" s="85"/>
      <c r="J813" s="85"/>
      <c r="K813" s="85"/>
      <c r="L813" s="85"/>
      <c r="M813" s="85"/>
      <c r="N813" s="85"/>
      <c r="O813" s="85"/>
      <c r="P813" s="85"/>
    </row>
    <row r="814">
      <c r="A814" s="89"/>
      <c r="B814" s="89"/>
      <c r="C814" s="90"/>
      <c r="D814" s="91"/>
      <c r="E814" s="91"/>
      <c r="F814" s="91"/>
      <c r="G814" s="91"/>
      <c r="H814" s="85"/>
      <c r="I814" s="85"/>
      <c r="J814" s="85"/>
      <c r="K814" s="85"/>
      <c r="L814" s="85"/>
      <c r="M814" s="85"/>
      <c r="N814" s="85"/>
      <c r="O814" s="85"/>
      <c r="P814" s="85"/>
    </row>
    <row r="815">
      <c r="A815" s="89"/>
      <c r="B815" s="89"/>
      <c r="C815" s="90"/>
      <c r="D815" s="91"/>
      <c r="E815" s="91"/>
      <c r="F815" s="91"/>
      <c r="G815" s="91"/>
      <c r="H815" s="85"/>
      <c r="I815" s="85"/>
      <c r="J815" s="85"/>
      <c r="K815" s="85"/>
      <c r="L815" s="85"/>
      <c r="M815" s="85"/>
      <c r="N815" s="85"/>
      <c r="O815" s="85"/>
      <c r="P815" s="85"/>
    </row>
    <row r="816">
      <c r="A816" s="89"/>
      <c r="B816" s="89"/>
      <c r="C816" s="90"/>
      <c r="D816" s="91"/>
      <c r="E816" s="91"/>
      <c r="F816" s="91"/>
      <c r="G816" s="91"/>
      <c r="H816" s="85"/>
      <c r="I816" s="85"/>
      <c r="J816" s="85"/>
      <c r="K816" s="85"/>
      <c r="L816" s="85"/>
      <c r="M816" s="85"/>
      <c r="N816" s="85"/>
      <c r="O816" s="85"/>
      <c r="P816" s="85"/>
    </row>
    <row r="817">
      <c r="A817" s="89"/>
      <c r="B817" s="89"/>
      <c r="C817" s="90"/>
      <c r="D817" s="91"/>
      <c r="E817" s="91"/>
      <c r="F817" s="91"/>
      <c r="G817" s="91"/>
      <c r="H817" s="85"/>
      <c r="I817" s="85"/>
      <c r="J817" s="85"/>
      <c r="K817" s="85"/>
      <c r="L817" s="85"/>
      <c r="M817" s="85"/>
      <c r="N817" s="85"/>
      <c r="O817" s="85"/>
      <c r="P817" s="85"/>
    </row>
    <row r="818">
      <c r="A818" s="89"/>
      <c r="B818" s="89"/>
      <c r="C818" s="90"/>
      <c r="D818" s="91"/>
      <c r="E818" s="91"/>
      <c r="F818" s="91"/>
      <c r="G818" s="91"/>
      <c r="H818" s="85"/>
      <c r="I818" s="85"/>
      <c r="J818" s="85"/>
      <c r="K818" s="85"/>
      <c r="L818" s="85"/>
      <c r="M818" s="85"/>
      <c r="N818" s="85"/>
      <c r="O818" s="85"/>
      <c r="P818" s="85"/>
    </row>
    <row r="819">
      <c r="A819" s="89"/>
      <c r="B819" s="89"/>
      <c r="C819" s="90"/>
      <c r="D819" s="91"/>
      <c r="E819" s="91"/>
      <c r="F819" s="91"/>
      <c r="G819" s="91"/>
      <c r="H819" s="85"/>
      <c r="I819" s="85"/>
      <c r="J819" s="85"/>
      <c r="K819" s="85"/>
      <c r="L819" s="85"/>
      <c r="M819" s="85"/>
      <c r="N819" s="85"/>
      <c r="O819" s="85"/>
      <c r="P819" s="85"/>
    </row>
    <row r="820">
      <c r="A820" s="89"/>
      <c r="B820" s="89"/>
      <c r="C820" s="90"/>
      <c r="D820" s="91"/>
      <c r="E820" s="91"/>
      <c r="F820" s="91"/>
      <c r="G820" s="91"/>
      <c r="H820" s="85"/>
      <c r="I820" s="85"/>
      <c r="J820" s="85"/>
      <c r="K820" s="85"/>
      <c r="L820" s="85"/>
      <c r="M820" s="85"/>
      <c r="N820" s="85"/>
      <c r="O820" s="85"/>
      <c r="P820" s="85"/>
    </row>
    <row r="821">
      <c r="A821" s="89"/>
      <c r="B821" s="89"/>
      <c r="C821" s="90"/>
      <c r="D821" s="91"/>
      <c r="E821" s="91"/>
      <c r="F821" s="91"/>
      <c r="G821" s="91"/>
      <c r="H821" s="85"/>
      <c r="I821" s="85"/>
      <c r="J821" s="85"/>
      <c r="K821" s="85"/>
      <c r="L821" s="85"/>
      <c r="M821" s="85"/>
      <c r="N821" s="85"/>
      <c r="O821" s="85"/>
      <c r="P821" s="85"/>
    </row>
    <row r="822">
      <c r="A822" s="89"/>
      <c r="B822" s="89"/>
      <c r="C822" s="90"/>
      <c r="D822" s="91"/>
      <c r="E822" s="91"/>
      <c r="F822" s="91"/>
      <c r="G822" s="91"/>
      <c r="H822" s="85"/>
      <c r="I822" s="85"/>
      <c r="J822" s="85"/>
      <c r="K822" s="85"/>
      <c r="L822" s="85"/>
      <c r="M822" s="85"/>
      <c r="N822" s="85"/>
      <c r="O822" s="85"/>
      <c r="P822" s="85"/>
    </row>
    <row r="823">
      <c r="A823" s="89"/>
      <c r="B823" s="89"/>
      <c r="C823" s="90"/>
      <c r="D823" s="91"/>
      <c r="E823" s="91"/>
      <c r="F823" s="91"/>
      <c r="G823" s="91"/>
      <c r="H823" s="85"/>
      <c r="I823" s="85"/>
      <c r="J823" s="85"/>
      <c r="K823" s="85"/>
      <c r="L823" s="85"/>
      <c r="M823" s="85"/>
      <c r="N823" s="85"/>
      <c r="O823" s="85"/>
      <c r="P823" s="85"/>
    </row>
    <row r="824">
      <c r="A824" s="89"/>
      <c r="B824" s="89"/>
      <c r="C824" s="90"/>
      <c r="D824" s="91"/>
      <c r="E824" s="91"/>
      <c r="F824" s="91"/>
      <c r="G824" s="91"/>
      <c r="H824" s="85"/>
      <c r="I824" s="85"/>
      <c r="J824" s="85"/>
      <c r="K824" s="85"/>
      <c r="L824" s="85"/>
      <c r="M824" s="85"/>
      <c r="N824" s="85"/>
      <c r="O824" s="85"/>
      <c r="P824" s="85"/>
    </row>
    <row r="825">
      <c r="A825" s="89"/>
      <c r="B825" s="89"/>
      <c r="C825" s="90"/>
      <c r="D825" s="91"/>
      <c r="E825" s="91"/>
      <c r="F825" s="91"/>
      <c r="G825" s="91"/>
      <c r="H825" s="85"/>
      <c r="I825" s="85"/>
      <c r="J825" s="85"/>
      <c r="K825" s="85"/>
      <c r="L825" s="85"/>
      <c r="M825" s="85"/>
      <c r="N825" s="85"/>
      <c r="O825" s="85"/>
      <c r="P825" s="85"/>
    </row>
    <row r="826">
      <c r="A826" s="89"/>
      <c r="B826" s="89"/>
      <c r="C826" s="90"/>
      <c r="D826" s="91"/>
      <c r="E826" s="91"/>
      <c r="F826" s="91"/>
      <c r="G826" s="91"/>
      <c r="H826" s="85"/>
      <c r="I826" s="85"/>
      <c r="J826" s="85"/>
      <c r="K826" s="85"/>
      <c r="L826" s="85"/>
      <c r="M826" s="85"/>
      <c r="N826" s="85"/>
      <c r="O826" s="85"/>
      <c r="P826" s="85"/>
    </row>
    <row r="827">
      <c r="A827" s="89"/>
      <c r="B827" s="89"/>
      <c r="C827" s="90"/>
      <c r="D827" s="91"/>
      <c r="E827" s="91"/>
      <c r="F827" s="91"/>
      <c r="G827" s="91"/>
      <c r="H827" s="85"/>
      <c r="I827" s="85"/>
      <c r="J827" s="85"/>
      <c r="K827" s="85"/>
      <c r="L827" s="85"/>
      <c r="M827" s="85"/>
      <c r="N827" s="85"/>
      <c r="O827" s="85"/>
      <c r="P827" s="85"/>
    </row>
    <row r="828">
      <c r="A828" s="89"/>
      <c r="B828" s="89"/>
      <c r="C828" s="90"/>
      <c r="D828" s="91"/>
      <c r="E828" s="91"/>
      <c r="F828" s="91"/>
      <c r="G828" s="91"/>
      <c r="H828" s="85"/>
      <c r="I828" s="85"/>
      <c r="J828" s="85"/>
      <c r="K828" s="85"/>
      <c r="L828" s="85"/>
      <c r="M828" s="85"/>
      <c r="N828" s="85"/>
      <c r="O828" s="85"/>
      <c r="P828" s="85"/>
    </row>
    <row r="829">
      <c r="A829" s="89"/>
      <c r="B829" s="89"/>
      <c r="C829" s="90"/>
      <c r="D829" s="91"/>
      <c r="E829" s="91"/>
      <c r="F829" s="91"/>
      <c r="G829" s="91"/>
      <c r="H829" s="85"/>
      <c r="I829" s="85"/>
      <c r="J829" s="85"/>
      <c r="K829" s="85"/>
      <c r="L829" s="85"/>
      <c r="M829" s="85"/>
      <c r="N829" s="85"/>
      <c r="O829" s="85"/>
      <c r="P829" s="85"/>
    </row>
    <row r="830">
      <c r="A830" s="89"/>
      <c r="B830" s="89"/>
      <c r="C830" s="90"/>
      <c r="D830" s="91"/>
      <c r="E830" s="91"/>
      <c r="F830" s="91"/>
      <c r="G830" s="91"/>
      <c r="H830" s="85"/>
      <c r="I830" s="85"/>
      <c r="J830" s="85"/>
      <c r="K830" s="85"/>
      <c r="L830" s="85"/>
      <c r="M830" s="85"/>
      <c r="N830" s="85"/>
      <c r="O830" s="85"/>
      <c r="P830" s="85"/>
    </row>
    <row r="831">
      <c r="A831" s="89"/>
      <c r="B831" s="89"/>
      <c r="C831" s="90"/>
      <c r="D831" s="91"/>
      <c r="E831" s="91"/>
      <c r="F831" s="91"/>
      <c r="G831" s="91"/>
      <c r="H831" s="85"/>
      <c r="I831" s="85"/>
      <c r="J831" s="85"/>
      <c r="K831" s="85"/>
      <c r="L831" s="85"/>
      <c r="M831" s="85"/>
      <c r="N831" s="85"/>
      <c r="O831" s="85"/>
      <c r="P831" s="85"/>
    </row>
    <row r="832">
      <c r="A832" s="89"/>
      <c r="B832" s="89"/>
      <c r="C832" s="90"/>
      <c r="D832" s="91"/>
      <c r="E832" s="91"/>
      <c r="F832" s="91"/>
      <c r="G832" s="91"/>
      <c r="H832" s="85"/>
      <c r="I832" s="85"/>
      <c r="J832" s="85"/>
      <c r="K832" s="85"/>
      <c r="L832" s="85"/>
      <c r="M832" s="85"/>
      <c r="N832" s="85"/>
      <c r="O832" s="85"/>
      <c r="P832" s="85"/>
    </row>
    <row r="833">
      <c r="A833" s="89"/>
      <c r="B833" s="89"/>
      <c r="C833" s="90"/>
      <c r="D833" s="91"/>
      <c r="E833" s="91"/>
      <c r="F833" s="91"/>
      <c r="G833" s="91"/>
      <c r="H833" s="85"/>
      <c r="I833" s="85"/>
      <c r="J833" s="85"/>
      <c r="K833" s="85"/>
      <c r="L833" s="85"/>
      <c r="M833" s="85"/>
      <c r="N833" s="85"/>
      <c r="O833" s="85"/>
      <c r="P833" s="85"/>
    </row>
    <row r="834">
      <c r="A834" s="89"/>
      <c r="B834" s="89"/>
      <c r="C834" s="90"/>
      <c r="D834" s="91"/>
      <c r="E834" s="91"/>
      <c r="F834" s="91"/>
      <c r="G834" s="91"/>
      <c r="H834" s="85"/>
      <c r="I834" s="85"/>
      <c r="J834" s="85"/>
      <c r="K834" s="85"/>
      <c r="L834" s="85"/>
      <c r="M834" s="85"/>
      <c r="N834" s="85"/>
      <c r="O834" s="85"/>
      <c r="P834" s="85"/>
    </row>
    <row r="835">
      <c r="A835" s="89"/>
      <c r="B835" s="89"/>
      <c r="C835" s="90"/>
      <c r="D835" s="91"/>
      <c r="E835" s="91"/>
      <c r="F835" s="91"/>
      <c r="G835" s="91"/>
      <c r="H835" s="85"/>
      <c r="I835" s="85"/>
      <c r="J835" s="85"/>
      <c r="K835" s="85"/>
      <c r="L835" s="85"/>
      <c r="M835" s="85"/>
      <c r="N835" s="85"/>
      <c r="O835" s="85"/>
      <c r="P835" s="85"/>
    </row>
    <row r="836">
      <c r="A836" s="89"/>
      <c r="B836" s="89"/>
      <c r="C836" s="90"/>
      <c r="D836" s="91"/>
      <c r="E836" s="91"/>
      <c r="F836" s="91"/>
      <c r="G836" s="91"/>
      <c r="H836" s="85"/>
      <c r="I836" s="85"/>
      <c r="J836" s="85"/>
      <c r="K836" s="85"/>
      <c r="L836" s="85"/>
      <c r="M836" s="85"/>
      <c r="N836" s="85"/>
      <c r="O836" s="85"/>
      <c r="P836" s="85"/>
    </row>
    <row r="837">
      <c r="A837" s="89"/>
      <c r="B837" s="89"/>
      <c r="C837" s="90"/>
      <c r="D837" s="91"/>
      <c r="E837" s="91"/>
      <c r="F837" s="91"/>
      <c r="G837" s="91"/>
      <c r="H837" s="85"/>
      <c r="I837" s="85"/>
      <c r="J837" s="85"/>
      <c r="K837" s="85"/>
      <c r="L837" s="85"/>
      <c r="M837" s="85"/>
      <c r="N837" s="85"/>
      <c r="O837" s="85"/>
      <c r="P837" s="85"/>
    </row>
    <row r="838">
      <c r="A838" s="89"/>
      <c r="B838" s="89"/>
      <c r="C838" s="90"/>
      <c r="D838" s="91"/>
      <c r="E838" s="91"/>
      <c r="F838" s="91"/>
      <c r="G838" s="91"/>
      <c r="H838" s="85"/>
      <c r="I838" s="85"/>
      <c r="J838" s="85"/>
      <c r="K838" s="85"/>
      <c r="L838" s="85"/>
      <c r="M838" s="85"/>
      <c r="N838" s="85"/>
      <c r="O838" s="85"/>
      <c r="P838" s="85"/>
    </row>
    <row r="839">
      <c r="A839" s="89"/>
      <c r="B839" s="89"/>
      <c r="C839" s="90"/>
      <c r="D839" s="91"/>
      <c r="E839" s="91"/>
      <c r="F839" s="91"/>
      <c r="G839" s="91"/>
      <c r="H839" s="85"/>
      <c r="I839" s="85"/>
      <c r="J839" s="85"/>
      <c r="K839" s="85"/>
      <c r="L839" s="85"/>
      <c r="M839" s="85"/>
      <c r="N839" s="85"/>
      <c r="O839" s="85"/>
      <c r="P839" s="85"/>
    </row>
    <row r="840">
      <c r="A840" s="89"/>
      <c r="B840" s="89"/>
      <c r="C840" s="90"/>
      <c r="D840" s="91"/>
      <c r="E840" s="91"/>
      <c r="F840" s="91"/>
      <c r="G840" s="91"/>
      <c r="H840" s="85"/>
      <c r="I840" s="85"/>
      <c r="J840" s="85"/>
      <c r="K840" s="85"/>
      <c r="L840" s="85"/>
      <c r="M840" s="85"/>
      <c r="N840" s="85"/>
      <c r="O840" s="85"/>
      <c r="P840" s="85"/>
    </row>
    <row r="841">
      <c r="A841" s="89"/>
      <c r="B841" s="89"/>
      <c r="C841" s="90"/>
      <c r="D841" s="91"/>
      <c r="E841" s="91"/>
      <c r="F841" s="91"/>
      <c r="G841" s="91"/>
      <c r="H841" s="85"/>
      <c r="I841" s="85"/>
      <c r="J841" s="85"/>
      <c r="K841" s="85"/>
      <c r="L841" s="85"/>
      <c r="M841" s="85"/>
      <c r="N841" s="85"/>
      <c r="O841" s="85"/>
      <c r="P841" s="85"/>
    </row>
    <row r="842">
      <c r="A842" s="89"/>
      <c r="B842" s="89"/>
      <c r="C842" s="90"/>
      <c r="D842" s="91"/>
      <c r="E842" s="91"/>
      <c r="F842" s="91"/>
      <c r="G842" s="91"/>
      <c r="H842" s="85"/>
      <c r="I842" s="85"/>
      <c r="J842" s="85"/>
      <c r="K842" s="85"/>
      <c r="L842" s="85"/>
      <c r="M842" s="85"/>
      <c r="N842" s="85"/>
      <c r="O842" s="85"/>
      <c r="P842" s="85"/>
    </row>
    <row r="843">
      <c r="A843" s="89"/>
      <c r="B843" s="89"/>
      <c r="C843" s="90"/>
      <c r="D843" s="91"/>
      <c r="E843" s="91"/>
      <c r="F843" s="91"/>
      <c r="G843" s="91"/>
      <c r="H843" s="85"/>
      <c r="I843" s="85"/>
      <c r="J843" s="85"/>
      <c r="K843" s="85"/>
      <c r="L843" s="85"/>
      <c r="M843" s="85"/>
      <c r="N843" s="85"/>
      <c r="O843" s="85"/>
      <c r="P843" s="85"/>
    </row>
    <row r="844">
      <c r="A844" s="89"/>
      <c r="B844" s="89"/>
      <c r="C844" s="90"/>
      <c r="D844" s="91"/>
      <c r="E844" s="91"/>
      <c r="F844" s="91"/>
      <c r="G844" s="91"/>
      <c r="H844" s="85"/>
      <c r="I844" s="85"/>
      <c r="J844" s="85"/>
      <c r="K844" s="85"/>
      <c r="L844" s="85"/>
      <c r="M844" s="85"/>
      <c r="N844" s="85"/>
      <c r="O844" s="85"/>
      <c r="P844" s="85"/>
    </row>
    <row r="845">
      <c r="A845" s="89"/>
      <c r="B845" s="89"/>
      <c r="C845" s="90"/>
      <c r="D845" s="91"/>
      <c r="E845" s="91"/>
      <c r="F845" s="91"/>
      <c r="G845" s="91"/>
      <c r="H845" s="85"/>
      <c r="I845" s="85"/>
      <c r="J845" s="85"/>
      <c r="K845" s="85"/>
      <c r="L845" s="85"/>
      <c r="M845" s="85"/>
      <c r="N845" s="85"/>
      <c r="O845" s="85"/>
      <c r="P845" s="85"/>
    </row>
    <row r="846">
      <c r="A846" s="89"/>
      <c r="B846" s="89"/>
      <c r="C846" s="90"/>
      <c r="D846" s="91"/>
      <c r="E846" s="91"/>
      <c r="F846" s="91"/>
      <c r="G846" s="91"/>
      <c r="H846" s="85"/>
      <c r="I846" s="85"/>
      <c r="J846" s="85"/>
      <c r="K846" s="85"/>
      <c r="L846" s="85"/>
      <c r="M846" s="85"/>
      <c r="N846" s="85"/>
      <c r="O846" s="85"/>
      <c r="P846" s="85"/>
    </row>
    <row r="847">
      <c r="A847" s="89"/>
      <c r="B847" s="89"/>
      <c r="C847" s="90"/>
      <c r="D847" s="91"/>
      <c r="E847" s="91"/>
      <c r="F847" s="91"/>
      <c r="G847" s="91"/>
      <c r="H847" s="85"/>
      <c r="I847" s="85"/>
      <c r="J847" s="85"/>
      <c r="K847" s="85"/>
      <c r="L847" s="85"/>
      <c r="M847" s="85"/>
      <c r="N847" s="85"/>
      <c r="O847" s="85"/>
      <c r="P847" s="85"/>
    </row>
    <row r="848">
      <c r="A848" s="89"/>
      <c r="B848" s="89"/>
      <c r="C848" s="90"/>
      <c r="D848" s="91"/>
      <c r="E848" s="91"/>
      <c r="F848" s="91"/>
      <c r="G848" s="91"/>
      <c r="H848" s="85"/>
      <c r="I848" s="85"/>
      <c r="J848" s="85"/>
      <c r="K848" s="85"/>
      <c r="L848" s="85"/>
      <c r="M848" s="85"/>
      <c r="N848" s="85"/>
      <c r="O848" s="85"/>
      <c r="P848" s="85"/>
    </row>
    <row r="849">
      <c r="A849" s="89"/>
      <c r="B849" s="89"/>
      <c r="C849" s="90"/>
      <c r="D849" s="91"/>
      <c r="E849" s="91"/>
      <c r="F849" s="91"/>
      <c r="G849" s="91"/>
      <c r="H849" s="85"/>
      <c r="I849" s="85"/>
      <c r="J849" s="85"/>
      <c r="K849" s="85"/>
      <c r="L849" s="85"/>
      <c r="M849" s="85"/>
      <c r="N849" s="85"/>
      <c r="O849" s="85"/>
      <c r="P849" s="85"/>
    </row>
    <row r="850">
      <c r="A850" s="89"/>
      <c r="B850" s="89"/>
      <c r="C850" s="90"/>
      <c r="D850" s="91"/>
      <c r="E850" s="91"/>
      <c r="F850" s="91"/>
      <c r="G850" s="91"/>
      <c r="H850" s="85"/>
      <c r="I850" s="85"/>
      <c r="J850" s="85"/>
      <c r="K850" s="85"/>
      <c r="L850" s="85"/>
      <c r="M850" s="85"/>
      <c r="N850" s="85"/>
      <c r="O850" s="85"/>
      <c r="P850" s="85"/>
    </row>
    <row r="851">
      <c r="A851" s="89"/>
      <c r="B851" s="89"/>
      <c r="C851" s="90"/>
      <c r="D851" s="91"/>
      <c r="E851" s="91"/>
      <c r="F851" s="91"/>
      <c r="G851" s="91"/>
      <c r="H851" s="85"/>
      <c r="I851" s="85"/>
      <c r="J851" s="85"/>
      <c r="K851" s="85"/>
      <c r="L851" s="85"/>
      <c r="M851" s="85"/>
      <c r="N851" s="85"/>
      <c r="O851" s="85"/>
      <c r="P851" s="85"/>
    </row>
    <row r="852">
      <c r="A852" s="89"/>
      <c r="B852" s="89"/>
      <c r="C852" s="90"/>
      <c r="D852" s="91"/>
      <c r="E852" s="91"/>
      <c r="F852" s="91"/>
      <c r="G852" s="91"/>
      <c r="H852" s="85"/>
      <c r="I852" s="85"/>
      <c r="J852" s="85"/>
      <c r="K852" s="85"/>
      <c r="L852" s="85"/>
      <c r="M852" s="85"/>
      <c r="N852" s="85"/>
      <c r="O852" s="85"/>
      <c r="P852" s="85"/>
    </row>
    <row r="853">
      <c r="A853" s="89"/>
      <c r="B853" s="89"/>
      <c r="C853" s="90"/>
      <c r="D853" s="91"/>
      <c r="E853" s="91"/>
      <c r="F853" s="91"/>
      <c r="G853" s="91"/>
      <c r="H853" s="85"/>
      <c r="I853" s="85"/>
      <c r="J853" s="85"/>
      <c r="K853" s="85"/>
      <c r="L853" s="85"/>
      <c r="M853" s="85"/>
      <c r="N853" s="85"/>
      <c r="O853" s="85"/>
      <c r="P853" s="85"/>
    </row>
    <row r="854">
      <c r="A854" s="89"/>
      <c r="B854" s="89"/>
      <c r="C854" s="90"/>
      <c r="D854" s="91"/>
      <c r="E854" s="91"/>
      <c r="F854" s="91"/>
      <c r="G854" s="91"/>
      <c r="H854" s="85"/>
      <c r="I854" s="85"/>
      <c r="J854" s="85"/>
      <c r="K854" s="85"/>
      <c r="L854" s="85"/>
      <c r="M854" s="85"/>
      <c r="N854" s="85"/>
      <c r="O854" s="85"/>
      <c r="P854" s="85"/>
    </row>
    <row r="855">
      <c r="A855" s="89"/>
      <c r="B855" s="89"/>
      <c r="C855" s="90"/>
      <c r="D855" s="91"/>
      <c r="E855" s="91"/>
      <c r="F855" s="91"/>
      <c r="G855" s="91"/>
      <c r="H855" s="85"/>
      <c r="I855" s="85"/>
      <c r="J855" s="85"/>
      <c r="K855" s="85"/>
      <c r="L855" s="85"/>
      <c r="M855" s="85"/>
      <c r="N855" s="85"/>
      <c r="O855" s="85"/>
      <c r="P855" s="85"/>
    </row>
    <row r="856">
      <c r="A856" s="89"/>
      <c r="B856" s="89"/>
      <c r="C856" s="90"/>
      <c r="D856" s="91"/>
      <c r="E856" s="91"/>
      <c r="F856" s="91"/>
      <c r="G856" s="91"/>
      <c r="H856" s="85"/>
      <c r="I856" s="85"/>
      <c r="J856" s="85"/>
      <c r="K856" s="85"/>
      <c r="L856" s="85"/>
      <c r="M856" s="85"/>
      <c r="N856" s="85"/>
      <c r="O856" s="85"/>
      <c r="P856" s="85"/>
    </row>
    <row r="857">
      <c r="A857" s="89"/>
      <c r="B857" s="89"/>
      <c r="C857" s="90"/>
      <c r="D857" s="91"/>
      <c r="E857" s="91"/>
      <c r="F857" s="91"/>
      <c r="G857" s="91"/>
      <c r="H857" s="85"/>
      <c r="I857" s="85"/>
      <c r="J857" s="85"/>
      <c r="K857" s="85"/>
      <c r="L857" s="85"/>
      <c r="M857" s="85"/>
      <c r="N857" s="85"/>
      <c r="O857" s="85"/>
      <c r="P857" s="85"/>
    </row>
    <row r="858">
      <c r="A858" s="89"/>
      <c r="B858" s="89"/>
      <c r="C858" s="90"/>
      <c r="D858" s="91"/>
      <c r="E858" s="91"/>
      <c r="F858" s="91"/>
      <c r="G858" s="91"/>
      <c r="H858" s="85"/>
      <c r="I858" s="85"/>
      <c r="J858" s="85"/>
      <c r="K858" s="85"/>
      <c r="L858" s="85"/>
      <c r="M858" s="85"/>
      <c r="N858" s="85"/>
      <c r="O858" s="85"/>
      <c r="P858" s="85"/>
    </row>
    <row r="859">
      <c r="A859" s="89"/>
      <c r="B859" s="89"/>
      <c r="C859" s="90"/>
      <c r="D859" s="91"/>
      <c r="E859" s="91"/>
      <c r="F859" s="91"/>
      <c r="G859" s="91"/>
      <c r="H859" s="85"/>
      <c r="I859" s="85"/>
      <c r="J859" s="85"/>
      <c r="K859" s="85"/>
      <c r="L859" s="85"/>
      <c r="M859" s="85"/>
      <c r="N859" s="85"/>
      <c r="O859" s="85"/>
      <c r="P859" s="85"/>
    </row>
    <row r="860">
      <c r="A860" s="89"/>
      <c r="B860" s="89"/>
      <c r="C860" s="90"/>
      <c r="D860" s="91"/>
      <c r="E860" s="91"/>
      <c r="F860" s="91"/>
      <c r="G860" s="91"/>
      <c r="H860" s="85"/>
      <c r="I860" s="85"/>
      <c r="J860" s="85"/>
      <c r="K860" s="85"/>
      <c r="L860" s="85"/>
      <c r="M860" s="85"/>
      <c r="N860" s="85"/>
      <c r="O860" s="85"/>
      <c r="P860" s="85"/>
    </row>
    <row r="861">
      <c r="A861" s="89"/>
      <c r="B861" s="89"/>
      <c r="C861" s="90"/>
      <c r="D861" s="91"/>
      <c r="E861" s="91"/>
      <c r="F861" s="91"/>
      <c r="G861" s="91"/>
      <c r="H861" s="85"/>
      <c r="I861" s="85"/>
      <c r="J861" s="85"/>
      <c r="K861" s="85"/>
      <c r="L861" s="85"/>
      <c r="M861" s="85"/>
      <c r="N861" s="85"/>
      <c r="O861" s="85"/>
      <c r="P861" s="85"/>
    </row>
    <row r="862">
      <c r="A862" s="89"/>
      <c r="B862" s="89"/>
      <c r="C862" s="90"/>
      <c r="D862" s="91"/>
      <c r="E862" s="91"/>
      <c r="F862" s="91"/>
      <c r="G862" s="91"/>
      <c r="H862" s="85"/>
      <c r="I862" s="85"/>
      <c r="J862" s="85"/>
      <c r="K862" s="85"/>
      <c r="L862" s="85"/>
      <c r="M862" s="85"/>
      <c r="N862" s="85"/>
      <c r="O862" s="85"/>
      <c r="P862" s="85"/>
    </row>
    <row r="863">
      <c r="A863" s="89"/>
      <c r="B863" s="89"/>
      <c r="C863" s="90"/>
      <c r="D863" s="91"/>
      <c r="E863" s="91"/>
      <c r="F863" s="91"/>
      <c r="G863" s="91"/>
      <c r="H863" s="85"/>
      <c r="I863" s="85"/>
      <c r="J863" s="85"/>
      <c r="K863" s="85"/>
      <c r="L863" s="85"/>
      <c r="M863" s="85"/>
      <c r="N863" s="85"/>
      <c r="O863" s="85"/>
      <c r="P863" s="85"/>
    </row>
    <row r="864">
      <c r="A864" s="89"/>
      <c r="B864" s="89"/>
      <c r="C864" s="90"/>
      <c r="D864" s="91"/>
      <c r="E864" s="91"/>
      <c r="F864" s="91"/>
      <c r="G864" s="91"/>
      <c r="H864" s="85"/>
      <c r="I864" s="85"/>
      <c r="J864" s="85"/>
      <c r="K864" s="85"/>
      <c r="L864" s="85"/>
      <c r="M864" s="85"/>
      <c r="N864" s="85"/>
      <c r="O864" s="85"/>
      <c r="P864" s="85"/>
    </row>
    <row r="865">
      <c r="A865" s="89"/>
      <c r="B865" s="89"/>
      <c r="C865" s="90"/>
      <c r="D865" s="91"/>
      <c r="E865" s="91"/>
      <c r="F865" s="91"/>
      <c r="G865" s="91"/>
      <c r="H865" s="85"/>
      <c r="I865" s="85"/>
      <c r="J865" s="85"/>
      <c r="K865" s="85"/>
      <c r="L865" s="85"/>
      <c r="M865" s="85"/>
      <c r="N865" s="85"/>
      <c r="O865" s="85"/>
      <c r="P865" s="85"/>
    </row>
    <row r="866">
      <c r="A866" s="89"/>
      <c r="B866" s="89"/>
      <c r="C866" s="90"/>
      <c r="D866" s="91"/>
      <c r="E866" s="91"/>
      <c r="F866" s="91"/>
      <c r="G866" s="91"/>
      <c r="H866" s="85"/>
      <c r="I866" s="85"/>
      <c r="J866" s="85"/>
      <c r="K866" s="85"/>
      <c r="L866" s="85"/>
      <c r="M866" s="85"/>
      <c r="N866" s="85"/>
      <c r="O866" s="85"/>
      <c r="P866" s="85"/>
    </row>
    <row r="867">
      <c r="A867" s="89"/>
      <c r="B867" s="89"/>
      <c r="C867" s="90"/>
      <c r="D867" s="91"/>
      <c r="E867" s="91"/>
      <c r="F867" s="91"/>
      <c r="G867" s="91"/>
      <c r="H867" s="85"/>
      <c r="I867" s="85"/>
      <c r="J867" s="85"/>
      <c r="K867" s="85"/>
      <c r="L867" s="85"/>
      <c r="M867" s="85"/>
      <c r="N867" s="85"/>
      <c r="O867" s="85"/>
      <c r="P867" s="85"/>
    </row>
    <row r="868">
      <c r="A868" s="89"/>
      <c r="B868" s="89"/>
      <c r="C868" s="90"/>
      <c r="D868" s="91"/>
      <c r="E868" s="91"/>
      <c r="F868" s="91"/>
      <c r="G868" s="91"/>
      <c r="H868" s="85"/>
      <c r="I868" s="85"/>
      <c r="J868" s="85"/>
      <c r="K868" s="85"/>
      <c r="L868" s="85"/>
      <c r="M868" s="85"/>
      <c r="N868" s="85"/>
      <c r="O868" s="85"/>
      <c r="P868" s="85"/>
    </row>
    <row r="869">
      <c r="A869" s="89"/>
      <c r="B869" s="89"/>
      <c r="C869" s="90"/>
      <c r="D869" s="91"/>
      <c r="E869" s="91"/>
      <c r="F869" s="91"/>
      <c r="G869" s="91"/>
      <c r="H869" s="85"/>
      <c r="I869" s="85"/>
      <c r="J869" s="85"/>
      <c r="K869" s="85"/>
      <c r="L869" s="85"/>
      <c r="M869" s="85"/>
      <c r="N869" s="85"/>
      <c r="O869" s="85"/>
      <c r="P869" s="85"/>
    </row>
    <row r="870">
      <c r="A870" s="89"/>
      <c r="B870" s="89"/>
      <c r="C870" s="90"/>
      <c r="D870" s="91"/>
      <c r="E870" s="91"/>
      <c r="F870" s="91"/>
      <c r="G870" s="91"/>
      <c r="H870" s="85"/>
      <c r="I870" s="85"/>
      <c r="J870" s="85"/>
      <c r="K870" s="85"/>
      <c r="L870" s="85"/>
      <c r="M870" s="85"/>
      <c r="N870" s="85"/>
      <c r="O870" s="85"/>
      <c r="P870" s="85"/>
    </row>
    <row r="871">
      <c r="A871" s="89"/>
      <c r="B871" s="89"/>
      <c r="C871" s="90"/>
      <c r="D871" s="91"/>
      <c r="E871" s="91"/>
      <c r="F871" s="91"/>
      <c r="G871" s="91"/>
      <c r="H871" s="85"/>
      <c r="I871" s="85"/>
      <c r="J871" s="85"/>
      <c r="K871" s="85"/>
      <c r="L871" s="85"/>
      <c r="M871" s="85"/>
      <c r="N871" s="85"/>
      <c r="O871" s="85"/>
      <c r="P871" s="85"/>
    </row>
    <row r="872">
      <c r="A872" s="89"/>
      <c r="B872" s="89"/>
      <c r="C872" s="90"/>
      <c r="D872" s="91"/>
      <c r="E872" s="91"/>
      <c r="F872" s="91"/>
      <c r="G872" s="91"/>
      <c r="H872" s="85"/>
      <c r="I872" s="85"/>
      <c r="J872" s="85"/>
      <c r="K872" s="85"/>
      <c r="L872" s="85"/>
      <c r="M872" s="85"/>
      <c r="N872" s="85"/>
      <c r="O872" s="85"/>
      <c r="P872" s="85"/>
    </row>
    <row r="873">
      <c r="A873" s="89"/>
      <c r="B873" s="89"/>
      <c r="C873" s="90"/>
      <c r="D873" s="91"/>
      <c r="E873" s="91"/>
      <c r="F873" s="91"/>
      <c r="G873" s="91"/>
      <c r="H873" s="85"/>
      <c r="I873" s="85"/>
      <c r="J873" s="85"/>
      <c r="K873" s="85"/>
      <c r="L873" s="85"/>
      <c r="M873" s="85"/>
      <c r="N873" s="85"/>
      <c r="O873" s="85"/>
      <c r="P873" s="85"/>
    </row>
    <row r="874">
      <c r="A874" s="89"/>
      <c r="B874" s="89"/>
      <c r="C874" s="90"/>
      <c r="D874" s="91"/>
      <c r="E874" s="91"/>
      <c r="F874" s="91"/>
      <c r="G874" s="91"/>
      <c r="H874" s="85"/>
      <c r="I874" s="85"/>
      <c r="J874" s="85"/>
      <c r="K874" s="85"/>
      <c r="L874" s="85"/>
      <c r="M874" s="85"/>
      <c r="N874" s="85"/>
      <c r="O874" s="85"/>
      <c r="P874" s="85"/>
    </row>
    <row r="875">
      <c r="A875" s="89"/>
      <c r="B875" s="89"/>
      <c r="C875" s="90"/>
      <c r="D875" s="91"/>
      <c r="E875" s="91"/>
      <c r="F875" s="91"/>
      <c r="G875" s="91"/>
      <c r="H875" s="85"/>
      <c r="I875" s="85"/>
      <c r="J875" s="85"/>
      <c r="K875" s="85"/>
      <c r="L875" s="85"/>
      <c r="M875" s="85"/>
      <c r="N875" s="85"/>
      <c r="O875" s="85"/>
      <c r="P875" s="85"/>
    </row>
    <row r="876">
      <c r="A876" s="89"/>
      <c r="B876" s="89"/>
      <c r="C876" s="90"/>
      <c r="D876" s="91"/>
      <c r="E876" s="91"/>
      <c r="F876" s="91"/>
      <c r="G876" s="91"/>
      <c r="H876" s="85"/>
      <c r="I876" s="85"/>
      <c r="J876" s="85"/>
      <c r="K876" s="85"/>
      <c r="L876" s="85"/>
      <c r="M876" s="85"/>
      <c r="N876" s="85"/>
      <c r="O876" s="85"/>
      <c r="P876" s="85"/>
    </row>
    <row r="877">
      <c r="A877" s="89"/>
      <c r="B877" s="89"/>
      <c r="C877" s="90"/>
      <c r="D877" s="91"/>
      <c r="E877" s="91"/>
      <c r="F877" s="91"/>
      <c r="G877" s="91"/>
      <c r="H877" s="85"/>
      <c r="I877" s="85"/>
      <c r="J877" s="85"/>
      <c r="K877" s="85"/>
      <c r="L877" s="85"/>
      <c r="M877" s="85"/>
      <c r="N877" s="85"/>
      <c r="O877" s="85"/>
      <c r="P877" s="85"/>
    </row>
    <row r="878">
      <c r="A878" s="89"/>
      <c r="B878" s="89"/>
      <c r="C878" s="90"/>
      <c r="D878" s="91"/>
      <c r="E878" s="91"/>
      <c r="F878" s="91"/>
      <c r="G878" s="91"/>
      <c r="H878" s="85"/>
      <c r="I878" s="85"/>
      <c r="J878" s="85"/>
      <c r="K878" s="85"/>
      <c r="L878" s="85"/>
      <c r="M878" s="85"/>
      <c r="N878" s="85"/>
      <c r="O878" s="85"/>
      <c r="P878" s="85"/>
    </row>
    <row r="879">
      <c r="A879" s="89"/>
      <c r="B879" s="89"/>
      <c r="C879" s="90"/>
      <c r="D879" s="91"/>
      <c r="E879" s="91"/>
      <c r="F879" s="91"/>
      <c r="G879" s="91"/>
      <c r="H879" s="85"/>
      <c r="I879" s="85"/>
      <c r="J879" s="85"/>
      <c r="K879" s="85"/>
      <c r="L879" s="85"/>
      <c r="M879" s="85"/>
      <c r="N879" s="85"/>
      <c r="O879" s="85"/>
      <c r="P879" s="85"/>
    </row>
    <row r="880">
      <c r="A880" s="89"/>
      <c r="B880" s="89"/>
      <c r="C880" s="90"/>
      <c r="D880" s="91"/>
      <c r="E880" s="91"/>
      <c r="F880" s="91"/>
      <c r="G880" s="91"/>
      <c r="H880" s="85"/>
      <c r="I880" s="85"/>
      <c r="J880" s="85"/>
      <c r="K880" s="85"/>
      <c r="L880" s="85"/>
      <c r="M880" s="85"/>
      <c r="N880" s="85"/>
      <c r="O880" s="85"/>
      <c r="P880" s="85"/>
    </row>
    <row r="881">
      <c r="A881" s="89"/>
      <c r="B881" s="89"/>
      <c r="C881" s="90"/>
      <c r="D881" s="91"/>
      <c r="E881" s="91"/>
      <c r="F881" s="91"/>
      <c r="G881" s="91"/>
      <c r="H881" s="85"/>
      <c r="I881" s="85"/>
      <c r="J881" s="85"/>
      <c r="K881" s="85"/>
      <c r="L881" s="85"/>
      <c r="M881" s="85"/>
      <c r="N881" s="85"/>
      <c r="O881" s="85"/>
      <c r="P881" s="85"/>
    </row>
    <row r="882">
      <c r="A882" s="89"/>
      <c r="B882" s="89"/>
      <c r="C882" s="90"/>
      <c r="D882" s="91"/>
      <c r="E882" s="91"/>
      <c r="F882" s="91"/>
      <c r="G882" s="91"/>
      <c r="H882" s="85"/>
      <c r="I882" s="85"/>
      <c r="J882" s="85"/>
      <c r="K882" s="85"/>
      <c r="L882" s="85"/>
      <c r="M882" s="85"/>
      <c r="N882" s="85"/>
      <c r="O882" s="85"/>
      <c r="P882" s="85"/>
    </row>
    <row r="883">
      <c r="A883" s="89"/>
      <c r="B883" s="89"/>
      <c r="C883" s="90"/>
      <c r="D883" s="91"/>
      <c r="E883" s="91"/>
      <c r="F883" s="91"/>
      <c r="G883" s="91"/>
      <c r="H883" s="85"/>
      <c r="I883" s="85"/>
      <c r="J883" s="85"/>
      <c r="K883" s="85"/>
      <c r="L883" s="85"/>
      <c r="M883" s="85"/>
      <c r="N883" s="85"/>
      <c r="O883" s="85"/>
      <c r="P883" s="85"/>
    </row>
    <row r="884">
      <c r="A884" s="89"/>
      <c r="B884" s="89"/>
      <c r="C884" s="90"/>
      <c r="D884" s="91"/>
      <c r="E884" s="91"/>
      <c r="F884" s="91"/>
      <c r="G884" s="91"/>
      <c r="H884" s="85"/>
      <c r="I884" s="85"/>
      <c r="J884" s="85"/>
      <c r="K884" s="85"/>
      <c r="L884" s="85"/>
      <c r="M884" s="85"/>
      <c r="N884" s="85"/>
      <c r="O884" s="85"/>
      <c r="P884" s="85"/>
    </row>
    <row r="885">
      <c r="A885" s="89"/>
      <c r="B885" s="89"/>
      <c r="C885" s="90"/>
      <c r="D885" s="91"/>
      <c r="E885" s="91"/>
      <c r="F885" s="91"/>
      <c r="G885" s="91"/>
      <c r="H885" s="85"/>
      <c r="I885" s="85"/>
      <c r="J885" s="85"/>
      <c r="K885" s="85"/>
      <c r="L885" s="85"/>
      <c r="M885" s="85"/>
      <c r="N885" s="85"/>
      <c r="O885" s="85"/>
      <c r="P885" s="85"/>
    </row>
    <row r="886">
      <c r="A886" s="89"/>
      <c r="B886" s="89"/>
      <c r="C886" s="90"/>
      <c r="D886" s="91"/>
      <c r="E886" s="91"/>
      <c r="F886" s="91"/>
      <c r="G886" s="91"/>
      <c r="H886" s="85"/>
      <c r="I886" s="85"/>
      <c r="J886" s="85"/>
      <c r="K886" s="85"/>
      <c r="L886" s="85"/>
      <c r="M886" s="85"/>
      <c r="N886" s="85"/>
      <c r="O886" s="85"/>
      <c r="P886" s="85"/>
    </row>
    <row r="887">
      <c r="A887" s="89"/>
      <c r="B887" s="89"/>
      <c r="C887" s="90"/>
      <c r="D887" s="91"/>
      <c r="E887" s="91"/>
      <c r="F887" s="91"/>
      <c r="G887" s="91"/>
      <c r="H887" s="85"/>
      <c r="I887" s="85"/>
      <c r="J887" s="85"/>
      <c r="K887" s="85"/>
      <c r="L887" s="85"/>
      <c r="M887" s="85"/>
      <c r="N887" s="85"/>
      <c r="O887" s="85"/>
      <c r="P887" s="85"/>
    </row>
    <row r="888">
      <c r="A888" s="89"/>
      <c r="B888" s="89"/>
      <c r="C888" s="90"/>
      <c r="D888" s="91"/>
      <c r="E888" s="91"/>
      <c r="F888" s="91"/>
      <c r="G888" s="91"/>
      <c r="H888" s="85"/>
      <c r="I888" s="85"/>
      <c r="J888" s="85"/>
      <c r="K888" s="85"/>
      <c r="L888" s="85"/>
      <c r="M888" s="85"/>
      <c r="N888" s="85"/>
      <c r="O888" s="85"/>
      <c r="P888" s="85"/>
    </row>
    <row r="889">
      <c r="A889" s="89"/>
      <c r="B889" s="89"/>
      <c r="C889" s="90"/>
      <c r="D889" s="91"/>
      <c r="E889" s="91"/>
      <c r="F889" s="91"/>
      <c r="G889" s="91"/>
      <c r="H889" s="85"/>
      <c r="I889" s="85"/>
      <c r="J889" s="85"/>
      <c r="K889" s="85"/>
      <c r="L889" s="85"/>
      <c r="M889" s="85"/>
      <c r="N889" s="85"/>
      <c r="O889" s="85"/>
      <c r="P889" s="85"/>
    </row>
    <row r="890">
      <c r="A890" s="89"/>
      <c r="B890" s="89"/>
      <c r="C890" s="90"/>
      <c r="D890" s="91"/>
      <c r="E890" s="91"/>
      <c r="F890" s="91"/>
      <c r="G890" s="91"/>
      <c r="H890" s="85"/>
      <c r="I890" s="85"/>
      <c r="J890" s="85"/>
      <c r="K890" s="85"/>
      <c r="L890" s="85"/>
      <c r="M890" s="85"/>
      <c r="N890" s="85"/>
      <c r="O890" s="85"/>
      <c r="P890" s="85"/>
    </row>
    <row r="891">
      <c r="A891" s="89"/>
      <c r="B891" s="89"/>
      <c r="C891" s="90"/>
      <c r="D891" s="91"/>
      <c r="E891" s="91"/>
      <c r="F891" s="91"/>
      <c r="G891" s="91"/>
      <c r="H891" s="85"/>
      <c r="I891" s="85"/>
      <c r="J891" s="85"/>
      <c r="K891" s="85"/>
      <c r="L891" s="85"/>
      <c r="M891" s="85"/>
      <c r="N891" s="85"/>
      <c r="O891" s="85"/>
      <c r="P891" s="85"/>
    </row>
    <row r="892">
      <c r="A892" s="89"/>
      <c r="B892" s="89"/>
      <c r="C892" s="90"/>
      <c r="D892" s="91"/>
      <c r="E892" s="91"/>
      <c r="F892" s="91"/>
      <c r="G892" s="91"/>
      <c r="H892" s="85"/>
      <c r="I892" s="85"/>
      <c r="J892" s="85"/>
      <c r="K892" s="85"/>
      <c r="L892" s="85"/>
      <c r="M892" s="85"/>
      <c r="N892" s="85"/>
      <c r="O892" s="85"/>
      <c r="P892" s="85"/>
    </row>
    <row r="893">
      <c r="A893" s="89"/>
      <c r="B893" s="89"/>
      <c r="C893" s="90"/>
      <c r="D893" s="91"/>
      <c r="E893" s="91"/>
      <c r="F893" s="91"/>
      <c r="G893" s="91"/>
      <c r="H893" s="85"/>
      <c r="I893" s="85"/>
      <c r="J893" s="85"/>
      <c r="K893" s="85"/>
      <c r="L893" s="85"/>
      <c r="M893" s="85"/>
      <c r="N893" s="85"/>
      <c r="O893" s="85"/>
      <c r="P893" s="85"/>
    </row>
    <row r="894">
      <c r="A894" s="89"/>
      <c r="B894" s="89"/>
      <c r="C894" s="90"/>
      <c r="D894" s="91"/>
      <c r="E894" s="91"/>
      <c r="F894" s="91"/>
      <c r="G894" s="91"/>
      <c r="H894" s="85"/>
      <c r="I894" s="85"/>
      <c r="J894" s="85"/>
      <c r="K894" s="85"/>
      <c r="L894" s="85"/>
      <c r="M894" s="85"/>
      <c r="N894" s="85"/>
      <c r="O894" s="85"/>
      <c r="P894" s="85"/>
    </row>
    <row r="895">
      <c r="A895" s="89"/>
      <c r="B895" s="89"/>
      <c r="C895" s="90"/>
      <c r="D895" s="91"/>
      <c r="E895" s="91"/>
      <c r="F895" s="91"/>
      <c r="G895" s="91"/>
      <c r="H895" s="85"/>
      <c r="I895" s="85"/>
      <c r="J895" s="85"/>
      <c r="K895" s="85"/>
      <c r="L895" s="85"/>
      <c r="M895" s="85"/>
      <c r="N895" s="85"/>
      <c r="O895" s="85"/>
      <c r="P895" s="85"/>
    </row>
    <row r="896">
      <c r="A896" s="89"/>
      <c r="B896" s="89"/>
      <c r="C896" s="90"/>
      <c r="D896" s="91"/>
      <c r="E896" s="91"/>
      <c r="F896" s="91"/>
      <c r="G896" s="91"/>
      <c r="H896" s="85"/>
      <c r="I896" s="85"/>
      <c r="J896" s="85"/>
      <c r="K896" s="85"/>
      <c r="L896" s="85"/>
      <c r="M896" s="85"/>
      <c r="N896" s="85"/>
      <c r="O896" s="85"/>
      <c r="P896" s="85"/>
    </row>
    <row r="897">
      <c r="A897" s="89"/>
      <c r="B897" s="89"/>
      <c r="C897" s="90"/>
      <c r="D897" s="91"/>
      <c r="E897" s="91"/>
      <c r="F897" s="91"/>
      <c r="G897" s="91"/>
      <c r="H897" s="85"/>
      <c r="I897" s="85"/>
      <c r="J897" s="85"/>
      <c r="K897" s="85"/>
      <c r="L897" s="85"/>
      <c r="M897" s="85"/>
      <c r="N897" s="85"/>
      <c r="O897" s="85"/>
      <c r="P897" s="85"/>
    </row>
    <row r="898">
      <c r="A898" s="89"/>
      <c r="B898" s="89"/>
      <c r="C898" s="90"/>
      <c r="D898" s="91"/>
      <c r="E898" s="91"/>
      <c r="F898" s="91"/>
      <c r="G898" s="91"/>
      <c r="H898" s="85"/>
      <c r="I898" s="85"/>
      <c r="J898" s="85"/>
      <c r="K898" s="85"/>
      <c r="L898" s="85"/>
      <c r="M898" s="85"/>
      <c r="N898" s="85"/>
      <c r="O898" s="85"/>
      <c r="P898" s="85"/>
    </row>
    <row r="899">
      <c r="A899" s="89"/>
      <c r="B899" s="89"/>
      <c r="C899" s="90"/>
      <c r="D899" s="91"/>
      <c r="E899" s="91"/>
      <c r="F899" s="91"/>
      <c r="G899" s="91"/>
      <c r="H899" s="85"/>
      <c r="I899" s="85"/>
      <c r="J899" s="85"/>
      <c r="K899" s="85"/>
      <c r="L899" s="85"/>
      <c r="M899" s="85"/>
      <c r="N899" s="85"/>
      <c r="O899" s="85"/>
      <c r="P899" s="85"/>
    </row>
    <row r="900">
      <c r="A900" s="89"/>
      <c r="B900" s="89"/>
      <c r="C900" s="90"/>
      <c r="D900" s="91"/>
      <c r="E900" s="91"/>
      <c r="F900" s="91"/>
      <c r="G900" s="91"/>
      <c r="H900" s="85"/>
      <c r="I900" s="85"/>
      <c r="J900" s="85"/>
      <c r="K900" s="85"/>
      <c r="L900" s="85"/>
      <c r="M900" s="85"/>
      <c r="N900" s="85"/>
      <c r="O900" s="85"/>
      <c r="P900" s="85"/>
    </row>
    <row r="901">
      <c r="A901" s="89"/>
      <c r="B901" s="89"/>
      <c r="C901" s="90"/>
      <c r="D901" s="91"/>
      <c r="E901" s="91"/>
      <c r="F901" s="91"/>
      <c r="G901" s="91"/>
      <c r="H901" s="85"/>
      <c r="I901" s="85"/>
      <c r="J901" s="85"/>
      <c r="K901" s="85"/>
      <c r="L901" s="85"/>
      <c r="M901" s="85"/>
      <c r="N901" s="85"/>
      <c r="O901" s="85"/>
      <c r="P901" s="85"/>
    </row>
    <row r="902">
      <c r="A902" s="89"/>
      <c r="B902" s="89"/>
      <c r="C902" s="90"/>
      <c r="D902" s="91"/>
      <c r="E902" s="91"/>
      <c r="F902" s="91"/>
      <c r="G902" s="91"/>
      <c r="H902" s="85"/>
      <c r="I902" s="85"/>
      <c r="J902" s="85"/>
      <c r="K902" s="85"/>
      <c r="L902" s="85"/>
      <c r="M902" s="85"/>
      <c r="N902" s="85"/>
      <c r="O902" s="85"/>
      <c r="P902" s="85"/>
    </row>
    <row r="903">
      <c r="A903" s="89"/>
      <c r="B903" s="89"/>
      <c r="C903" s="90"/>
      <c r="D903" s="91"/>
      <c r="E903" s="91"/>
      <c r="F903" s="91"/>
      <c r="G903" s="91"/>
      <c r="H903" s="85"/>
      <c r="I903" s="85"/>
      <c r="J903" s="85"/>
      <c r="K903" s="85"/>
      <c r="L903" s="85"/>
      <c r="M903" s="85"/>
      <c r="N903" s="85"/>
      <c r="O903" s="85"/>
      <c r="P903" s="85"/>
    </row>
    <row r="904">
      <c r="A904" s="89"/>
      <c r="B904" s="89"/>
      <c r="C904" s="90"/>
      <c r="D904" s="91"/>
      <c r="E904" s="91"/>
      <c r="F904" s="91"/>
      <c r="G904" s="91"/>
      <c r="H904" s="85"/>
      <c r="I904" s="85"/>
      <c r="J904" s="85"/>
      <c r="K904" s="85"/>
      <c r="L904" s="85"/>
      <c r="M904" s="85"/>
      <c r="N904" s="85"/>
      <c r="O904" s="85"/>
      <c r="P904" s="85"/>
    </row>
    <row r="905">
      <c r="A905" s="89"/>
      <c r="B905" s="89"/>
      <c r="C905" s="90"/>
      <c r="D905" s="91"/>
      <c r="E905" s="91"/>
      <c r="F905" s="91"/>
      <c r="G905" s="91"/>
      <c r="H905" s="85"/>
      <c r="I905" s="85"/>
      <c r="J905" s="85"/>
      <c r="K905" s="85"/>
      <c r="L905" s="85"/>
      <c r="M905" s="85"/>
      <c r="N905" s="85"/>
      <c r="O905" s="85"/>
      <c r="P905" s="85"/>
    </row>
    <row r="906">
      <c r="A906" s="89"/>
      <c r="B906" s="89"/>
      <c r="C906" s="90"/>
      <c r="D906" s="91"/>
      <c r="E906" s="91"/>
      <c r="F906" s="91"/>
      <c r="G906" s="91"/>
      <c r="H906" s="85"/>
      <c r="I906" s="85"/>
      <c r="J906" s="85"/>
      <c r="K906" s="85"/>
      <c r="L906" s="85"/>
      <c r="M906" s="85"/>
      <c r="N906" s="85"/>
      <c r="O906" s="85"/>
      <c r="P906" s="85"/>
    </row>
    <row r="907">
      <c r="A907" s="89"/>
      <c r="B907" s="89"/>
      <c r="C907" s="90"/>
      <c r="D907" s="91"/>
      <c r="E907" s="91"/>
      <c r="F907" s="91"/>
      <c r="G907" s="91"/>
      <c r="H907" s="85"/>
      <c r="I907" s="85"/>
      <c r="J907" s="85"/>
      <c r="K907" s="85"/>
      <c r="L907" s="85"/>
      <c r="M907" s="85"/>
      <c r="N907" s="85"/>
      <c r="O907" s="85"/>
      <c r="P907" s="85"/>
    </row>
    <row r="908">
      <c r="A908" s="89"/>
      <c r="B908" s="89"/>
      <c r="C908" s="90"/>
      <c r="D908" s="91"/>
      <c r="E908" s="91"/>
      <c r="F908" s="91"/>
      <c r="G908" s="91"/>
      <c r="H908" s="85"/>
      <c r="I908" s="85"/>
      <c r="J908" s="85"/>
      <c r="K908" s="85"/>
      <c r="L908" s="85"/>
      <c r="M908" s="85"/>
      <c r="N908" s="85"/>
      <c r="O908" s="85"/>
      <c r="P908" s="85"/>
    </row>
    <row r="909">
      <c r="A909" s="89"/>
      <c r="B909" s="89"/>
      <c r="C909" s="90"/>
      <c r="D909" s="91"/>
      <c r="E909" s="91"/>
      <c r="F909" s="91"/>
      <c r="G909" s="91"/>
      <c r="H909" s="85"/>
      <c r="I909" s="85"/>
      <c r="J909" s="85"/>
      <c r="K909" s="85"/>
      <c r="L909" s="85"/>
      <c r="M909" s="85"/>
      <c r="N909" s="85"/>
      <c r="O909" s="85"/>
      <c r="P909" s="85"/>
    </row>
    <row r="910">
      <c r="A910" s="89"/>
      <c r="B910" s="89"/>
      <c r="C910" s="90"/>
      <c r="D910" s="91"/>
      <c r="E910" s="91"/>
      <c r="F910" s="91"/>
      <c r="G910" s="91"/>
      <c r="H910" s="85"/>
      <c r="I910" s="85"/>
      <c r="J910" s="85"/>
      <c r="K910" s="85"/>
      <c r="L910" s="85"/>
      <c r="M910" s="85"/>
      <c r="N910" s="85"/>
      <c r="O910" s="85"/>
      <c r="P910" s="85"/>
    </row>
    <row r="911">
      <c r="A911" s="89"/>
      <c r="B911" s="89"/>
      <c r="C911" s="90"/>
      <c r="D911" s="91"/>
      <c r="E911" s="91"/>
      <c r="F911" s="91"/>
      <c r="G911" s="91"/>
      <c r="H911" s="85"/>
      <c r="I911" s="85"/>
      <c r="J911" s="85"/>
      <c r="K911" s="85"/>
      <c r="L911" s="85"/>
      <c r="M911" s="85"/>
      <c r="N911" s="85"/>
      <c r="O911" s="85"/>
      <c r="P911" s="85"/>
    </row>
    <row r="912">
      <c r="A912" s="89"/>
      <c r="B912" s="89"/>
      <c r="C912" s="90"/>
      <c r="D912" s="91"/>
      <c r="E912" s="91"/>
      <c r="F912" s="91"/>
      <c r="G912" s="91"/>
      <c r="H912" s="85"/>
      <c r="I912" s="85"/>
      <c r="J912" s="85"/>
      <c r="K912" s="85"/>
      <c r="L912" s="85"/>
      <c r="M912" s="85"/>
      <c r="N912" s="85"/>
      <c r="O912" s="85"/>
      <c r="P912" s="85"/>
    </row>
    <row r="913">
      <c r="A913" s="89"/>
      <c r="B913" s="89"/>
      <c r="C913" s="90"/>
      <c r="D913" s="91"/>
      <c r="E913" s="91"/>
      <c r="F913" s="91"/>
      <c r="G913" s="91"/>
      <c r="H913" s="85"/>
      <c r="I913" s="85"/>
      <c r="J913" s="85"/>
      <c r="K913" s="85"/>
      <c r="L913" s="85"/>
      <c r="M913" s="85"/>
      <c r="N913" s="85"/>
      <c r="O913" s="85"/>
      <c r="P913" s="85"/>
    </row>
    <row r="914">
      <c r="A914" s="89"/>
      <c r="B914" s="89"/>
      <c r="C914" s="90"/>
      <c r="D914" s="91"/>
      <c r="E914" s="91"/>
      <c r="F914" s="91"/>
      <c r="G914" s="91"/>
      <c r="H914" s="85"/>
      <c r="I914" s="85"/>
      <c r="J914" s="85"/>
      <c r="K914" s="85"/>
      <c r="L914" s="85"/>
      <c r="M914" s="85"/>
      <c r="N914" s="85"/>
      <c r="O914" s="85"/>
      <c r="P914" s="85"/>
    </row>
    <row r="915">
      <c r="A915" s="89"/>
      <c r="B915" s="89"/>
      <c r="C915" s="90"/>
      <c r="D915" s="91"/>
      <c r="E915" s="91"/>
      <c r="F915" s="91"/>
      <c r="G915" s="91"/>
      <c r="H915" s="85"/>
      <c r="I915" s="85"/>
      <c r="J915" s="85"/>
      <c r="K915" s="85"/>
      <c r="L915" s="85"/>
      <c r="M915" s="85"/>
      <c r="N915" s="85"/>
      <c r="O915" s="85"/>
      <c r="P915" s="85"/>
    </row>
    <row r="916">
      <c r="A916" s="89"/>
      <c r="B916" s="89"/>
      <c r="C916" s="90"/>
      <c r="D916" s="91"/>
      <c r="E916" s="91"/>
      <c r="F916" s="91"/>
      <c r="G916" s="91"/>
      <c r="H916" s="85"/>
      <c r="I916" s="85"/>
      <c r="J916" s="85"/>
      <c r="K916" s="85"/>
      <c r="L916" s="85"/>
      <c r="M916" s="85"/>
      <c r="N916" s="85"/>
      <c r="O916" s="85"/>
      <c r="P916" s="85"/>
    </row>
    <row r="917">
      <c r="A917" s="89"/>
      <c r="B917" s="89"/>
      <c r="C917" s="90"/>
      <c r="D917" s="91"/>
      <c r="E917" s="91"/>
      <c r="F917" s="91"/>
      <c r="G917" s="91"/>
      <c r="H917" s="85"/>
      <c r="I917" s="85"/>
      <c r="J917" s="85"/>
      <c r="K917" s="85"/>
      <c r="L917" s="85"/>
      <c r="M917" s="85"/>
      <c r="N917" s="85"/>
      <c r="O917" s="85"/>
      <c r="P917" s="85"/>
    </row>
    <row r="918">
      <c r="A918" s="89"/>
      <c r="B918" s="89"/>
      <c r="C918" s="90"/>
      <c r="D918" s="91"/>
      <c r="E918" s="91"/>
      <c r="F918" s="91"/>
      <c r="G918" s="91"/>
      <c r="H918" s="85"/>
      <c r="I918" s="85"/>
      <c r="J918" s="85"/>
      <c r="K918" s="85"/>
      <c r="L918" s="85"/>
      <c r="M918" s="85"/>
      <c r="N918" s="85"/>
      <c r="O918" s="85"/>
      <c r="P918" s="85"/>
    </row>
    <row r="919">
      <c r="A919" s="89"/>
      <c r="B919" s="89"/>
      <c r="C919" s="90"/>
      <c r="D919" s="91"/>
      <c r="E919" s="91"/>
      <c r="F919" s="91"/>
      <c r="G919" s="91"/>
      <c r="H919" s="85"/>
      <c r="I919" s="85"/>
      <c r="J919" s="85"/>
      <c r="K919" s="85"/>
      <c r="L919" s="85"/>
      <c r="M919" s="85"/>
      <c r="N919" s="85"/>
      <c r="O919" s="85"/>
      <c r="P919" s="85"/>
    </row>
    <row r="920">
      <c r="A920" s="89"/>
      <c r="B920" s="89"/>
      <c r="C920" s="90"/>
      <c r="D920" s="91"/>
      <c r="E920" s="91"/>
      <c r="F920" s="91"/>
      <c r="G920" s="91"/>
      <c r="H920" s="85"/>
      <c r="I920" s="85"/>
      <c r="J920" s="85"/>
      <c r="K920" s="85"/>
      <c r="L920" s="85"/>
      <c r="M920" s="85"/>
      <c r="N920" s="85"/>
      <c r="O920" s="85"/>
      <c r="P920" s="85"/>
    </row>
    <row r="921">
      <c r="A921" s="89"/>
      <c r="B921" s="89"/>
      <c r="C921" s="90"/>
      <c r="D921" s="91"/>
      <c r="E921" s="91"/>
      <c r="F921" s="91"/>
      <c r="G921" s="91"/>
      <c r="H921" s="85"/>
      <c r="I921" s="85"/>
      <c r="J921" s="85"/>
      <c r="K921" s="85"/>
      <c r="L921" s="85"/>
      <c r="M921" s="85"/>
      <c r="N921" s="85"/>
      <c r="O921" s="85"/>
      <c r="P921" s="85"/>
    </row>
    <row r="922">
      <c r="A922" s="89"/>
      <c r="B922" s="89"/>
      <c r="C922" s="90"/>
      <c r="D922" s="91"/>
      <c r="E922" s="91"/>
      <c r="F922" s="91"/>
      <c r="G922" s="91"/>
      <c r="H922" s="85"/>
      <c r="I922" s="85"/>
      <c r="J922" s="85"/>
      <c r="K922" s="85"/>
      <c r="L922" s="85"/>
      <c r="M922" s="85"/>
      <c r="N922" s="85"/>
      <c r="O922" s="85"/>
      <c r="P922" s="85"/>
    </row>
    <row r="923">
      <c r="A923" s="89"/>
      <c r="B923" s="89"/>
      <c r="C923" s="90"/>
      <c r="D923" s="91"/>
      <c r="E923" s="91"/>
      <c r="F923" s="91"/>
      <c r="G923" s="91"/>
      <c r="H923" s="85"/>
      <c r="I923" s="85"/>
      <c r="J923" s="85"/>
      <c r="K923" s="85"/>
      <c r="L923" s="85"/>
      <c r="M923" s="85"/>
      <c r="N923" s="85"/>
      <c r="O923" s="85"/>
      <c r="P923" s="85"/>
    </row>
    <row r="924">
      <c r="A924" s="89"/>
      <c r="B924" s="89"/>
      <c r="C924" s="90"/>
      <c r="D924" s="91"/>
      <c r="E924" s="91"/>
      <c r="F924" s="91"/>
      <c r="G924" s="91"/>
      <c r="H924" s="85"/>
      <c r="I924" s="85"/>
      <c r="J924" s="85"/>
      <c r="K924" s="85"/>
      <c r="L924" s="85"/>
      <c r="M924" s="85"/>
      <c r="N924" s="85"/>
      <c r="O924" s="85"/>
      <c r="P924" s="85"/>
    </row>
    <row r="925">
      <c r="A925" s="89"/>
      <c r="B925" s="89"/>
      <c r="C925" s="90"/>
      <c r="D925" s="91"/>
      <c r="E925" s="91"/>
      <c r="F925" s="91"/>
      <c r="G925" s="91"/>
      <c r="H925" s="85"/>
      <c r="I925" s="85"/>
      <c r="J925" s="85"/>
      <c r="K925" s="85"/>
      <c r="L925" s="85"/>
      <c r="M925" s="85"/>
      <c r="N925" s="85"/>
      <c r="O925" s="85"/>
      <c r="P925" s="85"/>
    </row>
    <row r="926">
      <c r="A926" s="89"/>
      <c r="B926" s="89"/>
      <c r="C926" s="90"/>
      <c r="D926" s="91"/>
      <c r="E926" s="91"/>
      <c r="F926" s="91"/>
      <c r="G926" s="91"/>
      <c r="H926" s="85"/>
      <c r="I926" s="85"/>
      <c r="J926" s="85"/>
      <c r="K926" s="85"/>
      <c r="L926" s="85"/>
      <c r="M926" s="85"/>
      <c r="N926" s="85"/>
      <c r="O926" s="85"/>
      <c r="P926" s="85"/>
    </row>
    <row r="927">
      <c r="A927" s="89"/>
      <c r="B927" s="89"/>
      <c r="C927" s="90"/>
      <c r="D927" s="91"/>
      <c r="E927" s="91"/>
      <c r="F927" s="91"/>
      <c r="G927" s="91"/>
      <c r="H927" s="85"/>
      <c r="I927" s="85"/>
      <c r="J927" s="85"/>
      <c r="K927" s="85"/>
      <c r="L927" s="85"/>
      <c r="M927" s="85"/>
      <c r="N927" s="85"/>
      <c r="O927" s="85"/>
      <c r="P927" s="85"/>
    </row>
    <row r="928">
      <c r="A928" s="89"/>
      <c r="B928" s="89"/>
      <c r="C928" s="90"/>
      <c r="D928" s="91"/>
      <c r="E928" s="91"/>
      <c r="F928" s="91"/>
      <c r="G928" s="91"/>
      <c r="H928" s="85"/>
      <c r="I928" s="85"/>
      <c r="J928" s="85"/>
      <c r="K928" s="85"/>
      <c r="L928" s="85"/>
      <c r="M928" s="85"/>
      <c r="N928" s="85"/>
      <c r="O928" s="85"/>
      <c r="P928" s="85"/>
    </row>
    <row r="929">
      <c r="A929" s="89"/>
      <c r="B929" s="89"/>
      <c r="C929" s="90"/>
      <c r="D929" s="91"/>
      <c r="E929" s="91"/>
      <c r="F929" s="91"/>
      <c r="G929" s="91"/>
      <c r="H929" s="85"/>
      <c r="I929" s="85"/>
      <c r="J929" s="85"/>
      <c r="K929" s="85"/>
      <c r="L929" s="85"/>
      <c r="M929" s="85"/>
      <c r="N929" s="85"/>
      <c r="O929" s="85"/>
      <c r="P929" s="85"/>
    </row>
    <row r="930">
      <c r="A930" s="89"/>
      <c r="B930" s="89"/>
      <c r="C930" s="90"/>
      <c r="D930" s="91"/>
      <c r="E930" s="91"/>
      <c r="F930" s="91"/>
      <c r="G930" s="91"/>
      <c r="H930" s="85"/>
      <c r="I930" s="85"/>
      <c r="J930" s="85"/>
      <c r="K930" s="85"/>
      <c r="L930" s="85"/>
      <c r="M930" s="85"/>
      <c r="N930" s="85"/>
      <c r="O930" s="85"/>
      <c r="P930" s="85"/>
    </row>
    <row r="931">
      <c r="A931" s="89"/>
      <c r="B931" s="89"/>
      <c r="C931" s="90"/>
      <c r="D931" s="91"/>
      <c r="E931" s="91"/>
      <c r="F931" s="91"/>
      <c r="G931" s="91"/>
      <c r="H931" s="85"/>
      <c r="I931" s="85"/>
      <c r="J931" s="85"/>
      <c r="K931" s="85"/>
      <c r="L931" s="85"/>
      <c r="M931" s="85"/>
      <c r="N931" s="85"/>
      <c r="O931" s="85"/>
      <c r="P931" s="85"/>
    </row>
    <row r="932">
      <c r="A932" s="89"/>
      <c r="B932" s="89"/>
      <c r="C932" s="90"/>
      <c r="D932" s="91"/>
      <c r="E932" s="91"/>
      <c r="F932" s="91"/>
      <c r="G932" s="91"/>
      <c r="H932" s="85"/>
      <c r="I932" s="85"/>
      <c r="J932" s="85"/>
      <c r="K932" s="85"/>
      <c r="L932" s="85"/>
      <c r="M932" s="85"/>
      <c r="N932" s="85"/>
      <c r="O932" s="85"/>
      <c r="P932" s="85"/>
    </row>
    <row r="933">
      <c r="A933" s="89"/>
      <c r="B933" s="89"/>
      <c r="C933" s="90"/>
      <c r="D933" s="91"/>
      <c r="E933" s="91"/>
      <c r="F933" s="91"/>
      <c r="G933" s="91"/>
      <c r="H933" s="85"/>
      <c r="I933" s="85"/>
      <c r="J933" s="85"/>
      <c r="K933" s="85"/>
      <c r="L933" s="85"/>
      <c r="M933" s="85"/>
      <c r="N933" s="85"/>
      <c r="O933" s="85"/>
      <c r="P933" s="85"/>
    </row>
    <row r="934">
      <c r="A934" s="89"/>
      <c r="B934" s="89"/>
      <c r="C934" s="90"/>
      <c r="D934" s="91"/>
      <c r="E934" s="91"/>
      <c r="F934" s="91"/>
      <c r="G934" s="91"/>
      <c r="H934" s="85"/>
      <c r="I934" s="85"/>
      <c r="J934" s="85"/>
      <c r="K934" s="85"/>
      <c r="L934" s="85"/>
      <c r="M934" s="85"/>
      <c r="N934" s="85"/>
      <c r="O934" s="85"/>
      <c r="P934" s="85"/>
    </row>
    <row r="935">
      <c r="A935" s="89"/>
      <c r="B935" s="89"/>
      <c r="C935" s="90"/>
      <c r="D935" s="91"/>
      <c r="E935" s="91"/>
      <c r="F935" s="91"/>
      <c r="G935" s="91"/>
      <c r="H935" s="85"/>
      <c r="I935" s="85"/>
      <c r="J935" s="85"/>
      <c r="K935" s="85"/>
      <c r="L935" s="85"/>
      <c r="M935" s="85"/>
      <c r="N935" s="85"/>
      <c r="O935" s="85"/>
      <c r="P935" s="85"/>
    </row>
    <row r="936">
      <c r="A936" s="89"/>
      <c r="B936" s="89"/>
      <c r="C936" s="90"/>
      <c r="D936" s="91"/>
      <c r="E936" s="91"/>
      <c r="F936" s="91"/>
      <c r="G936" s="91"/>
      <c r="H936" s="85"/>
      <c r="I936" s="85"/>
      <c r="J936" s="85"/>
      <c r="K936" s="85"/>
      <c r="L936" s="85"/>
      <c r="M936" s="85"/>
      <c r="N936" s="85"/>
      <c r="O936" s="85"/>
      <c r="P936" s="85"/>
    </row>
    <row r="937">
      <c r="A937" s="89"/>
      <c r="B937" s="89"/>
      <c r="C937" s="90"/>
      <c r="D937" s="91"/>
      <c r="E937" s="91"/>
      <c r="F937" s="91"/>
      <c r="G937" s="91"/>
      <c r="H937" s="85"/>
      <c r="I937" s="85"/>
      <c r="J937" s="85"/>
      <c r="K937" s="85"/>
      <c r="L937" s="85"/>
      <c r="M937" s="85"/>
      <c r="N937" s="85"/>
      <c r="O937" s="85"/>
      <c r="P937" s="85"/>
    </row>
    <row r="938">
      <c r="A938" s="89"/>
      <c r="B938" s="89"/>
      <c r="C938" s="90"/>
      <c r="D938" s="91"/>
      <c r="E938" s="91"/>
      <c r="F938" s="91"/>
      <c r="G938" s="91"/>
      <c r="H938" s="85"/>
      <c r="I938" s="85"/>
      <c r="J938" s="85"/>
      <c r="K938" s="85"/>
      <c r="L938" s="85"/>
      <c r="M938" s="85"/>
      <c r="N938" s="85"/>
      <c r="O938" s="85"/>
      <c r="P938" s="85"/>
    </row>
    <row r="939">
      <c r="A939" s="89"/>
      <c r="B939" s="89"/>
      <c r="C939" s="90"/>
      <c r="D939" s="91"/>
      <c r="E939" s="91"/>
      <c r="F939" s="91"/>
      <c r="G939" s="91"/>
      <c r="H939" s="85"/>
      <c r="I939" s="85"/>
      <c r="J939" s="85"/>
      <c r="K939" s="85"/>
      <c r="L939" s="85"/>
      <c r="M939" s="85"/>
      <c r="N939" s="85"/>
      <c r="O939" s="85"/>
      <c r="P939" s="85"/>
    </row>
    <row r="940">
      <c r="A940" s="89"/>
      <c r="B940" s="89"/>
      <c r="C940" s="90"/>
      <c r="D940" s="91"/>
      <c r="E940" s="91"/>
      <c r="F940" s="91"/>
      <c r="G940" s="91"/>
      <c r="H940" s="85"/>
      <c r="I940" s="85"/>
      <c r="J940" s="85"/>
      <c r="K940" s="85"/>
      <c r="L940" s="85"/>
      <c r="M940" s="85"/>
      <c r="N940" s="85"/>
      <c r="O940" s="85"/>
      <c r="P940" s="85"/>
    </row>
    <row r="941">
      <c r="A941" s="89"/>
      <c r="B941" s="89"/>
      <c r="C941" s="90"/>
      <c r="D941" s="91"/>
      <c r="E941" s="91"/>
      <c r="F941" s="91"/>
      <c r="G941" s="91"/>
      <c r="H941" s="85"/>
      <c r="I941" s="85"/>
      <c r="J941" s="85"/>
      <c r="K941" s="85"/>
      <c r="L941" s="85"/>
      <c r="M941" s="85"/>
      <c r="N941" s="85"/>
      <c r="O941" s="85"/>
      <c r="P941" s="85"/>
    </row>
    <row r="942">
      <c r="A942" s="89"/>
      <c r="B942" s="89"/>
      <c r="C942" s="90"/>
      <c r="D942" s="91"/>
      <c r="E942" s="91"/>
      <c r="F942" s="91"/>
      <c r="G942" s="91"/>
      <c r="H942" s="85"/>
      <c r="I942" s="85"/>
      <c r="J942" s="85"/>
      <c r="K942" s="85"/>
      <c r="L942" s="85"/>
      <c r="M942" s="85"/>
      <c r="N942" s="85"/>
      <c r="O942" s="85"/>
      <c r="P942" s="85"/>
    </row>
    <row r="943">
      <c r="A943" s="89"/>
      <c r="B943" s="89"/>
      <c r="C943" s="90"/>
      <c r="D943" s="91"/>
      <c r="E943" s="91"/>
      <c r="F943" s="91"/>
      <c r="G943" s="91"/>
      <c r="H943" s="85"/>
      <c r="I943" s="85"/>
      <c r="J943" s="85"/>
      <c r="K943" s="85"/>
      <c r="L943" s="85"/>
      <c r="M943" s="85"/>
      <c r="N943" s="85"/>
      <c r="O943" s="85"/>
      <c r="P943" s="85"/>
    </row>
    <row r="944">
      <c r="A944" s="89"/>
      <c r="B944" s="89"/>
      <c r="C944" s="90"/>
      <c r="D944" s="91"/>
      <c r="E944" s="91"/>
      <c r="F944" s="91"/>
      <c r="G944" s="91"/>
      <c r="H944" s="85"/>
      <c r="I944" s="85"/>
      <c r="J944" s="85"/>
      <c r="K944" s="85"/>
      <c r="L944" s="85"/>
      <c r="M944" s="85"/>
      <c r="N944" s="85"/>
      <c r="O944" s="85"/>
      <c r="P944" s="85"/>
    </row>
    <row r="945">
      <c r="A945" s="89"/>
      <c r="B945" s="89"/>
      <c r="C945" s="90"/>
      <c r="D945" s="91"/>
      <c r="E945" s="91"/>
      <c r="F945" s="91"/>
      <c r="G945" s="91"/>
      <c r="H945" s="85"/>
      <c r="I945" s="85"/>
      <c r="J945" s="85"/>
      <c r="K945" s="85"/>
      <c r="L945" s="85"/>
      <c r="M945" s="85"/>
      <c r="N945" s="85"/>
      <c r="O945" s="85"/>
      <c r="P945" s="85"/>
    </row>
    <row r="946">
      <c r="A946" s="89"/>
      <c r="B946" s="89"/>
      <c r="C946" s="90"/>
      <c r="D946" s="91"/>
      <c r="E946" s="91"/>
      <c r="F946" s="91"/>
      <c r="G946" s="91"/>
      <c r="H946" s="85"/>
      <c r="I946" s="85"/>
      <c r="J946" s="85"/>
      <c r="K946" s="85"/>
      <c r="L946" s="85"/>
      <c r="M946" s="85"/>
      <c r="N946" s="85"/>
      <c r="O946" s="85"/>
      <c r="P946" s="85"/>
    </row>
    <row r="947">
      <c r="A947" s="89"/>
      <c r="B947" s="89"/>
      <c r="C947" s="90"/>
      <c r="D947" s="91"/>
      <c r="E947" s="91"/>
      <c r="F947" s="91"/>
      <c r="G947" s="91"/>
      <c r="H947" s="85"/>
      <c r="I947" s="85"/>
      <c r="J947" s="85"/>
      <c r="K947" s="85"/>
      <c r="L947" s="85"/>
      <c r="M947" s="85"/>
      <c r="N947" s="85"/>
      <c r="O947" s="85"/>
      <c r="P947" s="85"/>
    </row>
    <row r="948">
      <c r="A948" s="89"/>
      <c r="B948" s="89"/>
      <c r="C948" s="90"/>
      <c r="D948" s="91"/>
      <c r="E948" s="91"/>
      <c r="F948" s="91"/>
      <c r="G948" s="91"/>
      <c r="H948" s="85"/>
      <c r="I948" s="85"/>
      <c r="J948" s="85"/>
      <c r="K948" s="85"/>
      <c r="L948" s="85"/>
      <c r="M948" s="85"/>
      <c r="N948" s="85"/>
      <c r="O948" s="85"/>
      <c r="P948" s="85"/>
    </row>
    <row r="949">
      <c r="A949" s="89"/>
      <c r="B949" s="89"/>
      <c r="C949" s="90"/>
      <c r="D949" s="91"/>
      <c r="E949" s="91"/>
      <c r="F949" s="91"/>
      <c r="G949" s="91"/>
      <c r="H949" s="85"/>
      <c r="I949" s="85"/>
      <c r="J949" s="85"/>
      <c r="K949" s="85"/>
      <c r="L949" s="85"/>
      <c r="M949" s="85"/>
      <c r="N949" s="85"/>
      <c r="O949" s="85"/>
      <c r="P949" s="85"/>
    </row>
    <row r="950">
      <c r="A950" s="89"/>
      <c r="B950" s="89"/>
      <c r="C950" s="90"/>
      <c r="D950" s="91"/>
      <c r="E950" s="91"/>
      <c r="F950" s="91"/>
      <c r="G950" s="91"/>
      <c r="H950" s="85"/>
      <c r="I950" s="85"/>
      <c r="J950" s="85"/>
      <c r="K950" s="85"/>
      <c r="L950" s="85"/>
      <c r="M950" s="85"/>
      <c r="N950" s="85"/>
      <c r="O950" s="85"/>
      <c r="P950" s="85"/>
    </row>
    <row r="951">
      <c r="A951" s="89"/>
      <c r="B951" s="89"/>
      <c r="C951" s="90"/>
      <c r="D951" s="91"/>
      <c r="E951" s="91"/>
      <c r="F951" s="91"/>
      <c r="G951" s="91"/>
      <c r="H951" s="85"/>
      <c r="I951" s="85"/>
      <c r="J951" s="85"/>
      <c r="K951" s="85"/>
      <c r="L951" s="85"/>
      <c r="M951" s="85"/>
      <c r="N951" s="85"/>
      <c r="O951" s="85"/>
      <c r="P951" s="85"/>
    </row>
    <row r="952">
      <c r="A952" s="89"/>
      <c r="B952" s="89"/>
      <c r="C952" s="90"/>
      <c r="D952" s="91"/>
      <c r="E952" s="91"/>
      <c r="F952" s="91"/>
      <c r="G952" s="91"/>
      <c r="H952" s="85"/>
      <c r="I952" s="85"/>
      <c r="J952" s="85"/>
      <c r="K952" s="85"/>
      <c r="L952" s="85"/>
      <c r="M952" s="85"/>
      <c r="N952" s="85"/>
      <c r="O952" s="85"/>
      <c r="P952" s="85"/>
    </row>
    <row r="953">
      <c r="A953" s="89"/>
      <c r="B953" s="89"/>
      <c r="C953" s="90"/>
      <c r="D953" s="91"/>
      <c r="E953" s="91"/>
      <c r="F953" s="91"/>
      <c r="G953" s="91"/>
      <c r="H953" s="85"/>
      <c r="I953" s="85"/>
      <c r="J953" s="85"/>
      <c r="K953" s="85"/>
      <c r="L953" s="85"/>
      <c r="M953" s="85"/>
      <c r="N953" s="85"/>
      <c r="O953" s="85"/>
      <c r="P953" s="85"/>
    </row>
    <row r="954">
      <c r="A954" s="89"/>
      <c r="B954" s="89"/>
      <c r="C954" s="90"/>
      <c r="D954" s="91"/>
      <c r="E954" s="91"/>
      <c r="F954" s="91"/>
      <c r="G954" s="91"/>
      <c r="H954" s="85"/>
      <c r="I954" s="85"/>
      <c r="J954" s="85"/>
      <c r="K954" s="85"/>
      <c r="L954" s="85"/>
      <c r="M954" s="85"/>
      <c r="N954" s="85"/>
      <c r="O954" s="85"/>
      <c r="P954" s="85"/>
    </row>
    <row r="955">
      <c r="A955" s="89"/>
      <c r="B955" s="89"/>
      <c r="C955" s="90"/>
      <c r="D955" s="91"/>
      <c r="E955" s="91"/>
      <c r="F955" s="91"/>
      <c r="G955" s="91"/>
      <c r="H955" s="85"/>
      <c r="I955" s="85"/>
      <c r="J955" s="85"/>
      <c r="K955" s="85"/>
      <c r="L955" s="85"/>
      <c r="M955" s="85"/>
      <c r="N955" s="85"/>
      <c r="O955" s="85"/>
      <c r="P955" s="85"/>
    </row>
    <row r="956">
      <c r="A956" s="89"/>
      <c r="B956" s="89"/>
      <c r="C956" s="90"/>
      <c r="D956" s="91"/>
      <c r="E956" s="91"/>
      <c r="F956" s="91"/>
      <c r="G956" s="91"/>
      <c r="H956" s="85"/>
      <c r="I956" s="85"/>
      <c r="J956" s="85"/>
      <c r="K956" s="85"/>
      <c r="L956" s="85"/>
      <c r="M956" s="85"/>
      <c r="N956" s="85"/>
      <c r="O956" s="85"/>
      <c r="P956" s="85"/>
    </row>
    <row r="957">
      <c r="A957" s="89"/>
      <c r="B957" s="89"/>
      <c r="C957" s="90"/>
      <c r="D957" s="91"/>
      <c r="E957" s="91"/>
      <c r="F957" s="91"/>
      <c r="G957" s="91"/>
      <c r="H957" s="85"/>
      <c r="I957" s="85"/>
      <c r="J957" s="85"/>
      <c r="K957" s="85"/>
      <c r="L957" s="85"/>
      <c r="M957" s="85"/>
      <c r="N957" s="85"/>
      <c r="O957" s="85"/>
      <c r="P957" s="85"/>
    </row>
    <row r="958">
      <c r="A958" s="89"/>
      <c r="B958" s="89"/>
      <c r="C958" s="90"/>
      <c r="D958" s="91"/>
      <c r="E958" s="91"/>
      <c r="F958" s="91"/>
      <c r="G958" s="91"/>
      <c r="H958" s="85"/>
      <c r="I958" s="85"/>
      <c r="J958" s="85"/>
      <c r="K958" s="85"/>
      <c r="L958" s="85"/>
      <c r="M958" s="85"/>
      <c r="N958" s="85"/>
      <c r="O958" s="85"/>
      <c r="P958" s="85"/>
    </row>
    <row r="959">
      <c r="A959" s="89"/>
      <c r="B959" s="89"/>
      <c r="C959" s="90"/>
      <c r="D959" s="91"/>
      <c r="E959" s="91"/>
      <c r="F959" s="91"/>
      <c r="G959" s="91"/>
      <c r="H959" s="85"/>
      <c r="I959" s="85"/>
      <c r="J959" s="85"/>
      <c r="K959" s="85"/>
      <c r="L959" s="85"/>
      <c r="M959" s="85"/>
      <c r="N959" s="85"/>
      <c r="O959" s="85"/>
      <c r="P959" s="85"/>
    </row>
    <row r="960">
      <c r="A960" s="89"/>
      <c r="B960" s="89"/>
      <c r="C960" s="90"/>
      <c r="D960" s="91"/>
      <c r="E960" s="91"/>
      <c r="F960" s="91"/>
      <c r="G960" s="91"/>
      <c r="H960" s="85"/>
      <c r="I960" s="85"/>
      <c r="J960" s="85"/>
      <c r="K960" s="85"/>
      <c r="L960" s="85"/>
      <c r="M960" s="85"/>
      <c r="N960" s="85"/>
      <c r="O960" s="85"/>
      <c r="P960" s="85"/>
    </row>
    <row r="961">
      <c r="A961" s="89"/>
      <c r="B961" s="89"/>
      <c r="C961" s="90"/>
      <c r="D961" s="91"/>
      <c r="E961" s="91"/>
      <c r="F961" s="91"/>
      <c r="G961" s="91"/>
      <c r="H961" s="85"/>
      <c r="I961" s="85"/>
      <c r="J961" s="85"/>
      <c r="K961" s="85"/>
      <c r="L961" s="85"/>
      <c r="M961" s="85"/>
      <c r="N961" s="85"/>
      <c r="O961" s="85"/>
      <c r="P961" s="85"/>
    </row>
    <row r="962">
      <c r="A962" s="89"/>
      <c r="B962" s="89"/>
      <c r="C962" s="90"/>
      <c r="D962" s="91"/>
      <c r="E962" s="91"/>
      <c r="F962" s="91"/>
      <c r="G962" s="91"/>
      <c r="H962" s="85"/>
      <c r="I962" s="85"/>
      <c r="J962" s="85"/>
      <c r="K962" s="85"/>
      <c r="L962" s="85"/>
      <c r="M962" s="85"/>
      <c r="N962" s="85"/>
      <c r="O962" s="85"/>
      <c r="P962" s="85"/>
    </row>
    <row r="963">
      <c r="A963" s="89"/>
      <c r="B963" s="89"/>
      <c r="C963" s="90"/>
      <c r="D963" s="91"/>
      <c r="E963" s="91"/>
      <c r="F963" s="91"/>
      <c r="G963" s="91"/>
      <c r="H963" s="85"/>
      <c r="I963" s="85"/>
      <c r="J963" s="85"/>
      <c r="K963" s="85"/>
      <c r="L963" s="85"/>
      <c r="M963" s="85"/>
      <c r="N963" s="85"/>
      <c r="O963" s="85"/>
      <c r="P963" s="85"/>
    </row>
    <row r="964">
      <c r="A964" s="89"/>
      <c r="B964" s="89"/>
      <c r="C964" s="90"/>
      <c r="D964" s="91"/>
      <c r="E964" s="91"/>
      <c r="F964" s="91"/>
      <c r="G964" s="91"/>
      <c r="H964" s="85"/>
      <c r="I964" s="85"/>
      <c r="J964" s="85"/>
      <c r="K964" s="85"/>
      <c r="L964" s="85"/>
      <c r="M964" s="85"/>
      <c r="N964" s="85"/>
      <c r="O964" s="85"/>
      <c r="P964" s="85"/>
    </row>
    <row r="965">
      <c r="A965" s="89"/>
      <c r="B965" s="89"/>
      <c r="C965" s="90"/>
      <c r="D965" s="91"/>
      <c r="E965" s="91"/>
      <c r="F965" s="91"/>
      <c r="G965" s="91"/>
      <c r="H965" s="85"/>
      <c r="I965" s="85"/>
      <c r="J965" s="85"/>
      <c r="K965" s="85"/>
      <c r="L965" s="85"/>
      <c r="M965" s="85"/>
      <c r="N965" s="85"/>
      <c r="O965" s="85"/>
      <c r="P965" s="85"/>
    </row>
    <row r="966">
      <c r="A966" s="89"/>
      <c r="B966" s="89"/>
      <c r="C966" s="90"/>
      <c r="D966" s="91"/>
      <c r="E966" s="91"/>
      <c r="F966" s="91"/>
      <c r="G966" s="91"/>
      <c r="H966" s="85"/>
      <c r="I966" s="85"/>
      <c r="J966" s="85"/>
      <c r="K966" s="85"/>
      <c r="L966" s="85"/>
      <c r="M966" s="85"/>
      <c r="N966" s="85"/>
      <c r="O966" s="85"/>
      <c r="P966" s="85"/>
    </row>
    <row r="967">
      <c r="A967" s="89"/>
      <c r="B967" s="89"/>
      <c r="C967" s="90"/>
      <c r="D967" s="91"/>
      <c r="E967" s="91"/>
      <c r="F967" s="91"/>
      <c r="G967" s="91"/>
      <c r="H967" s="85"/>
      <c r="I967" s="85"/>
      <c r="J967" s="85"/>
      <c r="K967" s="85"/>
      <c r="L967" s="85"/>
      <c r="M967" s="85"/>
      <c r="N967" s="85"/>
      <c r="O967" s="85"/>
      <c r="P967" s="85"/>
    </row>
    <row r="968">
      <c r="A968" s="89"/>
      <c r="B968" s="89"/>
      <c r="C968" s="90"/>
      <c r="D968" s="91"/>
      <c r="E968" s="91"/>
      <c r="F968" s="91"/>
      <c r="G968" s="91"/>
      <c r="H968" s="85"/>
      <c r="I968" s="85"/>
      <c r="J968" s="85"/>
      <c r="K968" s="85"/>
      <c r="L968" s="85"/>
      <c r="M968" s="85"/>
      <c r="N968" s="85"/>
      <c r="O968" s="85"/>
      <c r="P968" s="85"/>
    </row>
    <row r="969">
      <c r="A969" s="89"/>
      <c r="B969" s="89"/>
      <c r="C969" s="90"/>
      <c r="D969" s="91"/>
      <c r="E969" s="91"/>
      <c r="F969" s="91"/>
      <c r="G969" s="91"/>
      <c r="H969" s="85"/>
      <c r="I969" s="85"/>
      <c r="J969" s="85"/>
      <c r="K969" s="85"/>
      <c r="L969" s="85"/>
      <c r="M969" s="85"/>
      <c r="N969" s="85"/>
      <c r="O969" s="85"/>
      <c r="P969" s="85"/>
    </row>
    <row r="970">
      <c r="A970" s="89"/>
      <c r="B970" s="89"/>
      <c r="C970" s="90"/>
      <c r="D970" s="91"/>
      <c r="E970" s="91"/>
      <c r="F970" s="91"/>
      <c r="G970" s="91"/>
      <c r="H970" s="85"/>
      <c r="I970" s="85"/>
      <c r="J970" s="85"/>
      <c r="K970" s="85"/>
      <c r="L970" s="85"/>
      <c r="M970" s="85"/>
      <c r="N970" s="85"/>
      <c r="O970" s="85"/>
      <c r="P970" s="85"/>
    </row>
    <row r="971">
      <c r="A971" s="89"/>
      <c r="B971" s="89"/>
      <c r="C971" s="90"/>
      <c r="D971" s="91"/>
      <c r="E971" s="91"/>
      <c r="F971" s="91"/>
      <c r="G971" s="91"/>
      <c r="H971" s="85"/>
      <c r="I971" s="85"/>
      <c r="J971" s="85"/>
      <c r="K971" s="85"/>
      <c r="L971" s="85"/>
      <c r="M971" s="85"/>
      <c r="N971" s="85"/>
      <c r="O971" s="85"/>
      <c r="P971" s="85"/>
    </row>
    <row r="972">
      <c r="A972" s="89"/>
      <c r="B972" s="89"/>
      <c r="C972" s="90"/>
      <c r="D972" s="91"/>
      <c r="E972" s="91"/>
      <c r="F972" s="91"/>
      <c r="G972" s="91"/>
      <c r="H972" s="85"/>
      <c r="I972" s="85"/>
      <c r="J972" s="85"/>
      <c r="K972" s="85"/>
      <c r="L972" s="85"/>
      <c r="M972" s="85"/>
      <c r="N972" s="85"/>
      <c r="O972" s="85"/>
      <c r="P972" s="85"/>
    </row>
    <row r="973">
      <c r="A973" s="89"/>
      <c r="B973" s="89"/>
      <c r="C973" s="90"/>
      <c r="D973" s="91"/>
      <c r="E973" s="91"/>
      <c r="F973" s="91"/>
      <c r="G973" s="91"/>
      <c r="H973" s="85"/>
      <c r="I973" s="85"/>
      <c r="J973" s="85"/>
      <c r="K973" s="85"/>
      <c r="L973" s="85"/>
      <c r="M973" s="85"/>
      <c r="N973" s="85"/>
      <c r="O973" s="85"/>
      <c r="P973" s="85"/>
    </row>
    <row r="974">
      <c r="A974" s="89"/>
      <c r="B974" s="89"/>
      <c r="C974" s="90"/>
      <c r="D974" s="91"/>
      <c r="E974" s="91"/>
      <c r="F974" s="91"/>
      <c r="G974" s="91"/>
      <c r="H974" s="85"/>
      <c r="I974" s="85"/>
      <c r="J974" s="85"/>
      <c r="K974" s="85"/>
      <c r="L974" s="85"/>
      <c r="M974" s="85"/>
      <c r="N974" s="85"/>
      <c r="O974" s="85"/>
      <c r="P974" s="85"/>
    </row>
    <row r="975">
      <c r="A975" s="89"/>
      <c r="B975" s="89"/>
      <c r="C975" s="90"/>
      <c r="D975" s="91"/>
      <c r="E975" s="91"/>
      <c r="F975" s="91"/>
      <c r="G975" s="91"/>
      <c r="H975" s="85"/>
      <c r="I975" s="85"/>
      <c r="J975" s="85"/>
      <c r="K975" s="85"/>
      <c r="L975" s="85"/>
      <c r="M975" s="85"/>
      <c r="N975" s="85"/>
      <c r="O975" s="85"/>
      <c r="P975" s="85"/>
    </row>
    <row r="976">
      <c r="A976" s="89"/>
      <c r="B976" s="89"/>
      <c r="C976" s="90"/>
      <c r="D976" s="91"/>
      <c r="E976" s="91"/>
      <c r="F976" s="91"/>
      <c r="G976" s="91"/>
      <c r="H976" s="85"/>
      <c r="I976" s="85"/>
      <c r="J976" s="85"/>
      <c r="K976" s="85"/>
      <c r="L976" s="85"/>
      <c r="M976" s="85"/>
      <c r="N976" s="85"/>
      <c r="O976" s="85"/>
      <c r="P976" s="85"/>
    </row>
    <row r="977">
      <c r="A977" s="89"/>
      <c r="B977" s="89"/>
      <c r="C977" s="90"/>
      <c r="D977" s="91"/>
      <c r="E977" s="91"/>
      <c r="F977" s="91"/>
      <c r="G977" s="91"/>
      <c r="H977" s="85"/>
      <c r="I977" s="85"/>
      <c r="J977" s="85"/>
      <c r="K977" s="85"/>
      <c r="L977" s="85"/>
      <c r="M977" s="85"/>
      <c r="N977" s="85"/>
      <c r="O977" s="85"/>
      <c r="P977" s="85"/>
    </row>
    <row r="978">
      <c r="A978" s="89"/>
      <c r="B978" s="89"/>
      <c r="C978" s="90"/>
      <c r="D978" s="91"/>
      <c r="E978" s="91"/>
      <c r="F978" s="91"/>
      <c r="G978" s="91"/>
      <c r="H978" s="85"/>
      <c r="I978" s="85"/>
      <c r="J978" s="85"/>
      <c r="K978" s="85"/>
      <c r="L978" s="85"/>
      <c r="M978" s="85"/>
      <c r="N978" s="85"/>
      <c r="O978" s="85"/>
      <c r="P978" s="85"/>
    </row>
    <row r="979">
      <c r="A979" s="89"/>
      <c r="B979" s="89"/>
      <c r="C979" s="90"/>
      <c r="D979" s="91"/>
      <c r="E979" s="91"/>
      <c r="F979" s="91"/>
      <c r="G979" s="91"/>
      <c r="H979" s="85"/>
      <c r="I979" s="85"/>
      <c r="J979" s="85"/>
      <c r="K979" s="85"/>
      <c r="L979" s="85"/>
      <c r="M979" s="85"/>
      <c r="N979" s="85"/>
      <c r="O979" s="85"/>
      <c r="P979" s="85"/>
    </row>
    <row r="980">
      <c r="A980" s="89"/>
      <c r="B980" s="89"/>
      <c r="C980" s="90"/>
      <c r="D980" s="91"/>
      <c r="E980" s="91"/>
      <c r="F980" s="91"/>
      <c r="G980" s="91"/>
      <c r="H980" s="85"/>
      <c r="I980" s="85"/>
      <c r="J980" s="85"/>
      <c r="K980" s="85"/>
      <c r="L980" s="85"/>
      <c r="M980" s="85"/>
      <c r="N980" s="85"/>
      <c r="O980" s="85"/>
      <c r="P980" s="85"/>
    </row>
    <row r="981">
      <c r="A981" s="89"/>
      <c r="B981" s="89"/>
      <c r="C981" s="90"/>
      <c r="D981" s="91"/>
      <c r="E981" s="91"/>
      <c r="F981" s="91"/>
      <c r="G981" s="91"/>
      <c r="H981" s="85"/>
      <c r="I981" s="85"/>
      <c r="J981" s="85"/>
      <c r="K981" s="85"/>
      <c r="L981" s="85"/>
      <c r="M981" s="85"/>
      <c r="N981" s="85"/>
      <c r="O981" s="85"/>
      <c r="P981" s="85"/>
    </row>
    <row r="982">
      <c r="A982" s="89"/>
      <c r="B982" s="89"/>
      <c r="C982" s="90"/>
      <c r="D982" s="91"/>
      <c r="E982" s="91"/>
      <c r="F982" s="91"/>
      <c r="G982" s="91"/>
      <c r="H982" s="85"/>
      <c r="I982" s="85"/>
      <c r="J982" s="85"/>
      <c r="K982" s="85"/>
      <c r="L982" s="85"/>
      <c r="M982" s="85"/>
      <c r="N982" s="85"/>
      <c r="O982" s="85"/>
      <c r="P982" s="85"/>
    </row>
    <row r="983">
      <c r="A983" s="89"/>
      <c r="B983" s="89"/>
      <c r="C983" s="90"/>
      <c r="D983" s="91"/>
      <c r="E983" s="91"/>
      <c r="F983" s="91"/>
      <c r="G983" s="91"/>
      <c r="H983" s="85"/>
      <c r="I983" s="85"/>
      <c r="J983" s="85"/>
      <c r="K983" s="85"/>
      <c r="L983" s="85"/>
      <c r="M983" s="85"/>
      <c r="N983" s="85"/>
      <c r="O983" s="85"/>
      <c r="P983" s="85"/>
    </row>
    <row r="984">
      <c r="A984" s="89"/>
      <c r="B984" s="89"/>
      <c r="C984" s="90"/>
      <c r="D984" s="91"/>
      <c r="E984" s="91"/>
      <c r="F984" s="91"/>
      <c r="G984" s="91"/>
      <c r="H984" s="85"/>
      <c r="I984" s="85"/>
      <c r="J984" s="85"/>
      <c r="K984" s="85"/>
      <c r="L984" s="85"/>
      <c r="M984" s="85"/>
      <c r="N984" s="85"/>
      <c r="O984" s="85"/>
      <c r="P984" s="85"/>
    </row>
    <row r="985">
      <c r="A985" s="89"/>
      <c r="B985" s="89"/>
      <c r="C985" s="90"/>
      <c r="D985" s="91"/>
      <c r="E985" s="91"/>
      <c r="F985" s="91"/>
      <c r="G985" s="91"/>
      <c r="H985" s="85"/>
      <c r="I985" s="85"/>
      <c r="J985" s="85"/>
      <c r="K985" s="85"/>
      <c r="L985" s="85"/>
      <c r="M985" s="85"/>
      <c r="N985" s="85"/>
      <c r="O985" s="85"/>
      <c r="P985" s="85"/>
    </row>
    <row r="986">
      <c r="A986" s="89"/>
      <c r="B986" s="89"/>
      <c r="C986" s="90"/>
      <c r="D986" s="91"/>
      <c r="E986" s="91"/>
      <c r="F986" s="91"/>
      <c r="G986" s="91"/>
      <c r="H986" s="85"/>
      <c r="I986" s="85"/>
      <c r="J986" s="85"/>
      <c r="K986" s="85"/>
      <c r="L986" s="85"/>
      <c r="M986" s="85"/>
      <c r="N986" s="85"/>
      <c r="O986" s="85"/>
      <c r="P986" s="85"/>
    </row>
    <row r="987">
      <c r="A987" s="89"/>
      <c r="B987" s="89"/>
      <c r="C987" s="90"/>
      <c r="D987" s="91"/>
      <c r="E987" s="91"/>
      <c r="F987" s="91"/>
      <c r="G987" s="91"/>
      <c r="H987" s="85"/>
      <c r="I987" s="85"/>
      <c r="J987" s="85"/>
      <c r="K987" s="85"/>
      <c r="L987" s="85"/>
      <c r="M987" s="85"/>
      <c r="N987" s="85"/>
      <c r="O987" s="85"/>
      <c r="P987" s="85"/>
    </row>
    <row r="988">
      <c r="A988" s="89"/>
      <c r="B988" s="89"/>
      <c r="C988" s="90"/>
      <c r="D988" s="91"/>
      <c r="E988" s="91"/>
      <c r="F988" s="91"/>
      <c r="G988" s="91"/>
      <c r="H988" s="85"/>
      <c r="I988" s="85"/>
      <c r="J988" s="85"/>
      <c r="K988" s="85"/>
      <c r="L988" s="85"/>
      <c r="M988" s="85"/>
      <c r="N988" s="85"/>
      <c r="O988" s="85"/>
      <c r="P988" s="85"/>
    </row>
    <row r="989">
      <c r="A989" s="89"/>
      <c r="B989" s="89"/>
      <c r="C989" s="90"/>
      <c r="D989" s="91"/>
      <c r="E989" s="91"/>
      <c r="F989" s="91"/>
      <c r="G989" s="91"/>
      <c r="H989" s="85"/>
      <c r="I989" s="85"/>
      <c r="J989" s="85"/>
      <c r="K989" s="85"/>
      <c r="L989" s="85"/>
      <c r="M989" s="85"/>
      <c r="N989" s="85"/>
      <c r="O989" s="85"/>
      <c r="P989" s="85"/>
    </row>
    <row r="990">
      <c r="A990" s="89"/>
      <c r="B990" s="89"/>
      <c r="C990" s="90"/>
      <c r="D990" s="91"/>
      <c r="E990" s="91"/>
      <c r="F990" s="91"/>
      <c r="G990" s="91"/>
      <c r="H990" s="85"/>
      <c r="I990" s="85"/>
      <c r="J990" s="85"/>
      <c r="K990" s="85"/>
      <c r="L990" s="85"/>
      <c r="M990" s="85"/>
      <c r="N990" s="85"/>
      <c r="O990" s="85"/>
      <c r="P990" s="85"/>
    </row>
    <row r="991">
      <c r="A991" s="89"/>
      <c r="B991" s="89"/>
      <c r="C991" s="90"/>
      <c r="D991" s="91"/>
      <c r="E991" s="91"/>
      <c r="F991" s="91"/>
      <c r="G991" s="91"/>
      <c r="H991" s="85"/>
      <c r="I991" s="85"/>
      <c r="J991" s="85"/>
      <c r="K991" s="85"/>
      <c r="L991" s="85"/>
      <c r="M991" s="85"/>
      <c r="N991" s="85"/>
      <c r="O991" s="85"/>
      <c r="P991" s="85"/>
    </row>
    <row r="992">
      <c r="A992" s="89"/>
      <c r="B992" s="89"/>
      <c r="C992" s="90"/>
      <c r="D992" s="91"/>
      <c r="E992" s="91"/>
      <c r="F992" s="91"/>
      <c r="G992" s="91"/>
      <c r="H992" s="85"/>
      <c r="I992" s="85"/>
      <c r="J992" s="85"/>
      <c r="K992" s="85"/>
      <c r="L992" s="85"/>
      <c r="M992" s="85"/>
      <c r="N992" s="85"/>
      <c r="O992" s="85"/>
      <c r="P992" s="85"/>
    </row>
    <row r="993">
      <c r="A993" s="89"/>
      <c r="B993" s="89"/>
      <c r="C993" s="90"/>
      <c r="D993" s="91"/>
      <c r="E993" s="91"/>
      <c r="F993" s="91"/>
      <c r="G993" s="91"/>
      <c r="H993" s="85"/>
      <c r="I993" s="85"/>
      <c r="J993" s="85"/>
      <c r="K993" s="85"/>
      <c r="L993" s="85"/>
      <c r="M993" s="85"/>
      <c r="N993" s="85"/>
      <c r="O993" s="85"/>
      <c r="P993" s="85"/>
    </row>
    <row r="994">
      <c r="A994" s="89"/>
      <c r="B994" s="89"/>
      <c r="C994" s="90"/>
      <c r="D994" s="91"/>
      <c r="E994" s="91"/>
      <c r="F994" s="91"/>
      <c r="G994" s="91"/>
      <c r="H994" s="85"/>
      <c r="I994" s="85"/>
      <c r="J994" s="85"/>
      <c r="K994" s="85"/>
      <c r="L994" s="85"/>
      <c r="M994" s="85"/>
      <c r="N994" s="85"/>
      <c r="O994" s="85"/>
      <c r="P994" s="85"/>
    </row>
    <row r="995">
      <c r="A995" s="89"/>
      <c r="B995" s="89"/>
      <c r="C995" s="90"/>
      <c r="D995" s="91"/>
      <c r="E995" s="91"/>
      <c r="F995" s="91"/>
      <c r="G995" s="91"/>
      <c r="H995" s="85"/>
      <c r="I995" s="85"/>
      <c r="J995" s="85"/>
      <c r="K995" s="85"/>
      <c r="L995" s="85"/>
      <c r="M995" s="85"/>
      <c r="N995" s="85"/>
      <c r="O995" s="85"/>
      <c r="P995" s="85"/>
    </row>
    <row r="996">
      <c r="A996" s="89"/>
      <c r="B996" s="89"/>
      <c r="C996" s="90"/>
      <c r="D996" s="91"/>
      <c r="E996" s="91"/>
      <c r="F996" s="91"/>
      <c r="G996" s="91"/>
      <c r="H996" s="85"/>
      <c r="I996" s="85"/>
      <c r="J996" s="85"/>
      <c r="K996" s="85"/>
      <c r="L996" s="85"/>
      <c r="M996" s="85"/>
      <c r="N996" s="85"/>
      <c r="O996" s="85"/>
      <c r="P996" s="85"/>
    </row>
    <row r="997">
      <c r="A997" s="89"/>
      <c r="B997" s="89"/>
      <c r="C997" s="90"/>
      <c r="D997" s="91"/>
      <c r="E997" s="91"/>
      <c r="F997" s="91"/>
      <c r="G997" s="91"/>
      <c r="H997" s="85"/>
      <c r="I997" s="85"/>
      <c r="J997" s="85"/>
      <c r="K997" s="85"/>
      <c r="L997" s="85"/>
      <c r="M997" s="85"/>
      <c r="N997" s="85"/>
      <c r="O997" s="85"/>
      <c r="P997" s="85"/>
    </row>
    <row r="998">
      <c r="A998" s="89"/>
      <c r="B998" s="89"/>
      <c r="C998" s="90"/>
      <c r="D998" s="91"/>
      <c r="E998" s="91"/>
      <c r="F998" s="91"/>
      <c r="G998" s="91"/>
      <c r="H998" s="85"/>
      <c r="I998" s="85"/>
      <c r="J998" s="85"/>
      <c r="K998" s="85"/>
      <c r="L998" s="85"/>
      <c r="M998" s="85"/>
      <c r="N998" s="85"/>
      <c r="O998" s="85"/>
      <c r="P998" s="85"/>
    </row>
    <row r="999">
      <c r="A999" s="89"/>
      <c r="B999" s="89"/>
      <c r="C999" s="90"/>
      <c r="D999" s="91"/>
      <c r="E999" s="91"/>
      <c r="F999" s="91"/>
      <c r="G999" s="91"/>
      <c r="H999" s="85"/>
      <c r="I999" s="85"/>
      <c r="J999" s="85"/>
      <c r="K999" s="85"/>
      <c r="L999" s="85"/>
      <c r="M999" s="85"/>
      <c r="N999" s="85"/>
      <c r="O999" s="85"/>
      <c r="P999" s="85"/>
    </row>
    <row r="1000">
      <c r="A1000" s="89"/>
      <c r="B1000" s="89"/>
      <c r="C1000" s="90"/>
      <c r="D1000" s="91"/>
      <c r="E1000" s="91"/>
      <c r="F1000" s="91"/>
      <c r="G1000" s="91"/>
      <c r="H1000" s="85"/>
      <c r="I1000" s="85"/>
      <c r="J1000" s="85"/>
      <c r="K1000" s="85"/>
      <c r="L1000" s="85"/>
      <c r="M1000" s="85"/>
      <c r="N1000" s="85"/>
      <c r="O1000" s="85"/>
      <c r="P1000" s="8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2" t="str">
        <f>IFERROR(__xludf.DUMMYFUNCTION("IMPORTRANGE(""https://docs.google.com/spreadsheets/d/1UYeSnzxFVXnGBq4OuLQtCoVR1HS8q6M_na7GJJ09G1s/edit?usp=sharing"",""'city_table'!A:z"")"),"city_id")</f>
        <v>city_id</v>
      </c>
      <c r="B1" s="93" t="str">
        <f>IFERROR(__xludf.DUMMYFUNCTION("""COMPUTED_VALUE"""),"city_name")</f>
        <v>city_name</v>
      </c>
      <c r="C1" s="34"/>
      <c r="D1" s="34"/>
      <c r="E1" s="34"/>
      <c r="F1" s="34"/>
      <c r="G1" s="34"/>
      <c r="H1" s="34"/>
      <c r="I1" s="34"/>
      <c r="J1" s="34"/>
      <c r="K1" s="34"/>
      <c r="L1" s="34"/>
      <c r="M1" s="34"/>
      <c r="N1" s="34"/>
      <c r="O1" s="34"/>
      <c r="P1" s="34"/>
      <c r="Q1" s="34"/>
      <c r="R1" s="34"/>
      <c r="S1" s="34"/>
      <c r="T1" s="34"/>
      <c r="U1" s="34"/>
      <c r="V1" s="34"/>
      <c r="W1" s="34"/>
      <c r="X1" s="34"/>
      <c r="Y1" s="34"/>
      <c r="Z1" s="34"/>
    </row>
    <row r="2">
      <c r="A2" s="94">
        <f>IFERROR(__xludf.DUMMYFUNCTION("""COMPUTED_VALUE"""),1.0)</f>
        <v>1</v>
      </c>
      <c r="B2" s="94" t="str">
        <f>IFERROR(__xludf.DUMMYFUNCTION("""COMPUTED_VALUE"""),"Jakarta")</f>
        <v>Jakarta</v>
      </c>
      <c r="C2" s="43"/>
      <c r="D2" s="43"/>
      <c r="E2" s="43"/>
      <c r="F2" s="43"/>
      <c r="G2" s="43"/>
      <c r="H2" s="43"/>
      <c r="I2" s="43"/>
      <c r="J2" s="43"/>
      <c r="K2" s="43"/>
      <c r="L2" s="43"/>
      <c r="M2" s="43"/>
      <c r="N2" s="43"/>
      <c r="O2" s="43"/>
      <c r="P2" s="43"/>
      <c r="Q2" s="43"/>
      <c r="R2" s="43"/>
      <c r="S2" s="43"/>
      <c r="T2" s="43"/>
      <c r="U2" s="43"/>
      <c r="V2" s="43"/>
      <c r="W2" s="43"/>
      <c r="X2" s="43"/>
      <c r="Y2" s="43"/>
      <c r="Z2" s="43"/>
    </row>
    <row r="3">
      <c r="A3" s="94">
        <f>IFERROR(__xludf.DUMMYFUNCTION("""COMPUTED_VALUE"""),2.0)</f>
        <v>2</v>
      </c>
      <c r="B3" s="94" t="str">
        <f>IFERROR(__xludf.DUMMYFUNCTION("""COMPUTED_VALUE"""),"Bogor")</f>
        <v>Bogor</v>
      </c>
      <c r="C3" s="43"/>
      <c r="D3" s="43"/>
      <c r="E3" s="43"/>
      <c r="F3" s="43"/>
      <c r="G3" s="43"/>
      <c r="H3" s="43"/>
      <c r="I3" s="43"/>
      <c r="J3" s="43"/>
      <c r="K3" s="43"/>
      <c r="L3" s="43"/>
      <c r="M3" s="43"/>
      <c r="N3" s="43"/>
      <c r="O3" s="43"/>
      <c r="P3" s="43"/>
      <c r="Q3" s="43"/>
      <c r="R3" s="43"/>
      <c r="S3" s="43"/>
      <c r="T3" s="43"/>
      <c r="U3" s="43"/>
      <c r="V3" s="43"/>
      <c r="W3" s="43"/>
      <c r="X3" s="43"/>
      <c r="Y3" s="43"/>
      <c r="Z3" s="43"/>
    </row>
    <row r="4">
      <c r="A4" s="94">
        <f>IFERROR(__xludf.DUMMYFUNCTION("""COMPUTED_VALUE"""),3.0)</f>
        <v>3</v>
      </c>
      <c r="B4" s="94" t="str">
        <f>IFERROR(__xludf.DUMMYFUNCTION("""COMPUTED_VALUE"""),"Depok")</f>
        <v>Depok</v>
      </c>
      <c r="C4" s="43"/>
      <c r="D4" s="43"/>
      <c r="E4" s="43"/>
      <c r="F4" s="43"/>
      <c r="G4" s="43"/>
      <c r="H4" s="43"/>
      <c r="I4" s="43"/>
      <c r="J4" s="43"/>
      <c r="K4" s="43"/>
      <c r="L4" s="43"/>
      <c r="M4" s="43"/>
      <c r="N4" s="43"/>
      <c r="O4" s="43"/>
      <c r="P4" s="43"/>
      <c r="Q4" s="43"/>
      <c r="R4" s="43"/>
      <c r="S4" s="43"/>
      <c r="T4" s="43"/>
      <c r="U4" s="43"/>
      <c r="V4" s="43"/>
      <c r="W4" s="43"/>
      <c r="X4" s="43"/>
      <c r="Y4" s="43"/>
      <c r="Z4" s="43"/>
    </row>
    <row r="5">
      <c r="A5" s="94">
        <f>IFERROR(__xludf.DUMMYFUNCTION("""COMPUTED_VALUE"""),4.0)</f>
        <v>4</v>
      </c>
      <c r="B5" s="94" t="str">
        <f>IFERROR(__xludf.DUMMYFUNCTION("""COMPUTED_VALUE"""),"Tangerang")</f>
        <v>Tangerang</v>
      </c>
      <c r="C5" s="43"/>
      <c r="D5" s="43"/>
      <c r="E5" s="43"/>
      <c r="F5" s="43"/>
      <c r="G5" s="43"/>
      <c r="H5" s="43"/>
      <c r="I5" s="43"/>
      <c r="J5" s="43"/>
      <c r="K5" s="43"/>
      <c r="L5" s="43"/>
      <c r="M5" s="43"/>
      <c r="N5" s="43"/>
      <c r="O5" s="43"/>
      <c r="P5" s="43"/>
      <c r="Q5" s="43"/>
      <c r="R5" s="43"/>
      <c r="S5" s="43"/>
      <c r="T5" s="43"/>
      <c r="U5" s="43"/>
      <c r="V5" s="43"/>
      <c r="W5" s="43"/>
      <c r="X5" s="43"/>
      <c r="Y5" s="43"/>
      <c r="Z5" s="43"/>
    </row>
    <row r="6">
      <c r="A6" s="94">
        <f>IFERROR(__xludf.DUMMYFUNCTION("""COMPUTED_VALUE"""),5.0)</f>
        <v>5</v>
      </c>
      <c r="B6" s="94" t="str">
        <f>IFERROR(__xludf.DUMMYFUNCTION("""COMPUTED_VALUE"""),"Bekasi")</f>
        <v>Bekasi</v>
      </c>
      <c r="C6" s="43"/>
      <c r="D6" s="43"/>
      <c r="E6" s="43"/>
      <c r="F6" s="43"/>
      <c r="G6" s="43"/>
      <c r="H6" s="43"/>
      <c r="I6" s="43"/>
      <c r="J6" s="43"/>
      <c r="K6" s="43"/>
      <c r="L6" s="43"/>
      <c r="M6" s="43"/>
      <c r="N6" s="43"/>
      <c r="O6" s="43"/>
      <c r="P6" s="43"/>
      <c r="Q6" s="43"/>
      <c r="R6" s="43"/>
      <c r="S6" s="43"/>
      <c r="T6" s="43"/>
      <c r="U6" s="43"/>
      <c r="V6" s="43"/>
      <c r="W6" s="43"/>
      <c r="X6" s="43"/>
      <c r="Y6" s="43"/>
      <c r="Z6" s="43"/>
    </row>
    <row r="7">
      <c r="A7" s="94"/>
      <c r="B7" s="94"/>
      <c r="C7" s="43"/>
      <c r="D7" s="43"/>
      <c r="E7" s="43"/>
      <c r="F7" s="43"/>
      <c r="G7" s="43"/>
      <c r="H7" s="43"/>
      <c r="I7" s="43"/>
      <c r="J7" s="43"/>
      <c r="K7" s="43"/>
      <c r="L7" s="43"/>
      <c r="M7" s="43"/>
      <c r="N7" s="43"/>
      <c r="O7" s="43"/>
      <c r="P7" s="43"/>
      <c r="Q7" s="43"/>
      <c r="R7" s="43"/>
      <c r="S7" s="43"/>
      <c r="T7" s="43"/>
      <c r="U7" s="43"/>
      <c r="V7" s="43"/>
      <c r="W7" s="43"/>
      <c r="X7" s="43"/>
      <c r="Y7" s="43"/>
      <c r="Z7" s="43"/>
    </row>
    <row r="8">
      <c r="A8" s="94"/>
      <c r="B8" s="94"/>
      <c r="C8" s="43"/>
      <c r="D8" s="43"/>
      <c r="E8" s="43"/>
      <c r="F8" s="43"/>
      <c r="G8" s="43"/>
      <c r="H8" s="43"/>
      <c r="I8" s="43"/>
      <c r="J8" s="43"/>
      <c r="K8" s="43"/>
      <c r="L8" s="43"/>
      <c r="M8" s="43"/>
      <c r="N8" s="43"/>
      <c r="O8" s="43"/>
      <c r="P8" s="43"/>
      <c r="Q8" s="43"/>
      <c r="R8" s="43"/>
      <c r="S8" s="43"/>
      <c r="T8" s="43"/>
      <c r="U8" s="43"/>
      <c r="V8" s="43"/>
      <c r="W8" s="43"/>
      <c r="X8" s="43"/>
      <c r="Y8" s="43"/>
      <c r="Z8" s="43"/>
    </row>
    <row r="9">
      <c r="A9" s="94"/>
      <c r="B9" s="94"/>
      <c r="C9" s="43"/>
      <c r="D9" s="43"/>
      <c r="E9" s="43"/>
      <c r="F9" s="43"/>
      <c r="G9" s="43"/>
      <c r="H9" s="43"/>
      <c r="I9" s="43"/>
      <c r="J9" s="43"/>
      <c r="K9" s="43"/>
      <c r="L9" s="43"/>
      <c r="M9" s="43"/>
      <c r="N9" s="43"/>
      <c r="O9" s="43"/>
      <c r="P9" s="43"/>
      <c r="Q9" s="43"/>
      <c r="R9" s="43"/>
      <c r="S9" s="43"/>
      <c r="T9" s="43"/>
      <c r="U9" s="43"/>
      <c r="V9" s="43"/>
      <c r="W9" s="43"/>
      <c r="X9" s="43"/>
      <c r="Y9" s="43"/>
      <c r="Z9" s="43"/>
    </row>
    <row r="10">
      <c r="A10" s="94"/>
      <c r="B10" s="94"/>
      <c r="C10" s="43"/>
      <c r="D10" s="43"/>
      <c r="E10" s="43"/>
      <c r="F10" s="43"/>
      <c r="G10" s="43"/>
      <c r="H10" s="43"/>
      <c r="I10" s="43"/>
      <c r="J10" s="43"/>
      <c r="K10" s="43"/>
      <c r="L10" s="43"/>
      <c r="M10" s="43"/>
      <c r="N10" s="43"/>
      <c r="O10" s="43"/>
      <c r="P10" s="43"/>
      <c r="Q10" s="43"/>
      <c r="R10" s="43"/>
      <c r="S10" s="43"/>
      <c r="T10" s="43"/>
      <c r="U10" s="43"/>
      <c r="V10" s="43"/>
      <c r="W10" s="43"/>
      <c r="X10" s="43"/>
      <c r="Y10" s="43"/>
      <c r="Z10" s="43"/>
    </row>
    <row r="11">
      <c r="A11" s="94"/>
      <c r="B11" s="94"/>
      <c r="C11" s="43"/>
      <c r="D11" s="43"/>
      <c r="E11" s="43"/>
      <c r="F11" s="43"/>
      <c r="G11" s="43"/>
      <c r="H11" s="43"/>
      <c r="I11" s="43"/>
      <c r="J11" s="43"/>
      <c r="K11" s="43"/>
      <c r="L11" s="43"/>
      <c r="M11" s="43"/>
      <c r="N11" s="43"/>
      <c r="O11" s="43"/>
      <c r="P11" s="43"/>
      <c r="Q11" s="43"/>
      <c r="R11" s="43"/>
      <c r="S11" s="43"/>
      <c r="T11" s="43"/>
      <c r="U11" s="43"/>
      <c r="V11" s="43"/>
      <c r="W11" s="43"/>
      <c r="X11" s="43"/>
      <c r="Y11" s="43"/>
      <c r="Z11" s="43"/>
    </row>
    <row r="12">
      <c r="A12" s="94"/>
      <c r="B12" s="94"/>
      <c r="C12" s="43"/>
      <c r="D12" s="43"/>
      <c r="E12" s="43"/>
      <c r="F12" s="43"/>
      <c r="G12" s="43"/>
      <c r="H12" s="43"/>
      <c r="I12" s="43"/>
      <c r="J12" s="43"/>
      <c r="K12" s="43"/>
      <c r="L12" s="43"/>
      <c r="M12" s="43"/>
      <c r="N12" s="43"/>
      <c r="O12" s="43"/>
      <c r="P12" s="43"/>
      <c r="Q12" s="43"/>
      <c r="R12" s="43"/>
      <c r="S12" s="43"/>
      <c r="T12" s="43"/>
      <c r="U12" s="43"/>
      <c r="V12" s="43"/>
      <c r="W12" s="43"/>
      <c r="X12" s="43"/>
      <c r="Y12" s="43"/>
      <c r="Z12" s="43"/>
    </row>
    <row r="13">
      <c r="A13" s="94"/>
      <c r="B13" s="94"/>
      <c r="C13" s="43"/>
      <c r="D13" s="43"/>
      <c r="E13" s="43"/>
      <c r="F13" s="43"/>
      <c r="G13" s="43"/>
      <c r="H13" s="43"/>
      <c r="I13" s="43"/>
      <c r="J13" s="43"/>
      <c r="K13" s="43"/>
      <c r="L13" s="43"/>
      <c r="M13" s="43"/>
      <c r="N13" s="43"/>
      <c r="O13" s="43"/>
      <c r="P13" s="43"/>
      <c r="Q13" s="43"/>
      <c r="R13" s="43"/>
      <c r="S13" s="43"/>
      <c r="T13" s="43"/>
      <c r="U13" s="43"/>
      <c r="V13" s="43"/>
      <c r="W13" s="43"/>
      <c r="X13" s="43"/>
      <c r="Y13" s="43"/>
      <c r="Z13" s="43"/>
    </row>
    <row r="14">
      <c r="A14" s="94"/>
      <c r="B14" s="94"/>
      <c r="C14" s="43"/>
      <c r="D14" s="43"/>
      <c r="E14" s="43"/>
      <c r="F14" s="43"/>
      <c r="G14" s="43"/>
      <c r="H14" s="43"/>
      <c r="I14" s="43"/>
      <c r="J14" s="43"/>
      <c r="K14" s="43"/>
      <c r="L14" s="43"/>
      <c r="M14" s="43"/>
      <c r="N14" s="43"/>
      <c r="O14" s="43"/>
      <c r="P14" s="43"/>
      <c r="Q14" s="43"/>
      <c r="R14" s="43"/>
      <c r="S14" s="43"/>
      <c r="T14" s="43"/>
      <c r="U14" s="43"/>
      <c r="V14" s="43"/>
      <c r="W14" s="43"/>
      <c r="X14" s="43"/>
      <c r="Y14" s="43"/>
      <c r="Z14" s="43"/>
    </row>
    <row r="15">
      <c r="A15" s="94"/>
      <c r="B15" s="94"/>
      <c r="C15" s="43"/>
      <c r="D15" s="43"/>
      <c r="E15" s="43"/>
      <c r="F15" s="43"/>
      <c r="G15" s="43"/>
      <c r="H15" s="43"/>
      <c r="I15" s="43"/>
      <c r="J15" s="43"/>
      <c r="K15" s="43"/>
      <c r="L15" s="43"/>
      <c r="M15" s="43"/>
      <c r="N15" s="43"/>
      <c r="O15" s="43"/>
      <c r="P15" s="43"/>
      <c r="Q15" s="43"/>
      <c r="R15" s="43"/>
      <c r="S15" s="43"/>
      <c r="T15" s="43"/>
      <c r="U15" s="43"/>
      <c r="V15" s="43"/>
      <c r="W15" s="43"/>
      <c r="X15" s="43"/>
      <c r="Y15" s="43"/>
      <c r="Z15" s="43"/>
    </row>
    <row r="16">
      <c r="A16" s="94"/>
      <c r="B16" s="94"/>
      <c r="C16" s="43"/>
      <c r="D16" s="43"/>
      <c r="E16" s="43"/>
      <c r="F16" s="43"/>
      <c r="G16" s="43"/>
      <c r="H16" s="43"/>
      <c r="I16" s="43"/>
      <c r="J16" s="43"/>
      <c r="K16" s="43"/>
      <c r="L16" s="43"/>
      <c r="M16" s="43"/>
      <c r="N16" s="43"/>
      <c r="O16" s="43"/>
      <c r="P16" s="43"/>
      <c r="Q16" s="43"/>
      <c r="R16" s="43"/>
      <c r="S16" s="43"/>
      <c r="T16" s="43"/>
      <c r="U16" s="43"/>
      <c r="V16" s="43"/>
      <c r="W16" s="43"/>
      <c r="X16" s="43"/>
      <c r="Y16" s="43"/>
      <c r="Z16" s="43"/>
    </row>
    <row r="17">
      <c r="A17" s="94"/>
      <c r="B17" s="94"/>
      <c r="C17" s="43"/>
      <c r="D17" s="43"/>
      <c r="E17" s="43"/>
      <c r="F17" s="43"/>
      <c r="G17" s="43"/>
      <c r="H17" s="43"/>
      <c r="I17" s="43"/>
      <c r="J17" s="43"/>
      <c r="K17" s="43"/>
      <c r="L17" s="43"/>
      <c r="M17" s="43"/>
      <c r="N17" s="43"/>
      <c r="O17" s="43"/>
      <c r="P17" s="43"/>
      <c r="Q17" s="43"/>
      <c r="R17" s="43"/>
      <c r="S17" s="43"/>
      <c r="T17" s="43"/>
      <c r="U17" s="43"/>
      <c r="V17" s="43"/>
      <c r="W17" s="43"/>
      <c r="X17" s="43"/>
      <c r="Y17" s="43"/>
      <c r="Z17" s="43"/>
    </row>
    <row r="18">
      <c r="A18" s="94"/>
      <c r="B18" s="94"/>
      <c r="C18" s="43"/>
      <c r="D18" s="43"/>
      <c r="E18" s="43"/>
      <c r="F18" s="43"/>
      <c r="G18" s="43"/>
      <c r="H18" s="43"/>
      <c r="I18" s="43"/>
      <c r="J18" s="43"/>
      <c r="K18" s="43"/>
      <c r="L18" s="43"/>
      <c r="M18" s="43"/>
      <c r="N18" s="43"/>
      <c r="O18" s="43"/>
      <c r="P18" s="43"/>
      <c r="Q18" s="43"/>
      <c r="R18" s="43"/>
      <c r="S18" s="43"/>
      <c r="T18" s="43"/>
      <c r="U18" s="43"/>
      <c r="V18" s="43"/>
      <c r="W18" s="43"/>
      <c r="X18" s="43"/>
      <c r="Y18" s="43"/>
      <c r="Z18" s="43"/>
    </row>
    <row r="19">
      <c r="A19" s="94"/>
      <c r="B19" s="94"/>
      <c r="C19" s="43"/>
      <c r="D19" s="43"/>
      <c r="E19" s="43"/>
      <c r="F19" s="43"/>
      <c r="G19" s="43"/>
      <c r="H19" s="43"/>
      <c r="I19" s="43"/>
      <c r="J19" s="43"/>
      <c r="K19" s="43"/>
      <c r="L19" s="43"/>
      <c r="M19" s="43"/>
      <c r="N19" s="43"/>
      <c r="O19" s="43"/>
      <c r="P19" s="43"/>
      <c r="Q19" s="43"/>
      <c r="R19" s="43"/>
      <c r="S19" s="43"/>
      <c r="T19" s="43"/>
      <c r="U19" s="43"/>
      <c r="V19" s="43"/>
      <c r="W19" s="43"/>
      <c r="X19" s="43"/>
      <c r="Y19" s="43"/>
      <c r="Z19" s="43"/>
    </row>
    <row r="20">
      <c r="A20" s="94"/>
      <c r="B20" s="94"/>
      <c r="C20" s="43"/>
      <c r="D20" s="43"/>
      <c r="E20" s="43"/>
      <c r="F20" s="43"/>
      <c r="G20" s="43"/>
      <c r="H20" s="43"/>
      <c r="I20" s="43"/>
      <c r="J20" s="43"/>
      <c r="K20" s="43"/>
      <c r="L20" s="43"/>
      <c r="M20" s="43"/>
      <c r="N20" s="43"/>
      <c r="O20" s="43"/>
      <c r="P20" s="43"/>
      <c r="Q20" s="43"/>
      <c r="R20" s="43"/>
      <c r="S20" s="43"/>
      <c r="T20" s="43"/>
      <c r="U20" s="43"/>
      <c r="V20" s="43"/>
      <c r="W20" s="43"/>
      <c r="X20" s="43"/>
      <c r="Y20" s="43"/>
      <c r="Z20" s="43"/>
    </row>
    <row r="21">
      <c r="A21" s="94"/>
      <c r="B21" s="94"/>
      <c r="C21" s="43"/>
      <c r="D21" s="43"/>
      <c r="E21" s="43"/>
      <c r="F21" s="43"/>
      <c r="G21" s="43"/>
      <c r="H21" s="43"/>
      <c r="I21" s="43"/>
      <c r="J21" s="43"/>
      <c r="K21" s="43"/>
      <c r="L21" s="43"/>
      <c r="M21" s="43"/>
      <c r="N21" s="43"/>
      <c r="O21" s="43"/>
      <c r="P21" s="43"/>
      <c r="Q21" s="43"/>
      <c r="R21" s="43"/>
      <c r="S21" s="43"/>
      <c r="T21" s="43"/>
      <c r="U21" s="43"/>
      <c r="V21" s="43"/>
      <c r="W21" s="43"/>
      <c r="X21" s="43"/>
      <c r="Y21" s="43"/>
      <c r="Z21" s="43"/>
    </row>
    <row r="22">
      <c r="A22" s="94"/>
      <c r="B22" s="94"/>
      <c r="C22" s="43"/>
      <c r="D22" s="43"/>
      <c r="E22" s="43"/>
      <c r="F22" s="43"/>
      <c r="G22" s="43"/>
      <c r="H22" s="43"/>
      <c r="I22" s="43"/>
      <c r="J22" s="43"/>
      <c r="K22" s="43"/>
      <c r="L22" s="43"/>
      <c r="M22" s="43"/>
      <c r="N22" s="43"/>
      <c r="O22" s="43"/>
      <c r="P22" s="43"/>
      <c r="Q22" s="43"/>
      <c r="R22" s="43"/>
      <c r="S22" s="43"/>
      <c r="T22" s="43"/>
      <c r="U22" s="43"/>
      <c r="V22" s="43"/>
      <c r="W22" s="43"/>
      <c r="X22" s="43"/>
      <c r="Y22" s="43"/>
      <c r="Z22" s="43"/>
    </row>
    <row r="23">
      <c r="A23" s="94"/>
      <c r="B23" s="94"/>
      <c r="C23" s="43"/>
      <c r="D23" s="43"/>
      <c r="E23" s="43"/>
      <c r="F23" s="43"/>
      <c r="G23" s="43"/>
      <c r="H23" s="43"/>
      <c r="I23" s="43"/>
      <c r="J23" s="43"/>
      <c r="K23" s="43"/>
      <c r="L23" s="43"/>
      <c r="M23" s="43"/>
      <c r="N23" s="43"/>
      <c r="O23" s="43"/>
      <c r="P23" s="43"/>
      <c r="Q23" s="43"/>
      <c r="R23" s="43"/>
      <c r="S23" s="43"/>
      <c r="T23" s="43"/>
      <c r="U23" s="43"/>
      <c r="V23" s="43"/>
      <c r="W23" s="43"/>
      <c r="X23" s="43"/>
      <c r="Y23" s="43"/>
      <c r="Z23" s="43"/>
    </row>
    <row r="24">
      <c r="A24" s="94"/>
      <c r="B24" s="94"/>
      <c r="C24" s="43"/>
      <c r="D24" s="43"/>
      <c r="E24" s="43"/>
      <c r="F24" s="43"/>
      <c r="G24" s="43"/>
      <c r="H24" s="43"/>
      <c r="I24" s="43"/>
      <c r="J24" s="43"/>
      <c r="K24" s="43"/>
      <c r="L24" s="43"/>
      <c r="M24" s="43"/>
      <c r="N24" s="43"/>
      <c r="O24" s="43"/>
      <c r="P24" s="43"/>
      <c r="Q24" s="43"/>
      <c r="R24" s="43"/>
      <c r="S24" s="43"/>
      <c r="T24" s="43"/>
      <c r="U24" s="43"/>
      <c r="V24" s="43"/>
      <c r="W24" s="43"/>
      <c r="X24" s="43"/>
      <c r="Y24" s="43"/>
      <c r="Z24" s="43"/>
    </row>
    <row r="25">
      <c r="A25" s="94"/>
      <c r="B25" s="94"/>
      <c r="C25" s="43"/>
      <c r="D25" s="43"/>
      <c r="E25" s="43"/>
      <c r="F25" s="43"/>
      <c r="G25" s="43"/>
      <c r="H25" s="43"/>
      <c r="I25" s="43"/>
      <c r="J25" s="43"/>
      <c r="K25" s="43"/>
      <c r="L25" s="43"/>
      <c r="M25" s="43"/>
      <c r="N25" s="43"/>
      <c r="O25" s="43"/>
      <c r="P25" s="43"/>
      <c r="Q25" s="43"/>
      <c r="R25" s="43"/>
      <c r="S25" s="43"/>
      <c r="T25" s="43"/>
      <c r="U25" s="43"/>
      <c r="V25" s="43"/>
      <c r="W25" s="43"/>
      <c r="X25" s="43"/>
      <c r="Y25" s="43"/>
      <c r="Z25" s="43"/>
    </row>
    <row r="26">
      <c r="A26" s="94"/>
      <c r="B26" s="94"/>
      <c r="C26" s="43"/>
      <c r="D26" s="43"/>
      <c r="E26" s="43"/>
      <c r="F26" s="43"/>
      <c r="G26" s="43"/>
      <c r="H26" s="43"/>
      <c r="I26" s="43"/>
      <c r="J26" s="43"/>
      <c r="K26" s="43"/>
      <c r="L26" s="43"/>
      <c r="M26" s="43"/>
      <c r="N26" s="43"/>
      <c r="O26" s="43"/>
      <c r="P26" s="43"/>
      <c r="Q26" s="43"/>
      <c r="R26" s="43"/>
      <c r="S26" s="43"/>
      <c r="T26" s="43"/>
      <c r="U26" s="43"/>
      <c r="V26" s="43"/>
      <c r="W26" s="43"/>
      <c r="X26" s="43"/>
      <c r="Y26" s="43"/>
      <c r="Z26" s="43"/>
    </row>
    <row r="27">
      <c r="A27" s="94"/>
      <c r="B27" s="94"/>
      <c r="C27" s="43"/>
      <c r="D27" s="43"/>
      <c r="E27" s="43"/>
      <c r="F27" s="43"/>
      <c r="G27" s="43"/>
      <c r="H27" s="43"/>
      <c r="I27" s="43"/>
      <c r="J27" s="43"/>
      <c r="K27" s="43"/>
      <c r="L27" s="43"/>
      <c r="M27" s="43"/>
      <c r="N27" s="43"/>
      <c r="O27" s="43"/>
      <c r="P27" s="43"/>
      <c r="Q27" s="43"/>
      <c r="R27" s="43"/>
      <c r="S27" s="43"/>
      <c r="T27" s="43"/>
      <c r="U27" s="43"/>
      <c r="V27" s="43"/>
      <c r="W27" s="43"/>
      <c r="X27" s="43"/>
      <c r="Y27" s="43"/>
      <c r="Z27" s="43"/>
    </row>
    <row r="28">
      <c r="A28" s="94"/>
      <c r="B28" s="94"/>
      <c r="C28" s="43"/>
      <c r="D28" s="43"/>
      <c r="E28" s="43"/>
      <c r="F28" s="43"/>
      <c r="G28" s="43"/>
      <c r="H28" s="43"/>
      <c r="I28" s="43"/>
      <c r="J28" s="43"/>
      <c r="K28" s="43"/>
      <c r="L28" s="43"/>
      <c r="M28" s="43"/>
      <c r="N28" s="43"/>
      <c r="O28" s="43"/>
      <c r="P28" s="43"/>
      <c r="Q28" s="43"/>
      <c r="R28" s="43"/>
      <c r="S28" s="43"/>
      <c r="T28" s="43"/>
      <c r="U28" s="43"/>
      <c r="V28" s="43"/>
      <c r="W28" s="43"/>
      <c r="X28" s="43"/>
      <c r="Y28" s="43"/>
      <c r="Z28" s="43"/>
    </row>
    <row r="29">
      <c r="A29" s="94"/>
      <c r="B29" s="94"/>
      <c r="C29" s="43"/>
      <c r="D29" s="43"/>
      <c r="E29" s="43"/>
      <c r="F29" s="43"/>
      <c r="G29" s="43"/>
      <c r="H29" s="43"/>
      <c r="I29" s="43"/>
      <c r="J29" s="43"/>
      <c r="K29" s="43"/>
      <c r="L29" s="43"/>
      <c r="M29" s="43"/>
      <c r="N29" s="43"/>
      <c r="O29" s="43"/>
      <c r="P29" s="43"/>
      <c r="Q29" s="43"/>
      <c r="R29" s="43"/>
      <c r="S29" s="43"/>
      <c r="T29" s="43"/>
      <c r="U29" s="43"/>
      <c r="V29" s="43"/>
      <c r="W29" s="43"/>
      <c r="X29" s="43"/>
      <c r="Y29" s="43"/>
      <c r="Z29" s="43"/>
    </row>
    <row r="30">
      <c r="A30" s="94"/>
      <c r="B30" s="94"/>
      <c r="C30" s="43"/>
      <c r="D30" s="43"/>
      <c r="E30" s="43"/>
      <c r="F30" s="43"/>
      <c r="G30" s="43"/>
      <c r="H30" s="43"/>
      <c r="I30" s="43"/>
      <c r="J30" s="43"/>
      <c r="K30" s="43"/>
      <c r="L30" s="43"/>
      <c r="M30" s="43"/>
      <c r="N30" s="43"/>
      <c r="O30" s="43"/>
      <c r="P30" s="43"/>
      <c r="Q30" s="43"/>
      <c r="R30" s="43"/>
      <c r="S30" s="43"/>
      <c r="T30" s="43"/>
      <c r="U30" s="43"/>
      <c r="V30" s="43"/>
      <c r="W30" s="43"/>
      <c r="X30" s="43"/>
      <c r="Y30" s="43"/>
      <c r="Z30" s="43"/>
    </row>
    <row r="31">
      <c r="A31" s="94"/>
      <c r="B31" s="94"/>
      <c r="C31" s="43"/>
      <c r="D31" s="43"/>
      <c r="E31" s="43"/>
      <c r="F31" s="43"/>
      <c r="G31" s="43"/>
      <c r="H31" s="43"/>
      <c r="I31" s="43"/>
      <c r="J31" s="43"/>
      <c r="K31" s="43"/>
      <c r="L31" s="43"/>
      <c r="M31" s="43"/>
      <c r="N31" s="43"/>
      <c r="O31" s="43"/>
      <c r="P31" s="43"/>
      <c r="Q31" s="43"/>
      <c r="R31" s="43"/>
      <c r="S31" s="43"/>
      <c r="T31" s="43"/>
      <c r="U31" s="43"/>
      <c r="V31" s="43"/>
      <c r="W31" s="43"/>
      <c r="X31" s="43"/>
      <c r="Y31" s="43"/>
      <c r="Z31" s="43"/>
    </row>
    <row r="32">
      <c r="A32" s="94"/>
      <c r="B32" s="94"/>
      <c r="C32" s="43"/>
      <c r="D32" s="43"/>
      <c r="E32" s="43"/>
      <c r="F32" s="43"/>
      <c r="G32" s="43"/>
      <c r="H32" s="43"/>
      <c r="I32" s="43"/>
      <c r="J32" s="43"/>
      <c r="K32" s="43"/>
      <c r="L32" s="43"/>
      <c r="M32" s="43"/>
      <c r="N32" s="43"/>
      <c r="O32" s="43"/>
      <c r="P32" s="43"/>
      <c r="Q32" s="43"/>
      <c r="R32" s="43"/>
      <c r="S32" s="43"/>
      <c r="T32" s="43"/>
      <c r="U32" s="43"/>
      <c r="V32" s="43"/>
      <c r="W32" s="43"/>
      <c r="X32" s="43"/>
      <c r="Y32" s="43"/>
      <c r="Z32" s="43"/>
    </row>
    <row r="33">
      <c r="A33" s="94"/>
      <c r="B33" s="94"/>
      <c r="C33" s="43"/>
      <c r="D33" s="43"/>
      <c r="E33" s="43"/>
      <c r="F33" s="43"/>
      <c r="G33" s="43"/>
      <c r="H33" s="43"/>
      <c r="I33" s="43"/>
      <c r="J33" s="43"/>
      <c r="K33" s="43"/>
      <c r="L33" s="43"/>
      <c r="M33" s="43"/>
      <c r="N33" s="43"/>
      <c r="O33" s="43"/>
      <c r="P33" s="43"/>
      <c r="Q33" s="43"/>
      <c r="R33" s="43"/>
      <c r="S33" s="43"/>
      <c r="T33" s="43"/>
      <c r="U33" s="43"/>
      <c r="V33" s="43"/>
      <c r="W33" s="43"/>
      <c r="X33" s="43"/>
      <c r="Y33" s="43"/>
      <c r="Z33" s="43"/>
    </row>
    <row r="34">
      <c r="A34" s="94"/>
      <c r="B34" s="94"/>
      <c r="C34" s="43"/>
      <c r="D34" s="43"/>
      <c r="E34" s="43"/>
      <c r="F34" s="43"/>
      <c r="G34" s="43"/>
      <c r="H34" s="43"/>
      <c r="I34" s="43"/>
      <c r="J34" s="43"/>
      <c r="K34" s="43"/>
      <c r="L34" s="43"/>
      <c r="M34" s="43"/>
      <c r="N34" s="43"/>
      <c r="O34" s="43"/>
      <c r="P34" s="43"/>
      <c r="Q34" s="43"/>
      <c r="R34" s="43"/>
      <c r="S34" s="43"/>
      <c r="T34" s="43"/>
      <c r="U34" s="43"/>
      <c r="V34" s="43"/>
      <c r="W34" s="43"/>
      <c r="X34" s="43"/>
      <c r="Y34" s="43"/>
      <c r="Z34" s="43"/>
    </row>
    <row r="35">
      <c r="A35" s="94"/>
      <c r="B35" s="94"/>
      <c r="C35" s="43"/>
      <c r="D35" s="43"/>
      <c r="E35" s="43"/>
      <c r="F35" s="43"/>
      <c r="G35" s="43"/>
      <c r="H35" s="43"/>
      <c r="I35" s="43"/>
      <c r="J35" s="43"/>
      <c r="K35" s="43"/>
      <c r="L35" s="43"/>
      <c r="M35" s="43"/>
      <c r="N35" s="43"/>
      <c r="O35" s="43"/>
      <c r="P35" s="43"/>
      <c r="Q35" s="43"/>
      <c r="R35" s="43"/>
      <c r="S35" s="43"/>
      <c r="T35" s="43"/>
      <c r="U35" s="43"/>
      <c r="V35" s="43"/>
      <c r="W35" s="43"/>
      <c r="X35" s="43"/>
      <c r="Y35" s="43"/>
      <c r="Z35" s="43"/>
    </row>
    <row r="36">
      <c r="A36" s="94"/>
      <c r="B36" s="94"/>
      <c r="C36" s="43"/>
      <c r="D36" s="43"/>
      <c r="E36" s="43"/>
      <c r="F36" s="43"/>
      <c r="G36" s="43"/>
      <c r="H36" s="43"/>
      <c r="I36" s="43"/>
      <c r="J36" s="43"/>
      <c r="K36" s="43"/>
      <c r="L36" s="43"/>
      <c r="M36" s="43"/>
      <c r="N36" s="43"/>
      <c r="O36" s="43"/>
      <c r="P36" s="43"/>
      <c r="Q36" s="43"/>
      <c r="R36" s="43"/>
      <c r="S36" s="43"/>
      <c r="T36" s="43"/>
      <c r="U36" s="43"/>
      <c r="V36" s="43"/>
      <c r="W36" s="43"/>
      <c r="X36" s="43"/>
      <c r="Y36" s="43"/>
      <c r="Z36" s="43"/>
    </row>
    <row r="37">
      <c r="A37" s="94"/>
      <c r="B37" s="94"/>
      <c r="C37" s="43"/>
      <c r="D37" s="43"/>
      <c r="E37" s="43"/>
      <c r="F37" s="43"/>
      <c r="G37" s="43"/>
      <c r="H37" s="43"/>
      <c r="I37" s="43"/>
      <c r="J37" s="43"/>
      <c r="K37" s="43"/>
      <c r="L37" s="43"/>
      <c r="M37" s="43"/>
      <c r="N37" s="43"/>
      <c r="O37" s="43"/>
      <c r="P37" s="43"/>
      <c r="Q37" s="43"/>
      <c r="R37" s="43"/>
      <c r="S37" s="43"/>
      <c r="T37" s="43"/>
      <c r="U37" s="43"/>
      <c r="V37" s="43"/>
      <c r="W37" s="43"/>
      <c r="X37" s="43"/>
      <c r="Y37" s="43"/>
      <c r="Z37" s="43"/>
    </row>
    <row r="38">
      <c r="A38" s="94"/>
      <c r="B38" s="94"/>
      <c r="C38" s="43"/>
      <c r="D38" s="43"/>
      <c r="E38" s="43"/>
      <c r="F38" s="43"/>
      <c r="G38" s="43"/>
      <c r="H38" s="43"/>
      <c r="I38" s="43"/>
      <c r="J38" s="43"/>
      <c r="K38" s="43"/>
      <c r="L38" s="43"/>
      <c r="M38" s="43"/>
      <c r="N38" s="43"/>
      <c r="O38" s="43"/>
      <c r="P38" s="43"/>
      <c r="Q38" s="43"/>
      <c r="R38" s="43"/>
      <c r="S38" s="43"/>
      <c r="T38" s="43"/>
      <c r="U38" s="43"/>
      <c r="V38" s="43"/>
      <c r="W38" s="43"/>
      <c r="X38" s="43"/>
      <c r="Y38" s="43"/>
      <c r="Z38" s="43"/>
    </row>
    <row r="39">
      <c r="A39" s="94"/>
      <c r="B39" s="94"/>
      <c r="C39" s="43"/>
      <c r="D39" s="43"/>
      <c r="E39" s="43"/>
      <c r="F39" s="43"/>
      <c r="G39" s="43"/>
      <c r="H39" s="43"/>
      <c r="I39" s="43"/>
      <c r="J39" s="43"/>
      <c r="K39" s="43"/>
      <c r="L39" s="43"/>
      <c r="M39" s="43"/>
      <c r="N39" s="43"/>
      <c r="O39" s="43"/>
      <c r="P39" s="43"/>
      <c r="Q39" s="43"/>
      <c r="R39" s="43"/>
      <c r="S39" s="43"/>
      <c r="T39" s="43"/>
      <c r="U39" s="43"/>
      <c r="V39" s="43"/>
      <c r="W39" s="43"/>
      <c r="X39" s="43"/>
      <c r="Y39" s="43"/>
      <c r="Z39" s="43"/>
    </row>
    <row r="40">
      <c r="A40" s="94"/>
      <c r="B40" s="94"/>
      <c r="C40" s="43"/>
      <c r="D40" s="43"/>
      <c r="E40" s="43"/>
      <c r="F40" s="43"/>
      <c r="G40" s="43"/>
      <c r="H40" s="43"/>
      <c r="I40" s="43"/>
      <c r="J40" s="43"/>
      <c r="K40" s="43"/>
      <c r="L40" s="43"/>
      <c r="M40" s="43"/>
      <c r="N40" s="43"/>
      <c r="O40" s="43"/>
      <c r="P40" s="43"/>
      <c r="Q40" s="43"/>
      <c r="R40" s="43"/>
      <c r="S40" s="43"/>
      <c r="T40" s="43"/>
      <c r="U40" s="43"/>
      <c r="V40" s="43"/>
      <c r="W40" s="43"/>
      <c r="X40" s="43"/>
      <c r="Y40" s="43"/>
      <c r="Z40" s="43"/>
    </row>
    <row r="41">
      <c r="A41" s="94"/>
      <c r="B41" s="94"/>
      <c r="C41" s="43"/>
      <c r="D41" s="43"/>
      <c r="E41" s="43"/>
      <c r="F41" s="43"/>
      <c r="G41" s="43"/>
      <c r="H41" s="43"/>
      <c r="I41" s="43"/>
      <c r="J41" s="43"/>
      <c r="K41" s="43"/>
      <c r="L41" s="43"/>
      <c r="M41" s="43"/>
      <c r="N41" s="43"/>
      <c r="O41" s="43"/>
      <c r="P41" s="43"/>
      <c r="Q41" s="43"/>
      <c r="R41" s="43"/>
      <c r="S41" s="43"/>
      <c r="T41" s="43"/>
      <c r="U41" s="43"/>
      <c r="V41" s="43"/>
      <c r="W41" s="43"/>
      <c r="X41" s="43"/>
      <c r="Y41" s="43"/>
      <c r="Z41" s="43"/>
    </row>
    <row r="42">
      <c r="A42" s="94"/>
      <c r="B42" s="94"/>
      <c r="C42" s="43"/>
      <c r="D42" s="43"/>
      <c r="E42" s="43"/>
      <c r="F42" s="43"/>
      <c r="G42" s="43"/>
      <c r="H42" s="43"/>
      <c r="I42" s="43"/>
      <c r="J42" s="43"/>
      <c r="K42" s="43"/>
      <c r="L42" s="43"/>
      <c r="M42" s="43"/>
      <c r="N42" s="43"/>
      <c r="O42" s="43"/>
      <c r="P42" s="43"/>
      <c r="Q42" s="43"/>
      <c r="R42" s="43"/>
      <c r="S42" s="43"/>
      <c r="T42" s="43"/>
      <c r="U42" s="43"/>
      <c r="V42" s="43"/>
      <c r="W42" s="43"/>
      <c r="X42" s="43"/>
      <c r="Y42" s="43"/>
      <c r="Z42" s="43"/>
    </row>
    <row r="43">
      <c r="A43" s="94"/>
      <c r="B43" s="94"/>
      <c r="C43" s="43"/>
      <c r="D43" s="43"/>
      <c r="E43" s="43"/>
      <c r="F43" s="43"/>
      <c r="G43" s="43"/>
      <c r="H43" s="43"/>
      <c r="I43" s="43"/>
      <c r="J43" s="43"/>
      <c r="K43" s="43"/>
      <c r="L43" s="43"/>
      <c r="M43" s="43"/>
      <c r="N43" s="43"/>
      <c r="O43" s="43"/>
      <c r="P43" s="43"/>
      <c r="Q43" s="43"/>
      <c r="R43" s="43"/>
      <c r="S43" s="43"/>
      <c r="T43" s="43"/>
      <c r="U43" s="43"/>
      <c r="V43" s="43"/>
      <c r="W43" s="43"/>
      <c r="X43" s="43"/>
      <c r="Y43" s="43"/>
      <c r="Z43" s="43"/>
    </row>
    <row r="44">
      <c r="A44" s="94"/>
      <c r="B44" s="94"/>
      <c r="C44" s="43"/>
      <c r="D44" s="43"/>
      <c r="E44" s="43"/>
      <c r="F44" s="43"/>
      <c r="G44" s="43"/>
      <c r="H44" s="43"/>
      <c r="I44" s="43"/>
      <c r="J44" s="43"/>
      <c r="K44" s="43"/>
      <c r="L44" s="43"/>
      <c r="M44" s="43"/>
      <c r="N44" s="43"/>
      <c r="O44" s="43"/>
      <c r="P44" s="43"/>
      <c r="Q44" s="43"/>
      <c r="R44" s="43"/>
      <c r="S44" s="43"/>
      <c r="T44" s="43"/>
      <c r="U44" s="43"/>
      <c r="V44" s="43"/>
      <c r="W44" s="43"/>
      <c r="X44" s="43"/>
      <c r="Y44" s="43"/>
      <c r="Z44" s="43"/>
    </row>
    <row r="45">
      <c r="A45" s="94"/>
      <c r="B45" s="94"/>
      <c r="C45" s="43"/>
      <c r="D45" s="43"/>
      <c r="E45" s="43"/>
      <c r="F45" s="43"/>
      <c r="G45" s="43"/>
      <c r="H45" s="43"/>
      <c r="I45" s="43"/>
      <c r="J45" s="43"/>
      <c r="K45" s="43"/>
      <c r="L45" s="43"/>
      <c r="M45" s="43"/>
      <c r="N45" s="43"/>
      <c r="O45" s="43"/>
      <c r="P45" s="43"/>
      <c r="Q45" s="43"/>
      <c r="R45" s="43"/>
      <c r="S45" s="43"/>
      <c r="T45" s="43"/>
      <c r="U45" s="43"/>
      <c r="V45" s="43"/>
      <c r="W45" s="43"/>
      <c r="X45" s="43"/>
      <c r="Y45" s="43"/>
      <c r="Z45" s="43"/>
    </row>
    <row r="46">
      <c r="A46" s="94"/>
      <c r="B46" s="94"/>
      <c r="C46" s="43"/>
      <c r="D46" s="43"/>
      <c r="E46" s="43"/>
      <c r="F46" s="43"/>
      <c r="G46" s="43"/>
      <c r="H46" s="43"/>
      <c r="I46" s="43"/>
      <c r="J46" s="43"/>
      <c r="K46" s="43"/>
      <c r="L46" s="43"/>
      <c r="M46" s="43"/>
      <c r="N46" s="43"/>
      <c r="O46" s="43"/>
      <c r="P46" s="43"/>
      <c r="Q46" s="43"/>
      <c r="R46" s="43"/>
      <c r="S46" s="43"/>
      <c r="T46" s="43"/>
      <c r="U46" s="43"/>
      <c r="V46" s="43"/>
      <c r="W46" s="43"/>
      <c r="X46" s="43"/>
      <c r="Y46" s="43"/>
      <c r="Z46" s="43"/>
    </row>
    <row r="47">
      <c r="A47" s="94"/>
      <c r="B47" s="94"/>
      <c r="C47" s="43"/>
      <c r="D47" s="43"/>
      <c r="E47" s="43"/>
      <c r="F47" s="43"/>
      <c r="G47" s="43"/>
      <c r="H47" s="43"/>
      <c r="I47" s="43"/>
      <c r="J47" s="43"/>
      <c r="K47" s="43"/>
      <c r="L47" s="43"/>
      <c r="M47" s="43"/>
      <c r="N47" s="43"/>
      <c r="O47" s="43"/>
      <c r="P47" s="43"/>
      <c r="Q47" s="43"/>
      <c r="R47" s="43"/>
      <c r="S47" s="43"/>
      <c r="T47" s="43"/>
      <c r="U47" s="43"/>
      <c r="V47" s="43"/>
      <c r="W47" s="43"/>
      <c r="X47" s="43"/>
      <c r="Y47" s="43"/>
      <c r="Z47" s="43"/>
    </row>
    <row r="48">
      <c r="A48" s="94"/>
      <c r="B48" s="94"/>
      <c r="C48" s="43"/>
      <c r="D48" s="43"/>
      <c r="E48" s="43"/>
      <c r="F48" s="43"/>
      <c r="G48" s="43"/>
      <c r="H48" s="43"/>
      <c r="I48" s="43"/>
      <c r="J48" s="43"/>
      <c r="K48" s="43"/>
      <c r="L48" s="43"/>
      <c r="M48" s="43"/>
      <c r="N48" s="43"/>
      <c r="O48" s="43"/>
      <c r="P48" s="43"/>
      <c r="Q48" s="43"/>
      <c r="R48" s="43"/>
      <c r="S48" s="43"/>
      <c r="T48" s="43"/>
      <c r="U48" s="43"/>
      <c r="V48" s="43"/>
      <c r="W48" s="43"/>
      <c r="X48" s="43"/>
      <c r="Y48" s="43"/>
      <c r="Z48" s="43"/>
    </row>
    <row r="49">
      <c r="A49" s="94"/>
      <c r="B49" s="94"/>
      <c r="C49" s="43"/>
      <c r="D49" s="43"/>
      <c r="E49" s="43"/>
      <c r="F49" s="43"/>
      <c r="G49" s="43"/>
      <c r="H49" s="43"/>
      <c r="I49" s="43"/>
      <c r="J49" s="43"/>
      <c r="K49" s="43"/>
      <c r="L49" s="43"/>
      <c r="M49" s="43"/>
      <c r="N49" s="43"/>
      <c r="O49" s="43"/>
      <c r="P49" s="43"/>
      <c r="Q49" s="43"/>
      <c r="R49" s="43"/>
      <c r="S49" s="43"/>
      <c r="T49" s="43"/>
      <c r="U49" s="43"/>
      <c r="V49" s="43"/>
      <c r="W49" s="43"/>
      <c r="X49" s="43"/>
      <c r="Y49" s="43"/>
      <c r="Z49" s="43"/>
    </row>
    <row r="50">
      <c r="A50" s="94"/>
      <c r="B50" s="94"/>
      <c r="C50" s="43"/>
      <c r="D50" s="43"/>
      <c r="E50" s="43"/>
      <c r="F50" s="43"/>
      <c r="G50" s="43"/>
      <c r="H50" s="43"/>
      <c r="I50" s="43"/>
      <c r="J50" s="43"/>
      <c r="K50" s="43"/>
      <c r="L50" s="43"/>
      <c r="M50" s="43"/>
      <c r="N50" s="43"/>
      <c r="O50" s="43"/>
      <c r="P50" s="43"/>
      <c r="Q50" s="43"/>
      <c r="R50" s="43"/>
      <c r="S50" s="43"/>
      <c r="T50" s="43"/>
      <c r="U50" s="43"/>
      <c r="V50" s="43"/>
      <c r="W50" s="43"/>
      <c r="X50" s="43"/>
      <c r="Y50" s="43"/>
      <c r="Z50" s="43"/>
    </row>
    <row r="51">
      <c r="A51" s="94"/>
      <c r="B51" s="94"/>
      <c r="C51" s="43"/>
      <c r="D51" s="43"/>
      <c r="E51" s="43"/>
      <c r="F51" s="43"/>
      <c r="G51" s="43"/>
      <c r="H51" s="43"/>
      <c r="I51" s="43"/>
      <c r="J51" s="43"/>
      <c r="K51" s="43"/>
      <c r="L51" s="43"/>
      <c r="M51" s="43"/>
      <c r="N51" s="43"/>
      <c r="O51" s="43"/>
      <c r="P51" s="43"/>
      <c r="Q51" s="43"/>
      <c r="R51" s="43"/>
      <c r="S51" s="43"/>
      <c r="T51" s="43"/>
      <c r="U51" s="43"/>
      <c r="V51" s="43"/>
      <c r="W51" s="43"/>
      <c r="X51" s="43"/>
      <c r="Y51" s="43"/>
      <c r="Z51" s="43"/>
    </row>
    <row r="52">
      <c r="A52" s="94"/>
      <c r="B52" s="94"/>
      <c r="C52" s="43"/>
      <c r="D52" s="43"/>
      <c r="E52" s="43"/>
      <c r="F52" s="43"/>
      <c r="G52" s="43"/>
      <c r="H52" s="43"/>
      <c r="I52" s="43"/>
      <c r="J52" s="43"/>
      <c r="K52" s="43"/>
      <c r="L52" s="43"/>
      <c r="M52" s="43"/>
      <c r="N52" s="43"/>
      <c r="O52" s="43"/>
      <c r="P52" s="43"/>
      <c r="Q52" s="43"/>
      <c r="R52" s="43"/>
      <c r="S52" s="43"/>
      <c r="T52" s="43"/>
      <c r="U52" s="43"/>
      <c r="V52" s="43"/>
      <c r="W52" s="43"/>
      <c r="X52" s="43"/>
      <c r="Y52" s="43"/>
      <c r="Z52" s="43"/>
    </row>
    <row r="53">
      <c r="A53" s="94"/>
      <c r="B53" s="94"/>
      <c r="C53" s="43"/>
      <c r="D53" s="43"/>
      <c r="E53" s="43"/>
      <c r="F53" s="43"/>
      <c r="G53" s="43"/>
      <c r="H53" s="43"/>
      <c r="I53" s="43"/>
      <c r="J53" s="43"/>
      <c r="K53" s="43"/>
      <c r="L53" s="43"/>
      <c r="M53" s="43"/>
      <c r="N53" s="43"/>
      <c r="O53" s="43"/>
      <c r="P53" s="43"/>
      <c r="Q53" s="43"/>
      <c r="R53" s="43"/>
      <c r="S53" s="43"/>
      <c r="T53" s="43"/>
      <c r="U53" s="43"/>
      <c r="V53" s="43"/>
      <c r="W53" s="43"/>
      <c r="X53" s="43"/>
      <c r="Y53" s="43"/>
      <c r="Z53" s="43"/>
    </row>
    <row r="54">
      <c r="A54" s="94"/>
      <c r="B54" s="94"/>
      <c r="C54" s="43"/>
      <c r="D54" s="43"/>
      <c r="E54" s="43"/>
      <c r="F54" s="43"/>
      <c r="G54" s="43"/>
      <c r="H54" s="43"/>
      <c r="I54" s="43"/>
      <c r="J54" s="43"/>
      <c r="K54" s="43"/>
      <c r="L54" s="43"/>
      <c r="M54" s="43"/>
      <c r="N54" s="43"/>
      <c r="O54" s="43"/>
      <c r="P54" s="43"/>
      <c r="Q54" s="43"/>
      <c r="R54" s="43"/>
      <c r="S54" s="43"/>
      <c r="T54" s="43"/>
      <c r="U54" s="43"/>
      <c r="V54" s="43"/>
      <c r="W54" s="43"/>
      <c r="X54" s="43"/>
      <c r="Y54" s="43"/>
      <c r="Z54" s="43"/>
    </row>
    <row r="55">
      <c r="A55" s="94"/>
      <c r="B55" s="94"/>
      <c r="C55" s="43"/>
      <c r="D55" s="43"/>
      <c r="E55" s="43"/>
      <c r="F55" s="43"/>
      <c r="G55" s="43"/>
      <c r="H55" s="43"/>
      <c r="I55" s="43"/>
      <c r="J55" s="43"/>
      <c r="K55" s="43"/>
      <c r="L55" s="43"/>
      <c r="M55" s="43"/>
      <c r="N55" s="43"/>
      <c r="O55" s="43"/>
      <c r="P55" s="43"/>
      <c r="Q55" s="43"/>
      <c r="R55" s="43"/>
      <c r="S55" s="43"/>
      <c r="T55" s="43"/>
      <c r="U55" s="43"/>
      <c r="V55" s="43"/>
      <c r="W55" s="43"/>
      <c r="X55" s="43"/>
      <c r="Y55" s="43"/>
      <c r="Z55" s="43"/>
    </row>
    <row r="56">
      <c r="A56" s="94"/>
      <c r="B56" s="94"/>
      <c r="C56" s="43"/>
      <c r="D56" s="43"/>
      <c r="E56" s="43"/>
      <c r="F56" s="43"/>
      <c r="G56" s="43"/>
      <c r="H56" s="43"/>
      <c r="I56" s="43"/>
      <c r="J56" s="43"/>
      <c r="K56" s="43"/>
      <c r="L56" s="43"/>
      <c r="M56" s="43"/>
      <c r="N56" s="43"/>
      <c r="O56" s="43"/>
      <c r="P56" s="43"/>
      <c r="Q56" s="43"/>
      <c r="R56" s="43"/>
      <c r="S56" s="43"/>
      <c r="T56" s="43"/>
      <c r="U56" s="43"/>
      <c r="V56" s="43"/>
      <c r="W56" s="43"/>
      <c r="X56" s="43"/>
      <c r="Y56" s="43"/>
      <c r="Z56" s="43"/>
    </row>
    <row r="57">
      <c r="A57" s="94"/>
      <c r="B57" s="94"/>
      <c r="C57" s="43"/>
      <c r="D57" s="43"/>
      <c r="E57" s="43"/>
      <c r="F57" s="43"/>
      <c r="G57" s="43"/>
      <c r="H57" s="43"/>
      <c r="I57" s="43"/>
      <c r="J57" s="43"/>
      <c r="K57" s="43"/>
      <c r="L57" s="43"/>
      <c r="M57" s="43"/>
      <c r="N57" s="43"/>
      <c r="O57" s="43"/>
      <c r="P57" s="43"/>
      <c r="Q57" s="43"/>
      <c r="R57" s="43"/>
      <c r="S57" s="43"/>
      <c r="T57" s="43"/>
      <c r="U57" s="43"/>
      <c r="V57" s="43"/>
      <c r="W57" s="43"/>
      <c r="X57" s="43"/>
      <c r="Y57" s="43"/>
      <c r="Z57" s="43"/>
    </row>
    <row r="58">
      <c r="A58" s="94"/>
      <c r="B58" s="94"/>
      <c r="C58" s="43"/>
      <c r="D58" s="43"/>
      <c r="E58" s="43"/>
      <c r="F58" s="43"/>
      <c r="G58" s="43"/>
      <c r="H58" s="43"/>
      <c r="I58" s="43"/>
      <c r="J58" s="43"/>
      <c r="K58" s="43"/>
      <c r="L58" s="43"/>
      <c r="M58" s="43"/>
      <c r="N58" s="43"/>
      <c r="O58" s="43"/>
      <c r="P58" s="43"/>
      <c r="Q58" s="43"/>
      <c r="R58" s="43"/>
      <c r="S58" s="43"/>
      <c r="T58" s="43"/>
      <c r="U58" s="43"/>
      <c r="V58" s="43"/>
      <c r="W58" s="43"/>
      <c r="X58" s="43"/>
      <c r="Y58" s="43"/>
      <c r="Z58" s="43"/>
    </row>
    <row r="59">
      <c r="A59" s="94"/>
      <c r="B59" s="94"/>
      <c r="C59" s="43"/>
      <c r="D59" s="43"/>
      <c r="E59" s="43"/>
      <c r="F59" s="43"/>
      <c r="G59" s="43"/>
      <c r="H59" s="43"/>
      <c r="I59" s="43"/>
      <c r="J59" s="43"/>
      <c r="K59" s="43"/>
      <c r="L59" s="43"/>
      <c r="M59" s="43"/>
      <c r="N59" s="43"/>
      <c r="O59" s="43"/>
      <c r="P59" s="43"/>
      <c r="Q59" s="43"/>
      <c r="R59" s="43"/>
      <c r="S59" s="43"/>
      <c r="T59" s="43"/>
      <c r="U59" s="43"/>
      <c r="V59" s="43"/>
      <c r="W59" s="43"/>
      <c r="X59" s="43"/>
      <c r="Y59" s="43"/>
      <c r="Z59" s="43"/>
    </row>
    <row r="60">
      <c r="A60" s="94"/>
      <c r="B60" s="94"/>
      <c r="C60" s="43"/>
      <c r="D60" s="43"/>
      <c r="E60" s="43"/>
      <c r="F60" s="43"/>
      <c r="G60" s="43"/>
      <c r="H60" s="43"/>
      <c r="I60" s="43"/>
      <c r="J60" s="43"/>
      <c r="K60" s="43"/>
      <c r="L60" s="43"/>
      <c r="M60" s="43"/>
      <c r="N60" s="43"/>
      <c r="O60" s="43"/>
      <c r="P60" s="43"/>
      <c r="Q60" s="43"/>
      <c r="R60" s="43"/>
      <c r="S60" s="43"/>
      <c r="T60" s="43"/>
      <c r="U60" s="43"/>
      <c r="V60" s="43"/>
      <c r="W60" s="43"/>
      <c r="X60" s="43"/>
      <c r="Y60" s="43"/>
      <c r="Z60" s="43"/>
    </row>
    <row r="61">
      <c r="A61" s="94"/>
      <c r="B61" s="94"/>
      <c r="C61" s="43"/>
      <c r="D61" s="43"/>
      <c r="E61" s="43"/>
      <c r="F61" s="43"/>
      <c r="G61" s="43"/>
      <c r="H61" s="43"/>
      <c r="I61" s="43"/>
      <c r="J61" s="43"/>
      <c r="K61" s="43"/>
      <c r="L61" s="43"/>
      <c r="M61" s="43"/>
      <c r="N61" s="43"/>
      <c r="O61" s="43"/>
      <c r="P61" s="43"/>
      <c r="Q61" s="43"/>
      <c r="R61" s="43"/>
      <c r="S61" s="43"/>
      <c r="T61" s="43"/>
      <c r="U61" s="43"/>
      <c r="V61" s="43"/>
      <c r="W61" s="43"/>
      <c r="X61" s="43"/>
      <c r="Y61" s="43"/>
      <c r="Z61" s="43"/>
    </row>
    <row r="62">
      <c r="A62" s="94"/>
      <c r="B62" s="94"/>
      <c r="C62" s="43"/>
      <c r="D62" s="43"/>
      <c r="E62" s="43"/>
      <c r="F62" s="43"/>
      <c r="G62" s="43"/>
      <c r="H62" s="43"/>
      <c r="I62" s="43"/>
      <c r="J62" s="43"/>
      <c r="K62" s="43"/>
      <c r="L62" s="43"/>
      <c r="M62" s="43"/>
      <c r="N62" s="43"/>
      <c r="O62" s="43"/>
      <c r="P62" s="43"/>
      <c r="Q62" s="43"/>
      <c r="R62" s="43"/>
      <c r="S62" s="43"/>
      <c r="T62" s="43"/>
      <c r="U62" s="43"/>
      <c r="V62" s="43"/>
      <c r="W62" s="43"/>
      <c r="X62" s="43"/>
      <c r="Y62" s="43"/>
      <c r="Z62" s="43"/>
    </row>
    <row r="63">
      <c r="A63" s="94"/>
      <c r="B63" s="94"/>
      <c r="C63" s="43"/>
      <c r="D63" s="43"/>
      <c r="E63" s="43"/>
      <c r="F63" s="43"/>
      <c r="G63" s="43"/>
      <c r="H63" s="43"/>
      <c r="I63" s="43"/>
      <c r="J63" s="43"/>
      <c r="K63" s="43"/>
      <c r="L63" s="43"/>
      <c r="M63" s="43"/>
      <c r="N63" s="43"/>
      <c r="O63" s="43"/>
      <c r="P63" s="43"/>
      <c r="Q63" s="43"/>
      <c r="R63" s="43"/>
      <c r="S63" s="43"/>
      <c r="T63" s="43"/>
      <c r="U63" s="43"/>
      <c r="V63" s="43"/>
      <c r="W63" s="43"/>
      <c r="X63" s="43"/>
      <c r="Y63" s="43"/>
      <c r="Z63" s="43"/>
    </row>
    <row r="64">
      <c r="A64" s="94"/>
      <c r="B64" s="94"/>
      <c r="C64" s="43"/>
      <c r="D64" s="43"/>
      <c r="E64" s="43"/>
      <c r="F64" s="43"/>
      <c r="G64" s="43"/>
      <c r="H64" s="43"/>
      <c r="I64" s="43"/>
      <c r="J64" s="43"/>
      <c r="K64" s="43"/>
      <c r="L64" s="43"/>
      <c r="M64" s="43"/>
      <c r="N64" s="43"/>
      <c r="O64" s="43"/>
      <c r="P64" s="43"/>
      <c r="Q64" s="43"/>
      <c r="R64" s="43"/>
      <c r="S64" s="43"/>
      <c r="T64" s="43"/>
      <c r="U64" s="43"/>
      <c r="V64" s="43"/>
      <c r="W64" s="43"/>
      <c r="X64" s="43"/>
      <c r="Y64" s="43"/>
      <c r="Z64" s="43"/>
    </row>
    <row r="65">
      <c r="A65" s="94"/>
      <c r="B65" s="94"/>
      <c r="C65" s="43"/>
      <c r="D65" s="43"/>
      <c r="E65" s="43"/>
      <c r="F65" s="43"/>
      <c r="G65" s="43"/>
      <c r="H65" s="43"/>
      <c r="I65" s="43"/>
      <c r="J65" s="43"/>
      <c r="K65" s="43"/>
      <c r="L65" s="43"/>
      <c r="M65" s="43"/>
      <c r="N65" s="43"/>
      <c r="O65" s="43"/>
      <c r="P65" s="43"/>
      <c r="Q65" s="43"/>
      <c r="R65" s="43"/>
      <c r="S65" s="43"/>
      <c r="T65" s="43"/>
      <c r="U65" s="43"/>
      <c r="V65" s="43"/>
      <c r="W65" s="43"/>
      <c r="X65" s="43"/>
      <c r="Y65" s="43"/>
      <c r="Z65" s="43"/>
    </row>
    <row r="66">
      <c r="A66" s="94"/>
      <c r="B66" s="94"/>
      <c r="C66" s="43"/>
      <c r="D66" s="43"/>
      <c r="E66" s="43"/>
      <c r="F66" s="43"/>
      <c r="G66" s="43"/>
      <c r="H66" s="43"/>
      <c r="I66" s="43"/>
      <c r="J66" s="43"/>
      <c r="K66" s="43"/>
      <c r="L66" s="43"/>
      <c r="M66" s="43"/>
      <c r="N66" s="43"/>
      <c r="O66" s="43"/>
      <c r="P66" s="43"/>
      <c r="Q66" s="43"/>
      <c r="R66" s="43"/>
      <c r="S66" s="43"/>
      <c r="T66" s="43"/>
      <c r="U66" s="43"/>
      <c r="V66" s="43"/>
      <c r="W66" s="43"/>
      <c r="X66" s="43"/>
      <c r="Y66" s="43"/>
      <c r="Z66" s="43"/>
    </row>
    <row r="67">
      <c r="A67" s="94"/>
      <c r="B67" s="94"/>
      <c r="C67" s="43"/>
      <c r="D67" s="43"/>
      <c r="E67" s="43"/>
      <c r="F67" s="43"/>
      <c r="G67" s="43"/>
      <c r="H67" s="43"/>
      <c r="I67" s="43"/>
      <c r="J67" s="43"/>
      <c r="K67" s="43"/>
      <c r="L67" s="43"/>
      <c r="M67" s="43"/>
      <c r="N67" s="43"/>
      <c r="O67" s="43"/>
      <c r="P67" s="43"/>
      <c r="Q67" s="43"/>
      <c r="R67" s="43"/>
      <c r="S67" s="43"/>
      <c r="T67" s="43"/>
      <c r="U67" s="43"/>
      <c r="V67" s="43"/>
      <c r="W67" s="43"/>
      <c r="X67" s="43"/>
      <c r="Y67" s="43"/>
      <c r="Z67" s="43"/>
    </row>
    <row r="68">
      <c r="A68" s="94"/>
      <c r="B68" s="94"/>
      <c r="C68" s="43"/>
      <c r="D68" s="43"/>
      <c r="E68" s="43"/>
      <c r="F68" s="43"/>
      <c r="G68" s="43"/>
      <c r="H68" s="43"/>
      <c r="I68" s="43"/>
      <c r="J68" s="43"/>
      <c r="K68" s="43"/>
      <c r="L68" s="43"/>
      <c r="M68" s="43"/>
      <c r="N68" s="43"/>
      <c r="O68" s="43"/>
      <c r="P68" s="43"/>
      <c r="Q68" s="43"/>
      <c r="R68" s="43"/>
      <c r="S68" s="43"/>
      <c r="T68" s="43"/>
      <c r="U68" s="43"/>
      <c r="V68" s="43"/>
      <c r="W68" s="43"/>
      <c r="X68" s="43"/>
      <c r="Y68" s="43"/>
      <c r="Z68" s="43"/>
    </row>
    <row r="69">
      <c r="A69" s="94"/>
      <c r="B69" s="94"/>
      <c r="C69" s="43"/>
      <c r="D69" s="43"/>
      <c r="E69" s="43"/>
      <c r="F69" s="43"/>
      <c r="G69" s="43"/>
      <c r="H69" s="43"/>
      <c r="I69" s="43"/>
      <c r="J69" s="43"/>
      <c r="K69" s="43"/>
      <c r="L69" s="43"/>
      <c r="M69" s="43"/>
      <c r="N69" s="43"/>
      <c r="O69" s="43"/>
      <c r="P69" s="43"/>
      <c r="Q69" s="43"/>
      <c r="R69" s="43"/>
      <c r="S69" s="43"/>
      <c r="T69" s="43"/>
      <c r="U69" s="43"/>
      <c r="V69" s="43"/>
      <c r="W69" s="43"/>
      <c r="X69" s="43"/>
      <c r="Y69" s="43"/>
      <c r="Z69" s="43"/>
    </row>
    <row r="70">
      <c r="A70" s="94"/>
      <c r="B70" s="94"/>
      <c r="C70" s="43"/>
      <c r="D70" s="43"/>
      <c r="E70" s="43"/>
      <c r="F70" s="43"/>
      <c r="G70" s="43"/>
      <c r="H70" s="43"/>
      <c r="I70" s="43"/>
      <c r="J70" s="43"/>
      <c r="K70" s="43"/>
      <c r="L70" s="43"/>
      <c r="M70" s="43"/>
      <c r="N70" s="43"/>
      <c r="O70" s="43"/>
      <c r="P70" s="43"/>
      <c r="Q70" s="43"/>
      <c r="R70" s="43"/>
      <c r="S70" s="43"/>
      <c r="T70" s="43"/>
      <c r="U70" s="43"/>
      <c r="V70" s="43"/>
      <c r="W70" s="43"/>
      <c r="X70" s="43"/>
      <c r="Y70" s="43"/>
      <c r="Z70" s="43"/>
    </row>
    <row r="71">
      <c r="A71" s="94"/>
      <c r="B71" s="94"/>
      <c r="C71" s="43"/>
      <c r="D71" s="43"/>
      <c r="E71" s="43"/>
      <c r="F71" s="43"/>
      <c r="G71" s="43"/>
      <c r="H71" s="43"/>
      <c r="I71" s="43"/>
      <c r="J71" s="43"/>
      <c r="K71" s="43"/>
      <c r="L71" s="43"/>
      <c r="M71" s="43"/>
      <c r="N71" s="43"/>
      <c r="O71" s="43"/>
      <c r="P71" s="43"/>
      <c r="Q71" s="43"/>
      <c r="R71" s="43"/>
      <c r="S71" s="43"/>
      <c r="T71" s="43"/>
      <c r="U71" s="43"/>
      <c r="V71" s="43"/>
      <c r="W71" s="43"/>
      <c r="X71" s="43"/>
      <c r="Y71" s="43"/>
      <c r="Z71" s="43"/>
    </row>
    <row r="72">
      <c r="A72" s="94"/>
      <c r="B72" s="94"/>
      <c r="C72" s="43"/>
      <c r="D72" s="43"/>
      <c r="E72" s="43"/>
      <c r="F72" s="43"/>
      <c r="G72" s="43"/>
      <c r="H72" s="43"/>
      <c r="I72" s="43"/>
      <c r="J72" s="43"/>
      <c r="K72" s="43"/>
      <c r="L72" s="43"/>
      <c r="M72" s="43"/>
      <c r="N72" s="43"/>
      <c r="O72" s="43"/>
      <c r="P72" s="43"/>
      <c r="Q72" s="43"/>
      <c r="R72" s="43"/>
      <c r="S72" s="43"/>
      <c r="T72" s="43"/>
      <c r="U72" s="43"/>
      <c r="V72" s="43"/>
      <c r="W72" s="43"/>
      <c r="X72" s="43"/>
      <c r="Y72" s="43"/>
      <c r="Z72" s="43"/>
    </row>
    <row r="73">
      <c r="A73" s="94"/>
      <c r="B73" s="94"/>
      <c r="C73" s="43"/>
      <c r="D73" s="43"/>
      <c r="E73" s="43"/>
      <c r="F73" s="43"/>
      <c r="G73" s="43"/>
      <c r="H73" s="43"/>
      <c r="I73" s="43"/>
      <c r="J73" s="43"/>
      <c r="K73" s="43"/>
      <c r="L73" s="43"/>
      <c r="M73" s="43"/>
      <c r="N73" s="43"/>
      <c r="O73" s="43"/>
      <c r="P73" s="43"/>
      <c r="Q73" s="43"/>
      <c r="R73" s="43"/>
      <c r="S73" s="43"/>
      <c r="T73" s="43"/>
      <c r="U73" s="43"/>
      <c r="V73" s="43"/>
      <c r="W73" s="43"/>
      <c r="X73" s="43"/>
      <c r="Y73" s="43"/>
      <c r="Z73" s="43"/>
    </row>
    <row r="74">
      <c r="A74" s="94"/>
      <c r="B74" s="94"/>
      <c r="C74" s="43"/>
      <c r="D74" s="43"/>
      <c r="E74" s="43"/>
      <c r="F74" s="43"/>
      <c r="G74" s="43"/>
      <c r="H74" s="43"/>
      <c r="I74" s="43"/>
      <c r="J74" s="43"/>
      <c r="K74" s="43"/>
      <c r="L74" s="43"/>
      <c r="M74" s="43"/>
      <c r="N74" s="43"/>
      <c r="O74" s="43"/>
      <c r="P74" s="43"/>
      <c r="Q74" s="43"/>
      <c r="R74" s="43"/>
      <c r="S74" s="43"/>
      <c r="T74" s="43"/>
      <c r="U74" s="43"/>
      <c r="V74" s="43"/>
      <c r="W74" s="43"/>
      <c r="X74" s="43"/>
      <c r="Y74" s="43"/>
      <c r="Z74" s="43"/>
    </row>
    <row r="75">
      <c r="A75" s="94"/>
      <c r="B75" s="94"/>
      <c r="C75" s="43"/>
      <c r="D75" s="43"/>
      <c r="E75" s="43"/>
      <c r="F75" s="43"/>
      <c r="G75" s="43"/>
      <c r="H75" s="43"/>
      <c r="I75" s="43"/>
      <c r="J75" s="43"/>
      <c r="K75" s="43"/>
      <c r="L75" s="43"/>
      <c r="M75" s="43"/>
      <c r="N75" s="43"/>
      <c r="O75" s="43"/>
      <c r="P75" s="43"/>
      <c r="Q75" s="43"/>
      <c r="R75" s="43"/>
      <c r="S75" s="43"/>
      <c r="T75" s="43"/>
      <c r="U75" s="43"/>
      <c r="V75" s="43"/>
      <c r="W75" s="43"/>
      <c r="X75" s="43"/>
      <c r="Y75" s="43"/>
      <c r="Z75" s="43"/>
    </row>
    <row r="76">
      <c r="A76" s="94"/>
      <c r="B76" s="94"/>
      <c r="C76" s="43"/>
      <c r="D76" s="43"/>
      <c r="E76" s="43"/>
      <c r="F76" s="43"/>
      <c r="G76" s="43"/>
      <c r="H76" s="43"/>
      <c r="I76" s="43"/>
      <c r="J76" s="43"/>
      <c r="K76" s="43"/>
      <c r="L76" s="43"/>
      <c r="M76" s="43"/>
      <c r="N76" s="43"/>
      <c r="O76" s="43"/>
      <c r="P76" s="43"/>
      <c r="Q76" s="43"/>
      <c r="R76" s="43"/>
      <c r="S76" s="43"/>
      <c r="T76" s="43"/>
      <c r="U76" s="43"/>
      <c r="V76" s="43"/>
      <c r="W76" s="43"/>
      <c r="X76" s="43"/>
      <c r="Y76" s="43"/>
      <c r="Z76" s="43"/>
    </row>
    <row r="77">
      <c r="A77" s="94"/>
      <c r="B77" s="94"/>
      <c r="C77" s="43"/>
      <c r="D77" s="43"/>
      <c r="E77" s="43"/>
      <c r="F77" s="43"/>
      <c r="G77" s="43"/>
      <c r="H77" s="43"/>
      <c r="I77" s="43"/>
      <c r="J77" s="43"/>
      <c r="K77" s="43"/>
      <c r="L77" s="43"/>
      <c r="M77" s="43"/>
      <c r="N77" s="43"/>
      <c r="O77" s="43"/>
      <c r="P77" s="43"/>
      <c r="Q77" s="43"/>
      <c r="R77" s="43"/>
      <c r="S77" s="43"/>
      <c r="T77" s="43"/>
      <c r="U77" s="43"/>
      <c r="V77" s="43"/>
      <c r="W77" s="43"/>
      <c r="X77" s="43"/>
      <c r="Y77" s="43"/>
      <c r="Z77" s="43"/>
    </row>
    <row r="78">
      <c r="A78" s="94"/>
      <c r="B78" s="94"/>
      <c r="C78" s="43"/>
      <c r="D78" s="43"/>
      <c r="E78" s="43"/>
      <c r="F78" s="43"/>
      <c r="G78" s="43"/>
      <c r="H78" s="43"/>
      <c r="I78" s="43"/>
      <c r="J78" s="43"/>
      <c r="K78" s="43"/>
      <c r="L78" s="43"/>
      <c r="M78" s="43"/>
      <c r="N78" s="43"/>
      <c r="O78" s="43"/>
      <c r="P78" s="43"/>
      <c r="Q78" s="43"/>
      <c r="R78" s="43"/>
      <c r="S78" s="43"/>
      <c r="T78" s="43"/>
      <c r="U78" s="43"/>
      <c r="V78" s="43"/>
      <c r="W78" s="43"/>
      <c r="X78" s="43"/>
      <c r="Y78" s="43"/>
      <c r="Z78" s="43"/>
    </row>
    <row r="79">
      <c r="A79" s="94"/>
      <c r="B79" s="94"/>
      <c r="C79" s="43"/>
      <c r="D79" s="43"/>
      <c r="E79" s="43"/>
      <c r="F79" s="43"/>
      <c r="G79" s="43"/>
      <c r="H79" s="43"/>
      <c r="I79" s="43"/>
      <c r="J79" s="43"/>
      <c r="K79" s="43"/>
      <c r="L79" s="43"/>
      <c r="M79" s="43"/>
      <c r="N79" s="43"/>
      <c r="O79" s="43"/>
      <c r="P79" s="43"/>
      <c r="Q79" s="43"/>
      <c r="R79" s="43"/>
      <c r="S79" s="43"/>
      <c r="T79" s="43"/>
      <c r="U79" s="43"/>
      <c r="V79" s="43"/>
      <c r="W79" s="43"/>
      <c r="X79" s="43"/>
      <c r="Y79" s="43"/>
      <c r="Z79" s="43"/>
    </row>
    <row r="80">
      <c r="A80" s="94"/>
      <c r="B80" s="94"/>
      <c r="C80" s="43"/>
      <c r="D80" s="43"/>
      <c r="E80" s="43"/>
      <c r="F80" s="43"/>
      <c r="G80" s="43"/>
      <c r="H80" s="43"/>
      <c r="I80" s="43"/>
      <c r="J80" s="43"/>
      <c r="K80" s="43"/>
      <c r="L80" s="43"/>
      <c r="M80" s="43"/>
      <c r="N80" s="43"/>
      <c r="O80" s="43"/>
      <c r="P80" s="43"/>
      <c r="Q80" s="43"/>
      <c r="R80" s="43"/>
      <c r="S80" s="43"/>
      <c r="T80" s="43"/>
      <c r="U80" s="43"/>
      <c r="V80" s="43"/>
      <c r="W80" s="43"/>
      <c r="X80" s="43"/>
      <c r="Y80" s="43"/>
      <c r="Z80" s="43"/>
    </row>
    <row r="81">
      <c r="A81" s="94"/>
      <c r="B81" s="94"/>
      <c r="C81" s="43"/>
      <c r="D81" s="43"/>
      <c r="E81" s="43"/>
      <c r="F81" s="43"/>
      <c r="G81" s="43"/>
      <c r="H81" s="43"/>
      <c r="I81" s="43"/>
      <c r="J81" s="43"/>
      <c r="K81" s="43"/>
      <c r="L81" s="43"/>
      <c r="M81" s="43"/>
      <c r="N81" s="43"/>
      <c r="O81" s="43"/>
      <c r="P81" s="43"/>
      <c r="Q81" s="43"/>
      <c r="R81" s="43"/>
      <c r="S81" s="43"/>
      <c r="T81" s="43"/>
      <c r="U81" s="43"/>
      <c r="V81" s="43"/>
      <c r="W81" s="43"/>
      <c r="X81" s="43"/>
      <c r="Y81" s="43"/>
      <c r="Z81" s="43"/>
    </row>
    <row r="82">
      <c r="A82" s="94"/>
      <c r="B82" s="94"/>
      <c r="C82" s="43"/>
      <c r="D82" s="43"/>
      <c r="E82" s="43"/>
      <c r="F82" s="43"/>
      <c r="G82" s="43"/>
      <c r="H82" s="43"/>
      <c r="I82" s="43"/>
      <c r="J82" s="43"/>
      <c r="K82" s="43"/>
      <c r="L82" s="43"/>
      <c r="M82" s="43"/>
      <c r="N82" s="43"/>
      <c r="O82" s="43"/>
      <c r="P82" s="43"/>
      <c r="Q82" s="43"/>
      <c r="R82" s="43"/>
      <c r="S82" s="43"/>
      <c r="T82" s="43"/>
      <c r="U82" s="43"/>
      <c r="V82" s="43"/>
      <c r="W82" s="43"/>
      <c r="X82" s="43"/>
      <c r="Y82" s="43"/>
      <c r="Z82" s="43"/>
    </row>
    <row r="83">
      <c r="A83" s="94"/>
      <c r="B83" s="94"/>
      <c r="C83" s="43"/>
      <c r="D83" s="43"/>
      <c r="E83" s="43"/>
      <c r="F83" s="43"/>
      <c r="G83" s="43"/>
      <c r="H83" s="43"/>
      <c r="I83" s="43"/>
      <c r="J83" s="43"/>
      <c r="K83" s="43"/>
      <c r="L83" s="43"/>
      <c r="M83" s="43"/>
      <c r="N83" s="43"/>
      <c r="O83" s="43"/>
      <c r="P83" s="43"/>
      <c r="Q83" s="43"/>
      <c r="R83" s="43"/>
      <c r="S83" s="43"/>
      <c r="T83" s="43"/>
      <c r="U83" s="43"/>
      <c r="V83" s="43"/>
      <c r="W83" s="43"/>
      <c r="X83" s="43"/>
      <c r="Y83" s="43"/>
      <c r="Z83" s="43"/>
    </row>
    <row r="84">
      <c r="A84" s="94"/>
      <c r="B84" s="94"/>
      <c r="C84" s="43"/>
      <c r="D84" s="43"/>
      <c r="E84" s="43"/>
      <c r="F84" s="43"/>
      <c r="G84" s="43"/>
      <c r="H84" s="43"/>
      <c r="I84" s="43"/>
      <c r="J84" s="43"/>
      <c r="K84" s="43"/>
      <c r="L84" s="43"/>
      <c r="M84" s="43"/>
      <c r="N84" s="43"/>
      <c r="O84" s="43"/>
      <c r="P84" s="43"/>
      <c r="Q84" s="43"/>
      <c r="R84" s="43"/>
      <c r="S84" s="43"/>
      <c r="T84" s="43"/>
      <c r="U84" s="43"/>
      <c r="V84" s="43"/>
      <c r="W84" s="43"/>
      <c r="X84" s="43"/>
      <c r="Y84" s="43"/>
      <c r="Z84" s="43"/>
    </row>
    <row r="85">
      <c r="A85" s="94"/>
      <c r="B85" s="94"/>
      <c r="C85" s="43"/>
      <c r="D85" s="43"/>
      <c r="E85" s="43"/>
      <c r="F85" s="43"/>
      <c r="G85" s="43"/>
      <c r="H85" s="43"/>
      <c r="I85" s="43"/>
      <c r="J85" s="43"/>
      <c r="K85" s="43"/>
      <c r="L85" s="43"/>
      <c r="M85" s="43"/>
      <c r="N85" s="43"/>
      <c r="O85" s="43"/>
      <c r="P85" s="43"/>
      <c r="Q85" s="43"/>
      <c r="R85" s="43"/>
      <c r="S85" s="43"/>
      <c r="T85" s="43"/>
      <c r="U85" s="43"/>
      <c r="V85" s="43"/>
      <c r="W85" s="43"/>
      <c r="X85" s="43"/>
      <c r="Y85" s="43"/>
      <c r="Z85" s="43"/>
    </row>
    <row r="86">
      <c r="A86" s="94"/>
      <c r="B86" s="94"/>
      <c r="C86" s="43"/>
      <c r="D86" s="43"/>
      <c r="E86" s="43"/>
      <c r="F86" s="43"/>
      <c r="G86" s="43"/>
      <c r="H86" s="43"/>
      <c r="I86" s="43"/>
      <c r="J86" s="43"/>
      <c r="K86" s="43"/>
      <c r="L86" s="43"/>
      <c r="M86" s="43"/>
      <c r="N86" s="43"/>
      <c r="O86" s="43"/>
      <c r="P86" s="43"/>
      <c r="Q86" s="43"/>
      <c r="R86" s="43"/>
      <c r="S86" s="43"/>
      <c r="T86" s="43"/>
      <c r="U86" s="43"/>
      <c r="V86" s="43"/>
      <c r="W86" s="43"/>
      <c r="X86" s="43"/>
      <c r="Y86" s="43"/>
      <c r="Z86" s="43"/>
    </row>
    <row r="87">
      <c r="A87" s="94"/>
      <c r="B87" s="94"/>
      <c r="C87" s="43"/>
      <c r="D87" s="43"/>
      <c r="E87" s="43"/>
      <c r="F87" s="43"/>
      <c r="G87" s="43"/>
      <c r="H87" s="43"/>
      <c r="I87" s="43"/>
      <c r="J87" s="43"/>
      <c r="K87" s="43"/>
      <c r="L87" s="43"/>
      <c r="M87" s="43"/>
      <c r="N87" s="43"/>
      <c r="O87" s="43"/>
      <c r="P87" s="43"/>
      <c r="Q87" s="43"/>
      <c r="R87" s="43"/>
      <c r="S87" s="43"/>
      <c r="T87" s="43"/>
      <c r="U87" s="43"/>
      <c r="V87" s="43"/>
      <c r="W87" s="43"/>
      <c r="X87" s="43"/>
      <c r="Y87" s="43"/>
      <c r="Z87" s="43"/>
    </row>
    <row r="88">
      <c r="A88" s="94"/>
      <c r="B88" s="94"/>
      <c r="C88" s="43"/>
      <c r="D88" s="43"/>
      <c r="E88" s="43"/>
      <c r="F88" s="43"/>
      <c r="G88" s="43"/>
      <c r="H88" s="43"/>
      <c r="I88" s="43"/>
      <c r="J88" s="43"/>
      <c r="K88" s="43"/>
      <c r="L88" s="43"/>
      <c r="M88" s="43"/>
      <c r="N88" s="43"/>
      <c r="O88" s="43"/>
      <c r="P88" s="43"/>
      <c r="Q88" s="43"/>
      <c r="R88" s="43"/>
      <c r="S88" s="43"/>
      <c r="T88" s="43"/>
      <c r="U88" s="43"/>
      <c r="V88" s="43"/>
      <c r="W88" s="43"/>
      <c r="X88" s="43"/>
      <c r="Y88" s="43"/>
      <c r="Z88" s="43"/>
    </row>
    <row r="89">
      <c r="A89" s="94"/>
      <c r="B89" s="94"/>
      <c r="C89" s="43"/>
      <c r="D89" s="43"/>
      <c r="E89" s="43"/>
      <c r="F89" s="43"/>
      <c r="G89" s="43"/>
      <c r="H89" s="43"/>
      <c r="I89" s="43"/>
      <c r="J89" s="43"/>
      <c r="K89" s="43"/>
      <c r="L89" s="43"/>
      <c r="M89" s="43"/>
      <c r="N89" s="43"/>
      <c r="O89" s="43"/>
      <c r="P89" s="43"/>
      <c r="Q89" s="43"/>
      <c r="R89" s="43"/>
      <c r="S89" s="43"/>
      <c r="T89" s="43"/>
      <c r="U89" s="43"/>
      <c r="V89" s="43"/>
      <c r="W89" s="43"/>
      <c r="X89" s="43"/>
      <c r="Y89" s="43"/>
      <c r="Z89" s="43"/>
    </row>
    <row r="90">
      <c r="A90" s="94"/>
      <c r="B90" s="94"/>
      <c r="C90" s="43"/>
      <c r="D90" s="43"/>
      <c r="E90" s="43"/>
      <c r="F90" s="43"/>
      <c r="G90" s="43"/>
      <c r="H90" s="43"/>
      <c r="I90" s="43"/>
      <c r="J90" s="43"/>
      <c r="K90" s="43"/>
      <c r="L90" s="43"/>
      <c r="M90" s="43"/>
      <c r="N90" s="43"/>
      <c r="O90" s="43"/>
      <c r="P90" s="43"/>
      <c r="Q90" s="43"/>
      <c r="R90" s="43"/>
      <c r="S90" s="43"/>
      <c r="T90" s="43"/>
      <c r="U90" s="43"/>
      <c r="V90" s="43"/>
      <c r="W90" s="43"/>
      <c r="X90" s="43"/>
      <c r="Y90" s="43"/>
      <c r="Z90" s="43"/>
    </row>
    <row r="91">
      <c r="A91" s="94"/>
      <c r="B91" s="94"/>
      <c r="C91" s="43"/>
      <c r="D91" s="43"/>
      <c r="E91" s="43"/>
      <c r="F91" s="43"/>
      <c r="G91" s="43"/>
      <c r="H91" s="43"/>
      <c r="I91" s="43"/>
      <c r="J91" s="43"/>
      <c r="K91" s="43"/>
      <c r="L91" s="43"/>
      <c r="M91" s="43"/>
      <c r="N91" s="43"/>
      <c r="O91" s="43"/>
      <c r="P91" s="43"/>
      <c r="Q91" s="43"/>
      <c r="R91" s="43"/>
      <c r="S91" s="43"/>
      <c r="T91" s="43"/>
      <c r="U91" s="43"/>
      <c r="V91" s="43"/>
      <c r="W91" s="43"/>
      <c r="X91" s="43"/>
      <c r="Y91" s="43"/>
      <c r="Z91" s="43"/>
    </row>
    <row r="92">
      <c r="A92" s="94"/>
      <c r="B92" s="94"/>
      <c r="C92" s="43"/>
      <c r="D92" s="43"/>
      <c r="E92" s="43"/>
      <c r="F92" s="43"/>
      <c r="G92" s="43"/>
      <c r="H92" s="43"/>
      <c r="I92" s="43"/>
      <c r="J92" s="43"/>
      <c r="K92" s="43"/>
      <c r="L92" s="43"/>
      <c r="M92" s="43"/>
      <c r="N92" s="43"/>
      <c r="O92" s="43"/>
      <c r="P92" s="43"/>
      <c r="Q92" s="43"/>
      <c r="R92" s="43"/>
      <c r="S92" s="43"/>
      <c r="T92" s="43"/>
      <c r="U92" s="43"/>
      <c r="V92" s="43"/>
      <c r="W92" s="43"/>
      <c r="X92" s="43"/>
      <c r="Y92" s="43"/>
      <c r="Z92" s="43"/>
    </row>
    <row r="93">
      <c r="A93" s="94"/>
      <c r="B93" s="94"/>
      <c r="C93" s="43"/>
      <c r="D93" s="43"/>
      <c r="E93" s="43"/>
      <c r="F93" s="43"/>
      <c r="G93" s="43"/>
      <c r="H93" s="43"/>
      <c r="I93" s="43"/>
      <c r="J93" s="43"/>
      <c r="K93" s="43"/>
      <c r="L93" s="43"/>
      <c r="M93" s="43"/>
      <c r="N93" s="43"/>
      <c r="O93" s="43"/>
      <c r="P93" s="43"/>
      <c r="Q93" s="43"/>
      <c r="R93" s="43"/>
      <c r="S93" s="43"/>
      <c r="T93" s="43"/>
      <c r="U93" s="43"/>
      <c r="V93" s="43"/>
      <c r="W93" s="43"/>
      <c r="X93" s="43"/>
      <c r="Y93" s="43"/>
      <c r="Z93" s="43"/>
    </row>
    <row r="94">
      <c r="A94" s="94"/>
      <c r="B94" s="94"/>
      <c r="C94" s="43"/>
      <c r="D94" s="43"/>
      <c r="E94" s="43"/>
      <c r="F94" s="43"/>
      <c r="G94" s="43"/>
      <c r="H94" s="43"/>
      <c r="I94" s="43"/>
      <c r="J94" s="43"/>
      <c r="K94" s="43"/>
      <c r="L94" s="43"/>
      <c r="M94" s="43"/>
      <c r="N94" s="43"/>
      <c r="O94" s="43"/>
      <c r="P94" s="43"/>
      <c r="Q94" s="43"/>
      <c r="R94" s="43"/>
      <c r="S94" s="43"/>
      <c r="T94" s="43"/>
      <c r="U94" s="43"/>
      <c r="V94" s="43"/>
      <c r="W94" s="43"/>
      <c r="X94" s="43"/>
      <c r="Y94" s="43"/>
      <c r="Z94" s="43"/>
    </row>
    <row r="95">
      <c r="A95" s="94"/>
      <c r="B95" s="94"/>
      <c r="C95" s="43"/>
      <c r="D95" s="43"/>
      <c r="E95" s="43"/>
      <c r="F95" s="43"/>
      <c r="G95" s="43"/>
      <c r="H95" s="43"/>
      <c r="I95" s="43"/>
      <c r="J95" s="43"/>
      <c r="K95" s="43"/>
      <c r="L95" s="43"/>
      <c r="M95" s="43"/>
      <c r="N95" s="43"/>
      <c r="O95" s="43"/>
      <c r="P95" s="43"/>
      <c r="Q95" s="43"/>
      <c r="R95" s="43"/>
      <c r="S95" s="43"/>
      <c r="T95" s="43"/>
      <c r="U95" s="43"/>
      <c r="V95" s="43"/>
      <c r="W95" s="43"/>
      <c r="X95" s="43"/>
      <c r="Y95" s="43"/>
      <c r="Z95" s="43"/>
    </row>
    <row r="96">
      <c r="A96" s="94"/>
      <c r="B96" s="94"/>
      <c r="C96" s="43"/>
      <c r="D96" s="43"/>
      <c r="E96" s="43"/>
      <c r="F96" s="43"/>
      <c r="G96" s="43"/>
      <c r="H96" s="43"/>
      <c r="I96" s="43"/>
      <c r="J96" s="43"/>
      <c r="K96" s="43"/>
      <c r="L96" s="43"/>
      <c r="M96" s="43"/>
      <c r="N96" s="43"/>
      <c r="O96" s="43"/>
      <c r="P96" s="43"/>
      <c r="Q96" s="43"/>
      <c r="R96" s="43"/>
      <c r="S96" s="43"/>
      <c r="T96" s="43"/>
      <c r="U96" s="43"/>
      <c r="V96" s="43"/>
      <c r="W96" s="43"/>
      <c r="X96" s="43"/>
      <c r="Y96" s="43"/>
      <c r="Z96" s="43"/>
    </row>
    <row r="97">
      <c r="A97" s="94"/>
      <c r="B97" s="94"/>
      <c r="C97" s="43"/>
      <c r="D97" s="43"/>
      <c r="E97" s="43"/>
      <c r="F97" s="43"/>
      <c r="G97" s="43"/>
      <c r="H97" s="43"/>
      <c r="I97" s="43"/>
      <c r="J97" s="43"/>
      <c r="K97" s="43"/>
      <c r="L97" s="43"/>
      <c r="M97" s="43"/>
      <c r="N97" s="43"/>
      <c r="O97" s="43"/>
      <c r="P97" s="43"/>
      <c r="Q97" s="43"/>
      <c r="R97" s="43"/>
      <c r="S97" s="43"/>
      <c r="T97" s="43"/>
      <c r="U97" s="43"/>
      <c r="V97" s="43"/>
      <c r="W97" s="43"/>
      <c r="X97" s="43"/>
      <c r="Y97" s="43"/>
      <c r="Z97" s="43"/>
    </row>
    <row r="98">
      <c r="A98" s="94"/>
      <c r="B98" s="94"/>
      <c r="C98" s="43"/>
      <c r="D98" s="43"/>
      <c r="E98" s="43"/>
      <c r="F98" s="43"/>
      <c r="G98" s="43"/>
      <c r="H98" s="43"/>
      <c r="I98" s="43"/>
      <c r="J98" s="43"/>
      <c r="K98" s="43"/>
      <c r="L98" s="43"/>
      <c r="M98" s="43"/>
      <c r="N98" s="43"/>
      <c r="O98" s="43"/>
      <c r="P98" s="43"/>
      <c r="Q98" s="43"/>
      <c r="R98" s="43"/>
      <c r="S98" s="43"/>
      <c r="T98" s="43"/>
      <c r="U98" s="43"/>
      <c r="V98" s="43"/>
      <c r="W98" s="43"/>
      <c r="X98" s="43"/>
      <c r="Y98" s="43"/>
      <c r="Z98" s="43"/>
    </row>
    <row r="99">
      <c r="A99" s="94"/>
      <c r="B99" s="94"/>
      <c r="C99" s="43"/>
      <c r="D99" s="43"/>
      <c r="E99" s="43"/>
      <c r="F99" s="43"/>
      <c r="G99" s="43"/>
      <c r="H99" s="43"/>
      <c r="I99" s="43"/>
      <c r="J99" s="43"/>
      <c r="K99" s="43"/>
      <c r="L99" s="43"/>
      <c r="M99" s="43"/>
      <c r="N99" s="43"/>
      <c r="O99" s="43"/>
      <c r="P99" s="43"/>
      <c r="Q99" s="43"/>
      <c r="R99" s="43"/>
      <c r="S99" s="43"/>
      <c r="T99" s="43"/>
      <c r="U99" s="43"/>
      <c r="V99" s="43"/>
      <c r="W99" s="43"/>
      <c r="X99" s="43"/>
      <c r="Y99" s="43"/>
      <c r="Z99" s="43"/>
    </row>
    <row r="100">
      <c r="A100" s="94"/>
      <c r="B100" s="94"/>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 r="A101" s="94"/>
      <c r="B101" s="94"/>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 r="A102" s="94"/>
      <c r="B102" s="94"/>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 r="A103" s="94"/>
      <c r="B103" s="94"/>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 r="A104" s="94"/>
      <c r="B104" s="94"/>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 r="A105" s="94"/>
      <c r="B105" s="94"/>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 r="A106" s="94"/>
      <c r="B106" s="94"/>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 r="A107" s="94"/>
      <c r="B107" s="94"/>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A108" s="94"/>
      <c r="B108" s="94"/>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 r="A109" s="94"/>
      <c r="B109" s="94"/>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 r="A110" s="94"/>
      <c r="B110" s="94"/>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 r="A111" s="94"/>
      <c r="B111" s="94"/>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 r="A112" s="94"/>
      <c r="B112" s="94"/>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 r="A113" s="94"/>
      <c r="B113" s="94"/>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 r="A114" s="94"/>
      <c r="B114" s="94"/>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 r="A115" s="94"/>
      <c r="B115" s="94"/>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 r="A116" s="94"/>
      <c r="B116" s="94"/>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 r="A117" s="94"/>
      <c r="B117" s="94"/>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 r="A118" s="94"/>
      <c r="B118" s="94"/>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 r="A119" s="94"/>
      <c r="B119" s="94"/>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 r="A120" s="94"/>
      <c r="B120" s="94"/>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 r="A121" s="94"/>
      <c r="B121" s="94"/>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 r="A122" s="94"/>
      <c r="B122" s="94"/>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 r="A123" s="94"/>
      <c r="B123" s="94"/>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 r="A124" s="94"/>
      <c r="B124" s="94"/>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 r="A125" s="94"/>
      <c r="B125" s="94"/>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 r="A126" s="94"/>
      <c r="B126" s="94"/>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 r="A127" s="94"/>
      <c r="B127" s="94"/>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 r="A128" s="94"/>
      <c r="B128" s="94"/>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 r="A129" s="94"/>
      <c r="B129" s="94"/>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 r="A130" s="94"/>
      <c r="B130" s="94"/>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 r="A131" s="94"/>
      <c r="B131" s="94"/>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 r="A132" s="94"/>
      <c r="B132" s="94"/>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 r="A133" s="94"/>
      <c r="B133" s="94"/>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 r="A134" s="94"/>
      <c r="B134" s="94"/>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 r="A135" s="94"/>
      <c r="B135" s="94"/>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 r="A136" s="94"/>
      <c r="B136" s="94"/>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 r="A137" s="94"/>
      <c r="B137" s="94"/>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 r="A138" s="94"/>
      <c r="B138" s="94"/>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 r="A139" s="94"/>
      <c r="B139" s="94"/>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 r="A140" s="94"/>
      <c r="B140" s="94"/>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 r="A141" s="94"/>
      <c r="B141" s="94"/>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 r="A142" s="94"/>
      <c r="B142" s="94"/>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 r="A143" s="94"/>
      <c r="B143" s="94"/>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 r="A144" s="94"/>
      <c r="B144" s="94"/>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 r="A145" s="94"/>
      <c r="B145" s="94"/>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 r="A146" s="94"/>
      <c r="B146" s="94"/>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94"/>
      <c r="B147" s="94"/>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 r="A148" s="94"/>
      <c r="B148" s="94"/>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 r="A149" s="94"/>
      <c r="B149" s="94"/>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 r="A150" s="94"/>
      <c r="B150" s="94"/>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 r="A151" s="94"/>
      <c r="B151" s="94"/>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 r="A152" s="94"/>
      <c r="B152" s="94"/>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 r="A153" s="94"/>
      <c r="B153" s="94"/>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 r="A154" s="94"/>
      <c r="B154" s="94"/>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 r="A155" s="94"/>
      <c r="B155" s="94"/>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 r="A156" s="94"/>
      <c r="B156" s="94"/>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 r="A157" s="94"/>
      <c r="B157" s="94"/>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 r="A158" s="94"/>
      <c r="B158" s="94"/>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 r="A159" s="94"/>
      <c r="B159" s="94"/>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 r="A160" s="94"/>
      <c r="B160" s="94"/>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 r="A161" s="94"/>
      <c r="B161" s="94"/>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 r="A162" s="94"/>
      <c r="B162" s="94"/>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 r="A163" s="94"/>
      <c r="B163" s="94"/>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 r="A164" s="94"/>
      <c r="B164" s="94"/>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 r="A165" s="94"/>
      <c r="B165" s="94"/>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 r="A166" s="94"/>
      <c r="B166" s="94"/>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 r="A167" s="94"/>
      <c r="B167" s="94"/>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 r="A168" s="94"/>
      <c r="B168" s="94"/>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 r="A169" s="94"/>
      <c r="B169" s="94"/>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 r="A170" s="94"/>
      <c r="B170" s="94"/>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 r="A171" s="94"/>
      <c r="B171" s="94"/>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 r="A172" s="94"/>
      <c r="B172" s="94"/>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A173" s="94"/>
      <c r="B173" s="94"/>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 r="A174" s="94"/>
      <c r="B174" s="94"/>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 r="A175" s="94"/>
      <c r="B175" s="94"/>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A176" s="94"/>
      <c r="B176" s="94"/>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 r="A177" s="94"/>
      <c r="B177" s="94"/>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 r="A178" s="94"/>
      <c r="B178" s="94"/>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 r="A179" s="94"/>
      <c r="B179" s="94"/>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A180" s="94"/>
      <c r="B180" s="94"/>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94"/>
      <c r="B181" s="94"/>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 r="A182" s="94"/>
      <c r="B182" s="94"/>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 r="A183" s="94"/>
      <c r="B183" s="94"/>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 r="A184" s="94"/>
      <c r="B184" s="94"/>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 r="A185" s="94"/>
      <c r="B185" s="94"/>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 r="A186" s="94"/>
      <c r="B186" s="94"/>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 r="A187" s="94"/>
      <c r="B187" s="94"/>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 r="A188" s="94"/>
      <c r="B188" s="94"/>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 r="A189" s="94"/>
      <c r="B189" s="94"/>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 r="A190" s="94"/>
      <c r="B190" s="94"/>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 r="A191" s="94"/>
      <c r="B191" s="94"/>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 r="A192" s="94"/>
      <c r="B192" s="94"/>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 r="A193" s="94"/>
      <c r="B193" s="94"/>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A194" s="94"/>
      <c r="B194" s="94"/>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 r="A195" s="94"/>
      <c r="B195" s="94"/>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 r="A196" s="94"/>
      <c r="B196" s="94"/>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 r="A197" s="94"/>
      <c r="B197" s="94"/>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 r="A198" s="94"/>
      <c r="B198" s="94"/>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 r="A199" s="94"/>
      <c r="B199" s="94"/>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 r="A200" s="94"/>
      <c r="B200" s="94"/>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A201" s="94"/>
      <c r="B201" s="94"/>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 r="A202" s="94"/>
      <c r="B202" s="94"/>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 r="A203" s="94"/>
      <c r="B203" s="94"/>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 r="A204" s="94"/>
      <c r="B204" s="94"/>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 r="A205" s="94"/>
      <c r="B205" s="94"/>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 r="A206" s="94"/>
      <c r="B206" s="94"/>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 r="A207" s="94"/>
      <c r="B207" s="94"/>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 r="A208" s="94"/>
      <c r="B208" s="94"/>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 r="A209" s="94"/>
      <c r="B209" s="94"/>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 r="A210" s="94"/>
      <c r="B210" s="94"/>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 r="A211" s="94"/>
      <c r="B211" s="94"/>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 r="A212" s="94"/>
      <c r="B212" s="94"/>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 r="A213" s="94"/>
      <c r="B213" s="94"/>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 r="A214" s="94"/>
      <c r="B214" s="94"/>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 r="A215" s="94"/>
      <c r="B215" s="94"/>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 r="A216" s="94"/>
      <c r="B216" s="94"/>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A217" s="94"/>
      <c r="B217" s="94"/>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 r="A218" s="94"/>
      <c r="B218" s="94"/>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 r="A219" s="94"/>
      <c r="B219" s="94"/>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 r="A220" s="94"/>
      <c r="B220" s="94"/>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A221" s="94"/>
      <c r="B221" s="94"/>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 r="A222" s="94"/>
      <c r="B222" s="94"/>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 r="A223" s="94"/>
      <c r="B223" s="94"/>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 r="A224" s="94"/>
      <c r="B224" s="94"/>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 r="A225" s="94"/>
      <c r="B225" s="94"/>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 r="A226" s="94"/>
      <c r="B226" s="94"/>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 r="A227" s="94"/>
      <c r="B227" s="94"/>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A228" s="94"/>
      <c r="B228" s="94"/>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 r="A229" s="94"/>
      <c r="B229" s="94"/>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94"/>
      <c r="B230" s="94"/>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A231" s="94"/>
      <c r="B231" s="94"/>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 r="A232" s="94"/>
      <c r="B232" s="94"/>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 r="A233" s="94"/>
      <c r="B233" s="94"/>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A234" s="94"/>
      <c r="B234" s="94"/>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 r="A235" s="94"/>
      <c r="B235" s="94"/>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 r="A236" s="94"/>
      <c r="B236" s="94"/>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 r="A237" s="94"/>
      <c r="B237" s="94"/>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 r="A238" s="94"/>
      <c r="B238" s="94"/>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 r="A239" s="94"/>
      <c r="B239" s="94"/>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 r="A240" s="94"/>
      <c r="B240" s="94"/>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94"/>
      <c r="B241" s="94"/>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A242" s="94"/>
      <c r="B242" s="94"/>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 r="A243" s="94"/>
      <c r="B243" s="94"/>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 r="A244" s="94"/>
      <c r="B244" s="94"/>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 r="A245" s="94"/>
      <c r="B245" s="94"/>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 r="A246" s="94"/>
      <c r="B246" s="94"/>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 r="A247" s="94"/>
      <c r="B247" s="94"/>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 r="A248" s="94"/>
      <c r="B248" s="94"/>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 r="A249" s="94"/>
      <c r="B249" s="94"/>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 r="A250" s="94"/>
      <c r="B250" s="94"/>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A251" s="94"/>
      <c r="B251" s="94"/>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 r="A252" s="94"/>
      <c r="B252" s="94"/>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 r="A253" s="94"/>
      <c r="B253" s="94"/>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 r="A254" s="94"/>
      <c r="B254" s="94"/>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94"/>
      <c r="B255" s="94"/>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94"/>
      <c r="B256" s="94"/>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A257" s="94"/>
      <c r="B257" s="94"/>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 r="A258" s="94"/>
      <c r="B258" s="94"/>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 r="A259" s="94"/>
      <c r="B259" s="94"/>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A260" s="94"/>
      <c r="B260" s="94"/>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 r="A261" s="94"/>
      <c r="B261" s="94"/>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 r="A262" s="94"/>
      <c r="B262" s="94"/>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 r="A263" s="94"/>
      <c r="B263" s="94"/>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 r="A264" s="94"/>
      <c r="B264" s="94"/>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94"/>
      <c r="B265" s="94"/>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 r="A266" s="94"/>
      <c r="B266" s="94"/>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 r="A267" s="94"/>
      <c r="B267" s="94"/>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 r="A268" s="94"/>
      <c r="B268" s="94"/>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A269" s="94"/>
      <c r="B269" s="94"/>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 r="A270" s="94"/>
      <c r="B270" s="94"/>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 r="A271" s="94"/>
      <c r="B271" s="94"/>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 r="A272" s="94"/>
      <c r="B272" s="94"/>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 r="A273" s="94"/>
      <c r="B273" s="94"/>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 r="A274" s="94"/>
      <c r="B274" s="94"/>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 r="A275" s="94"/>
      <c r="B275" s="94"/>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A276" s="94"/>
      <c r="B276" s="94"/>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 r="A277" s="94"/>
      <c r="B277" s="94"/>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 r="A278" s="94"/>
      <c r="B278" s="94"/>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 r="A279" s="94"/>
      <c r="B279" s="94"/>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 r="A280" s="94"/>
      <c r="B280" s="94"/>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 r="A281" s="94"/>
      <c r="B281" s="94"/>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A282" s="94"/>
      <c r="B282" s="94"/>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 r="A283" s="94"/>
      <c r="B283" s="94"/>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 r="A284" s="94"/>
      <c r="B284" s="94"/>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 r="A285" s="94"/>
      <c r="B285" s="94"/>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 r="A286" s="94"/>
      <c r="B286" s="94"/>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 r="A287" s="94"/>
      <c r="B287" s="94"/>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 r="A288" s="94"/>
      <c r="B288" s="94"/>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 r="A289" s="94"/>
      <c r="B289" s="94"/>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 r="A290" s="94"/>
      <c r="B290" s="94"/>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94"/>
      <c r="B291" s="94"/>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A292" s="94"/>
      <c r="B292" s="94"/>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 r="A293" s="94"/>
      <c r="B293" s="94"/>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 r="A294" s="94"/>
      <c r="B294" s="94"/>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 r="A295" s="94"/>
      <c r="B295" s="94"/>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 r="A296" s="94"/>
      <c r="B296" s="94"/>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 r="A297" s="94"/>
      <c r="B297" s="94"/>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 r="A298" s="94"/>
      <c r="B298" s="94"/>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 r="A299" s="94"/>
      <c r="B299" s="94"/>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 r="A300" s="94"/>
      <c r="B300" s="94"/>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 r="A301" s="94"/>
      <c r="B301" s="94"/>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A302" s="94"/>
      <c r="B302" s="94"/>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 r="A303" s="94"/>
      <c r="B303" s="94"/>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 r="A304" s="94"/>
      <c r="B304" s="94"/>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A305" s="94"/>
      <c r="B305" s="94"/>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 r="A306" s="94"/>
      <c r="B306" s="94"/>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A307" s="94"/>
      <c r="B307" s="94"/>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 r="A308" s="94"/>
      <c r="B308" s="94"/>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 r="A309" s="94"/>
      <c r="B309" s="94"/>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 r="A310" s="94"/>
      <c r="B310" s="94"/>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 r="A311" s="94"/>
      <c r="B311" s="94"/>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 r="A312" s="94"/>
      <c r="B312" s="94"/>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 r="A313" s="94"/>
      <c r="B313" s="94"/>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 r="A314" s="94"/>
      <c r="B314" s="94"/>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A315" s="94"/>
      <c r="B315" s="94"/>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 r="A316" s="94"/>
      <c r="B316" s="94"/>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 r="A317" s="94"/>
      <c r="B317" s="94"/>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 r="A318" s="94"/>
      <c r="B318" s="94"/>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 r="A319" s="94"/>
      <c r="B319" s="94"/>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 r="A320" s="94"/>
      <c r="B320" s="94"/>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 r="A321" s="94"/>
      <c r="B321" s="94"/>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 r="A322" s="94"/>
      <c r="B322" s="94"/>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 r="A323" s="94"/>
      <c r="B323" s="94"/>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 r="A324" s="94"/>
      <c r="B324" s="94"/>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 r="A325" s="94"/>
      <c r="B325" s="94"/>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 r="A326" s="94"/>
      <c r="B326" s="94"/>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 r="A327" s="94"/>
      <c r="B327" s="94"/>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 r="A328" s="94"/>
      <c r="B328" s="94"/>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 r="A329" s="94"/>
      <c r="B329" s="94"/>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 r="A330" s="94"/>
      <c r="B330" s="94"/>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 r="A331" s="94"/>
      <c r="B331" s="94"/>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 r="A332" s="94"/>
      <c r="B332" s="94"/>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 r="A333" s="94"/>
      <c r="B333" s="94"/>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 r="A334" s="94"/>
      <c r="B334" s="94"/>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 r="A335" s="94"/>
      <c r="B335" s="94"/>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 r="A336" s="94"/>
      <c r="B336" s="94"/>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 r="A337" s="94"/>
      <c r="B337" s="94"/>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 r="A338" s="94"/>
      <c r="B338" s="94"/>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 r="A339" s="94"/>
      <c r="B339" s="94"/>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 r="A340" s="94"/>
      <c r="B340" s="94"/>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 r="A341" s="94"/>
      <c r="B341" s="94"/>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 r="A342" s="94"/>
      <c r="B342" s="94"/>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 r="A343" s="94"/>
      <c r="B343" s="94"/>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 r="A344" s="94"/>
      <c r="B344" s="94"/>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 r="A345" s="94"/>
      <c r="B345" s="94"/>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 r="A346" s="94"/>
      <c r="B346" s="94"/>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 r="A347" s="94"/>
      <c r="B347" s="94"/>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 r="A348" s="94"/>
      <c r="B348" s="94"/>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 r="A349" s="94"/>
      <c r="B349" s="94"/>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 r="A350" s="94"/>
      <c r="B350" s="94"/>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 r="A351" s="94"/>
      <c r="B351" s="94"/>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 r="A352" s="94"/>
      <c r="B352" s="94"/>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 r="A353" s="94"/>
      <c r="B353" s="94"/>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 r="A354" s="94"/>
      <c r="B354" s="94"/>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 r="A355" s="94"/>
      <c r="B355" s="94"/>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 r="A356" s="94"/>
      <c r="B356" s="94"/>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 r="A357" s="94"/>
      <c r="B357" s="94"/>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 r="A358" s="94"/>
      <c r="B358" s="94"/>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 r="A359" s="94"/>
      <c r="B359" s="94"/>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 r="A360" s="94"/>
      <c r="B360" s="94"/>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 r="A361" s="94"/>
      <c r="B361" s="94"/>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 r="A362" s="94"/>
      <c r="B362" s="94"/>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 r="A363" s="94"/>
      <c r="B363" s="94"/>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 r="A364" s="94"/>
      <c r="B364" s="94"/>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 r="A365" s="94"/>
      <c r="B365" s="94"/>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 r="A366" s="94"/>
      <c r="B366" s="94"/>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 r="A367" s="94"/>
      <c r="B367" s="94"/>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 r="A368" s="94"/>
      <c r="B368" s="94"/>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 r="A369" s="94"/>
      <c r="B369" s="94"/>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 r="A370" s="94"/>
      <c r="B370" s="94"/>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 r="A371" s="94"/>
      <c r="B371" s="94"/>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 r="A372" s="94"/>
      <c r="B372" s="94"/>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 r="A373" s="94"/>
      <c r="B373" s="94"/>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 r="A374" s="94"/>
      <c r="B374" s="94"/>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 r="A375" s="94"/>
      <c r="B375" s="94"/>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 r="A376" s="94"/>
      <c r="B376" s="94"/>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 r="A377" s="94"/>
      <c r="B377" s="94"/>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 r="A378" s="94"/>
      <c r="B378" s="94"/>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 r="A379" s="94"/>
      <c r="B379" s="94"/>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 r="A380" s="94"/>
      <c r="B380" s="94"/>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 r="A381" s="94"/>
      <c r="B381" s="94"/>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 r="A382" s="94"/>
      <c r="B382" s="94"/>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 r="A383" s="94"/>
      <c r="B383" s="94"/>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 r="A384" s="94"/>
      <c r="B384" s="94"/>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 r="A385" s="94"/>
      <c r="B385" s="94"/>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 r="A386" s="94"/>
      <c r="B386" s="94"/>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 r="A387" s="94"/>
      <c r="B387" s="94"/>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 r="A388" s="94"/>
      <c r="B388" s="94"/>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 r="A389" s="94"/>
      <c r="B389" s="94"/>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 r="A390" s="94"/>
      <c r="B390" s="94"/>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 r="A391" s="94"/>
      <c r="B391" s="94"/>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 r="A392" s="94"/>
      <c r="B392" s="94"/>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 r="A393" s="94"/>
      <c r="B393" s="94"/>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 r="A394" s="94"/>
      <c r="B394" s="94"/>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 r="A395" s="94"/>
      <c r="B395" s="94"/>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 r="A396" s="94"/>
      <c r="B396" s="94"/>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 r="A397" s="94"/>
      <c r="B397" s="94"/>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 r="A398" s="94"/>
      <c r="B398" s="94"/>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 r="A399" s="94"/>
      <c r="B399" s="94"/>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 r="A400" s="94"/>
      <c r="B400" s="94"/>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 r="A401" s="94"/>
      <c r="B401" s="94"/>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 r="A402" s="94"/>
      <c r="B402" s="94"/>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 r="A403" s="94"/>
      <c r="B403" s="94"/>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 r="A404" s="94"/>
      <c r="B404" s="94"/>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 r="A405" s="94"/>
      <c r="B405" s="94"/>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 r="A406" s="94"/>
      <c r="B406" s="94"/>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 r="A407" s="94"/>
      <c r="B407" s="94"/>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 r="A408" s="94"/>
      <c r="B408" s="94"/>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 r="A409" s="94"/>
      <c r="B409" s="94"/>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 r="A410" s="94"/>
      <c r="B410" s="94"/>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 r="A411" s="94"/>
      <c r="B411" s="94"/>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 r="A412" s="94"/>
      <c r="B412" s="94"/>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 r="A413" s="94"/>
      <c r="B413" s="94"/>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 r="A414" s="94"/>
      <c r="B414" s="94"/>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 r="A415" s="94"/>
      <c r="B415" s="94"/>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 r="A416" s="94"/>
      <c r="B416" s="94"/>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 r="A417" s="94"/>
      <c r="B417" s="94"/>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 r="A418" s="94"/>
      <c r="B418" s="94"/>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 r="A419" s="94"/>
      <c r="B419" s="94"/>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 r="A420" s="94"/>
      <c r="B420" s="94"/>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 r="A421" s="94"/>
      <c r="B421" s="94"/>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 r="A422" s="94"/>
      <c r="B422" s="94"/>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 r="A423" s="94"/>
      <c r="B423" s="94"/>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 r="A424" s="94"/>
      <c r="B424" s="94"/>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 r="A425" s="94"/>
      <c r="B425" s="94"/>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 r="A426" s="94"/>
      <c r="B426" s="94"/>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 r="A427" s="94"/>
      <c r="B427" s="94"/>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 r="A428" s="94"/>
      <c r="B428" s="94"/>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 r="A429" s="94"/>
      <c r="B429" s="94"/>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 r="A430" s="94"/>
      <c r="B430" s="94"/>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 r="A431" s="94"/>
      <c r="B431" s="94"/>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 r="A432" s="94"/>
      <c r="B432" s="94"/>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 r="A433" s="94"/>
      <c r="B433" s="94"/>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 r="A434" s="94"/>
      <c r="B434" s="94"/>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 r="A435" s="94"/>
      <c r="B435" s="94"/>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 r="A436" s="94"/>
      <c r="B436" s="94"/>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 r="A437" s="94"/>
      <c r="B437" s="94"/>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 r="A438" s="94"/>
      <c r="B438" s="94"/>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 r="A439" s="94"/>
      <c r="B439" s="94"/>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 r="A440" s="94"/>
      <c r="B440" s="94"/>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 r="A441" s="94"/>
      <c r="B441" s="94"/>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 r="A442" s="94"/>
      <c r="B442" s="94"/>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 r="A443" s="94"/>
      <c r="B443" s="94"/>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 r="A444" s="94"/>
      <c r="B444" s="94"/>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 r="A445" s="94"/>
      <c r="B445" s="94"/>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 r="A446" s="94"/>
      <c r="B446" s="94"/>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 r="A447" s="94"/>
      <c r="B447" s="94"/>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 r="A448" s="94"/>
      <c r="B448" s="94"/>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 r="A449" s="94"/>
      <c r="B449" s="94"/>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 r="A450" s="94"/>
      <c r="B450" s="94"/>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 r="A451" s="94"/>
      <c r="B451" s="94"/>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 r="A452" s="94"/>
      <c r="B452" s="94"/>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 r="A453" s="94"/>
      <c r="B453" s="94"/>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 r="A454" s="94"/>
      <c r="B454" s="94"/>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 r="A455" s="94"/>
      <c r="B455" s="94"/>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 r="A456" s="94"/>
      <c r="B456" s="94"/>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 r="A457" s="94"/>
      <c r="B457" s="94"/>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 r="A458" s="94"/>
      <c r="B458" s="94"/>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 r="A459" s="94"/>
      <c r="B459" s="94"/>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 r="A460" s="94"/>
      <c r="B460" s="94"/>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 r="A461" s="94"/>
      <c r="B461" s="94"/>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 r="A462" s="94"/>
      <c r="B462" s="94"/>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 r="A463" s="94"/>
      <c r="B463" s="94"/>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 r="A464" s="94"/>
      <c r="B464" s="94"/>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 r="A465" s="94"/>
      <c r="B465" s="94"/>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 r="A466" s="94"/>
      <c r="B466" s="94"/>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 r="A467" s="94"/>
      <c r="B467" s="94"/>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 r="A468" s="94"/>
      <c r="B468" s="94"/>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 r="A469" s="94"/>
      <c r="B469" s="94"/>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 r="A470" s="94"/>
      <c r="B470" s="94"/>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 r="A471" s="94"/>
      <c r="B471" s="94"/>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 r="A472" s="94"/>
      <c r="B472" s="94"/>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 r="A473" s="94"/>
      <c r="B473" s="94"/>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 r="A474" s="94"/>
      <c r="B474" s="94"/>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 r="A475" s="94"/>
      <c r="B475" s="94"/>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 r="A476" s="94"/>
      <c r="B476" s="94"/>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 r="A477" s="94"/>
      <c r="B477" s="94"/>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 r="A478" s="94"/>
      <c r="B478" s="94"/>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 r="A479" s="94"/>
      <c r="B479" s="94"/>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 r="A480" s="94"/>
      <c r="B480" s="94"/>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 r="A481" s="94"/>
      <c r="B481" s="94"/>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 r="A482" s="94"/>
      <c r="B482" s="94"/>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 r="A483" s="94"/>
      <c r="B483" s="94"/>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 r="A484" s="94"/>
      <c r="B484" s="94"/>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 r="A485" s="94"/>
      <c r="B485" s="94"/>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 r="A486" s="94"/>
      <c r="B486" s="94"/>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 r="A487" s="94"/>
      <c r="B487" s="94"/>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 r="A488" s="94"/>
      <c r="B488" s="94"/>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 r="A489" s="94"/>
      <c r="B489" s="94"/>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 r="A490" s="94"/>
      <c r="B490" s="94"/>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 r="A491" s="94"/>
      <c r="B491" s="94"/>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 r="A492" s="94"/>
      <c r="B492" s="94"/>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 r="A493" s="94"/>
      <c r="B493" s="94"/>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 r="A494" s="94"/>
      <c r="B494" s="94"/>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 r="A495" s="94"/>
      <c r="B495" s="94"/>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 r="A496" s="94"/>
      <c r="B496" s="94"/>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 r="A497" s="94"/>
      <c r="B497" s="94"/>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 r="A498" s="94"/>
      <c r="B498" s="94"/>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 r="A499" s="94"/>
      <c r="B499" s="94"/>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 r="A500" s="94"/>
      <c r="B500" s="94"/>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 r="A501" s="94"/>
      <c r="B501" s="94"/>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 r="A502" s="94"/>
      <c r="B502" s="94"/>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 r="A503" s="94"/>
      <c r="B503" s="94"/>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 r="A504" s="94"/>
      <c r="B504" s="94"/>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 r="A505" s="94"/>
      <c r="B505" s="94"/>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 r="A506" s="94"/>
      <c r="B506" s="94"/>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 r="A507" s="94"/>
      <c r="B507" s="94"/>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 r="A508" s="94"/>
      <c r="B508" s="94"/>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 r="A509" s="94"/>
      <c r="B509" s="94"/>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 r="A510" s="94"/>
      <c r="B510" s="94"/>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 r="A511" s="94"/>
      <c r="B511" s="94"/>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 r="A512" s="94"/>
      <c r="B512" s="94"/>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 r="A513" s="94"/>
      <c r="B513" s="94"/>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 r="A514" s="94"/>
      <c r="B514" s="94"/>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 r="A515" s="94"/>
      <c r="B515" s="94"/>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 r="A516" s="94"/>
      <c r="B516" s="94"/>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 r="A517" s="94"/>
      <c r="B517" s="94"/>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 r="A518" s="94"/>
      <c r="B518" s="94"/>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 r="A519" s="94"/>
      <c r="B519" s="94"/>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 r="A520" s="94"/>
      <c r="B520" s="94"/>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 r="A521" s="94"/>
      <c r="B521" s="94"/>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 r="A522" s="94"/>
      <c r="B522" s="94"/>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 r="A523" s="94"/>
      <c r="B523" s="94"/>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 r="A524" s="94"/>
      <c r="B524" s="94"/>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 r="A525" s="94"/>
      <c r="B525" s="94"/>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 r="A526" s="94"/>
      <c r="B526" s="94"/>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 r="A527" s="94"/>
      <c r="B527" s="94"/>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 r="A528" s="94"/>
      <c r="B528" s="94"/>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 r="A529" s="94"/>
      <c r="B529" s="94"/>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 r="A530" s="94"/>
      <c r="B530" s="94"/>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 r="A531" s="94"/>
      <c r="B531" s="94"/>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 r="A532" s="94"/>
      <c r="B532" s="94"/>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 r="A533" s="94"/>
      <c r="B533" s="94"/>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 r="A534" s="94"/>
      <c r="B534" s="94"/>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 r="A535" s="94"/>
      <c r="B535" s="94"/>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 r="A536" s="94"/>
      <c r="B536" s="94"/>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 r="A537" s="94"/>
      <c r="B537" s="94"/>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 r="A538" s="94"/>
      <c r="B538" s="94"/>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 r="A539" s="94"/>
      <c r="B539" s="94"/>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 r="A540" s="94"/>
      <c r="B540" s="94"/>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 r="A541" s="94"/>
      <c r="B541" s="94"/>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 r="A542" s="94"/>
      <c r="B542" s="94"/>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 r="A543" s="94"/>
      <c r="B543" s="94"/>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 r="A544" s="94"/>
      <c r="B544" s="94"/>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 r="A545" s="94"/>
      <c r="B545" s="94"/>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 r="A546" s="94"/>
      <c r="B546" s="94"/>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 r="A547" s="94"/>
      <c r="B547" s="94"/>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 r="A548" s="94"/>
      <c r="B548" s="94"/>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 r="A549" s="94"/>
      <c r="B549" s="94"/>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 r="A550" s="94"/>
      <c r="B550" s="94"/>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 r="A551" s="94"/>
      <c r="B551" s="94"/>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 r="A552" s="94"/>
      <c r="B552" s="94"/>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 r="A553" s="94"/>
      <c r="B553" s="94"/>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 r="A554" s="94"/>
      <c r="B554" s="94"/>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 r="A555" s="94"/>
      <c r="B555" s="94"/>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 r="A556" s="94"/>
      <c r="B556" s="94"/>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 r="A557" s="94"/>
      <c r="B557" s="94"/>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 r="A558" s="94"/>
      <c r="B558" s="94"/>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 r="A559" s="94"/>
      <c r="B559" s="94"/>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 r="A560" s="94"/>
      <c r="B560" s="94"/>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 r="A561" s="94"/>
      <c r="B561" s="94"/>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 r="A562" s="94"/>
      <c r="B562" s="94"/>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 r="A563" s="94"/>
      <c r="B563" s="94"/>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 r="A564" s="94"/>
      <c r="B564" s="94"/>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 r="A565" s="94"/>
      <c r="B565" s="94"/>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 r="A566" s="94"/>
      <c r="B566" s="94"/>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 r="A567" s="94"/>
      <c r="B567" s="94"/>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 r="A568" s="94"/>
      <c r="B568" s="94"/>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 r="A569" s="94"/>
      <c r="B569" s="94"/>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 r="A570" s="94"/>
      <c r="B570" s="94"/>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 r="A571" s="94"/>
      <c r="B571" s="94"/>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 r="A572" s="94"/>
      <c r="B572" s="94"/>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 r="A573" s="94"/>
      <c r="B573" s="94"/>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 r="A574" s="94"/>
      <c r="B574" s="94"/>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 r="A575" s="94"/>
      <c r="B575" s="94"/>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 r="A576" s="94"/>
      <c r="B576" s="94"/>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 r="A577" s="94"/>
      <c r="B577" s="94"/>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 r="A578" s="94"/>
      <c r="B578" s="94"/>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 r="A579" s="94"/>
      <c r="B579" s="94"/>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 r="A580" s="94"/>
      <c r="B580" s="94"/>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 r="A581" s="94"/>
      <c r="B581" s="94"/>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 r="A582" s="94"/>
      <c r="B582" s="94"/>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 r="A583" s="94"/>
      <c r="B583" s="94"/>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 r="A584" s="94"/>
      <c r="B584" s="94"/>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 r="A585" s="94"/>
      <c r="B585" s="94"/>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 r="A586" s="94"/>
      <c r="B586" s="94"/>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 r="A587" s="94"/>
      <c r="B587" s="94"/>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 r="A588" s="94"/>
      <c r="B588" s="94"/>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 r="A589" s="94"/>
      <c r="B589" s="94"/>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 r="A590" s="94"/>
      <c r="B590" s="94"/>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 r="A591" s="94"/>
      <c r="B591" s="94"/>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 r="A592" s="94"/>
      <c r="B592" s="94"/>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 r="A593" s="94"/>
      <c r="B593" s="94"/>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 r="A594" s="94"/>
      <c r="B594" s="94"/>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 r="A595" s="94"/>
      <c r="B595" s="94"/>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 r="A596" s="94"/>
      <c r="B596" s="94"/>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 r="A597" s="94"/>
      <c r="B597" s="94"/>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 r="A598" s="94"/>
      <c r="B598" s="94"/>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 r="A599" s="94"/>
      <c r="B599" s="94"/>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 r="A600" s="94"/>
      <c r="B600" s="94"/>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 r="A601" s="94"/>
      <c r="B601" s="94"/>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 r="A602" s="94"/>
      <c r="B602" s="94"/>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 r="A603" s="94"/>
      <c r="B603" s="94"/>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 r="A604" s="94"/>
      <c r="B604" s="94"/>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 r="A605" s="94"/>
      <c r="B605" s="94"/>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 r="A606" s="94"/>
      <c r="B606" s="94"/>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 r="A607" s="94"/>
      <c r="B607" s="94"/>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 r="A608" s="94"/>
      <c r="B608" s="94"/>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 r="A609" s="94"/>
      <c r="B609" s="94"/>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 r="A610" s="94"/>
      <c r="B610" s="94"/>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 r="A611" s="94"/>
      <c r="B611" s="94"/>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 r="A612" s="94"/>
      <c r="B612" s="94"/>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 r="A613" s="94"/>
      <c r="B613" s="94"/>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 r="A614" s="94"/>
      <c r="B614" s="94"/>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 r="A615" s="94"/>
      <c r="B615" s="94"/>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 r="A616" s="94"/>
      <c r="B616" s="94"/>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 r="A617" s="94"/>
      <c r="B617" s="94"/>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 r="A618" s="94"/>
      <c r="B618" s="94"/>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 r="A619" s="94"/>
      <c r="B619" s="94"/>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 r="A620" s="94"/>
      <c r="B620" s="94"/>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 r="A621" s="94"/>
      <c r="B621" s="94"/>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 r="A622" s="94"/>
      <c r="B622" s="94"/>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 r="A623" s="94"/>
      <c r="B623" s="94"/>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 r="A624" s="94"/>
      <c r="B624" s="94"/>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 r="A625" s="94"/>
      <c r="B625" s="94"/>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 r="A626" s="94"/>
      <c r="B626" s="94"/>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 r="A627" s="94"/>
      <c r="B627" s="94"/>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 r="A628" s="94"/>
      <c r="B628" s="94"/>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 r="A629" s="94"/>
      <c r="B629" s="94"/>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 r="A630" s="94"/>
      <c r="B630" s="94"/>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 r="A631" s="94"/>
      <c r="B631" s="94"/>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 r="A632" s="94"/>
      <c r="B632" s="94"/>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 r="A633" s="94"/>
      <c r="B633" s="94"/>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 r="A634" s="94"/>
      <c r="B634" s="94"/>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 r="A635" s="94"/>
      <c r="B635" s="94"/>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 r="A636" s="94"/>
      <c r="B636" s="94"/>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 r="A637" s="94"/>
      <c r="B637" s="94"/>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 r="A638" s="94"/>
      <c r="B638" s="94"/>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 r="A639" s="94"/>
      <c r="B639" s="94"/>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 r="A640" s="94"/>
      <c r="B640" s="94"/>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 r="A641" s="94"/>
      <c r="B641" s="94"/>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 r="A642" s="94"/>
      <c r="B642" s="94"/>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 r="A643" s="94"/>
      <c r="B643" s="94"/>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 r="A644" s="94"/>
      <c r="B644" s="94"/>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 r="A645" s="94"/>
      <c r="B645" s="94"/>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 r="A646" s="94"/>
      <c r="B646" s="94"/>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 r="A647" s="94"/>
      <c r="B647" s="94"/>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 r="A648" s="94"/>
      <c r="B648" s="94"/>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 r="A649" s="94"/>
      <c r="B649" s="94"/>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 r="A650" s="94"/>
      <c r="B650" s="94"/>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 r="A651" s="94"/>
      <c r="B651" s="94"/>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 r="A652" s="94"/>
      <c r="B652" s="94"/>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 r="A653" s="94"/>
      <c r="B653" s="94"/>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 r="A654" s="94"/>
      <c r="B654" s="94"/>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 r="A655" s="94"/>
      <c r="B655" s="94"/>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 r="A656" s="94"/>
      <c r="B656" s="94"/>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94"/>
      <c r="B657" s="94"/>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 r="A658" s="94"/>
      <c r="B658" s="94"/>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 r="A659" s="94"/>
      <c r="B659" s="94"/>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 r="A660" s="94"/>
      <c r="B660" s="94"/>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 r="A661" s="94"/>
      <c r="B661" s="94"/>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 r="A662" s="94"/>
      <c r="B662" s="94"/>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 r="A663" s="94"/>
      <c r="B663" s="94"/>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 r="A664" s="94"/>
      <c r="B664" s="94"/>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 r="A665" s="94"/>
      <c r="B665" s="94"/>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 r="A666" s="94"/>
      <c r="B666" s="94"/>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 r="A667" s="94"/>
      <c r="B667" s="94"/>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 r="A668" s="94"/>
      <c r="B668" s="94"/>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 r="A669" s="94"/>
      <c r="B669" s="94"/>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 r="A670" s="94"/>
      <c r="B670" s="94"/>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 r="A671" s="94"/>
      <c r="B671" s="94"/>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 r="A672" s="94"/>
      <c r="B672" s="94"/>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 r="A673" s="94"/>
      <c r="B673" s="94"/>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 r="A674" s="94"/>
      <c r="B674" s="94"/>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 r="A675" s="94"/>
      <c r="B675" s="94"/>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 r="A676" s="94"/>
      <c r="B676" s="94"/>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 r="A677" s="94"/>
      <c r="B677" s="94"/>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 r="A678" s="94"/>
      <c r="B678" s="94"/>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 r="A679" s="94"/>
      <c r="B679" s="94"/>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 r="A680" s="94"/>
      <c r="B680" s="94"/>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 r="A681" s="94"/>
      <c r="B681" s="94"/>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 r="A682" s="94"/>
      <c r="B682" s="94"/>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 r="A683" s="94"/>
      <c r="B683" s="94"/>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 r="A684" s="94"/>
      <c r="B684" s="94"/>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 r="A685" s="94"/>
      <c r="B685" s="94"/>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 r="A686" s="94"/>
      <c r="B686" s="94"/>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 r="A687" s="94"/>
      <c r="B687" s="94"/>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 r="A688" s="94"/>
      <c r="B688" s="94"/>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 r="A689" s="94"/>
      <c r="B689" s="94"/>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 r="A690" s="94"/>
      <c r="B690" s="94"/>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 r="A691" s="94"/>
      <c r="B691" s="94"/>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 r="A692" s="94"/>
      <c r="B692" s="94"/>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 r="A693" s="94"/>
      <c r="B693" s="94"/>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 r="A694" s="94"/>
      <c r="B694" s="94"/>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 r="A695" s="94"/>
      <c r="B695" s="94"/>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 r="A696" s="94"/>
      <c r="B696" s="94"/>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 r="A697" s="94"/>
      <c r="B697" s="94"/>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 r="A698" s="94"/>
      <c r="B698" s="94"/>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 r="A699" s="94"/>
      <c r="B699" s="94"/>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 r="A700" s="94"/>
      <c r="B700" s="94"/>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 r="A701" s="94"/>
      <c r="B701" s="94"/>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 r="A702" s="94"/>
      <c r="B702" s="94"/>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 r="A703" s="94"/>
      <c r="B703" s="94"/>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 r="A704" s="94"/>
      <c r="B704" s="94"/>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 r="A705" s="94"/>
      <c r="B705" s="94"/>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 r="A706" s="94"/>
      <c r="B706" s="94"/>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 r="A707" s="94"/>
      <c r="B707" s="94"/>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 r="A708" s="94"/>
      <c r="B708" s="94"/>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 r="A709" s="94"/>
      <c r="B709" s="94"/>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 r="A710" s="94"/>
      <c r="B710" s="94"/>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 r="A711" s="94"/>
      <c r="B711" s="94"/>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 r="A712" s="94"/>
      <c r="B712" s="94"/>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 r="A713" s="94"/>
      <c r="B713" s="94"/>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 r="A714" s="94"/>
      <c r="B714" s="94"/>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 r="A715" s="94"/>
      <c r="B715" s="94"/>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 r="A716" s="94"/>
      <c r="B716" s="94"/>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 r="A717" s="94"/>
      <c r="B717" s="94"/>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 r="A718" s="94"/>
      <c r="B718" s="94"/>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 r="A719" s="94"/>
      <c r="B719" s="94"/>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 r="A720" s="94"/>
      <c r="B720" s="94"/>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 r="A721" s="94"/>
      <c r="B721" s="94"/>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 r="A722" s="94"/>
      <c r="B722" s="94"/>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 r="A723" s="94"/>
      <c r="B723" s="94"/>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 r="A724" s="94"/>
      <c r="B724" s="94"/>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 r="A725" s="94"/>
      <c r="B725" s="94"/>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 r="A726" s="94"/>
      <c r="B726" s="94"/>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 r="A727" s="94"/>
      <c r="B727" s="94"/>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 r="A728" s="94"/>
      <c r="B728" s="94"/>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 r="A729" s="94"/>
      <c r="B729" s="94"/>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 r="A730" s="94"/>
      <c r="B730" s="94"/>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 r="A731" s="94"/>
      <c r="B731" s="94"/>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 r="A732" s="94"/>
      <c r="B732" s="94"/>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 r="A733" s="94"/>
      <c r="B733" s="94"/>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 r="A734" s="94"/>
      <c r="B734" s="94"/>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 r="A735" s="94"/>
      <c r="B735" s="94"/>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 r="A736" s="94"/>
      <c r="B736" s="94"/>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 r="A737" s="94"/>
      <c r="B737" s="94"/>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 r="A738" s="94"/>
      <c r="B738" s="94"/>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 r="A739" s="94"/>
      <c r="B739" s="94"/>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 r="A740" s="94"/>
      <c r="B740" s="94"/>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 r="A741" s="94"/>
      <c r="B741" s="94"/>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 r="A742" s="94"/>
      <c r="B742" s="94"/>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 r="A743" s="94"/>
      <c r="B743" s="94"/>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 r="A744" s="94"/>
      <c r="B744" s="94"/>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 r="A745" s="94"/>
      <c r="B745" s="94"/>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 r="A746" s="94"/>
      <c r="B746" s="94"/>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 r="A747" s="94"/>
      <c r="B747" s="94"/>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 r="A748" s="94"/>
      <c r="B748" s="94"/>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 r="A749" s="94"/>
      <c r="B749" s="94"/>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 r="A750" s="94"/>
      <c r="B750" s="94"/>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 r="A751" s="94"/>
      <c r="B751" s="94"/>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 r="A752" s="94"/>
      <c r="B752" s="94"/>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 r="A753" s="94"/>
      <c r="B753" s="94"/>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 r="A754" s="94"/>
      <c r="B754" s="94"/>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 r="A755" s="94"/>
      <c r="B755" s="94"/>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 r="A756" s="94"/>
      <c r="B756" s="94"/>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 r="A757" s="94"/>
      <c r="B757" s="94"/>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 r="A758" s="94"/>
      <c r="B758" s="94"/>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 r="A759" s="94"/>
      <c r="B759" s="94"/>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 r="A760" s="94"/>
      <c r="B760" s="94"/>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 r="A761" s="94"/>
      <c r="B761" s="94"/>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 r="A762" s="94"/>
      <c r="B762" s="94"/>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 r="A763" s="94"/>
      <c r="B763" s="94"/>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 r="A764" s="94"/>
      <c r="B764" s="94"/>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 r="A765" s="94"/>
      <c r="B765" s="94"/>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 r="A766" s="94"/>
      <c r="B766" s="94"/>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 r="A767" s="94"/>
      <c r="B767" s="94"/>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 r="A768" s="94"/>
      <c r="B768" s="94"/>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 r="A769" s="94"/>
      <c r="B769" s="94"/>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 r="A770" s="94"/>
      <c r="B770" s="94"/>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 r="A771" s="94"/>
      <c r="B771" s="94"/>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 r="A772" s="94"/>
      <c r="B772" s="94"/>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 r="A773" s="94"/>
      <c r="B773" s="94"/>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 r="A774" s="94"/>
      <c r="B774" s="94"/>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 r="A775" s="94"/>
      <c r="B775" s="94"/>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 r="A776" s="94"/>
      <c r="B776" s="94"/>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 r="A777" s="94"/>
      <c r="B777" s="94"/>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 r="A778" s="94"/>
      <c r="B778" s="94"/>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 r="A779" s="94"/>
      <c r="B779" s="94"/>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 r="A780" s="94"/>
      <c r="B780" s="94"/>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 r="A781" s="94"/>
      <c r="B781" s="94"/>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 r="A782" s="94"/>
      <c r="B782" s="94"/>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 r="A783" s="94"/>
      <c r="B783" s="94"/>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 r="A784" s="94"/>
      <c r="B784" s="94"/>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 r="A785" s="94"/>
      <c r="B785" s="94"/>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 r="A786" s="94"/>
      <c r="B786" s="94"/>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 r="A787" s="94"/>
      <c r="B787" s="94"/>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 r="A788" s="94"/>
      <c r="B788" s="94"/>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 r="A789" s="94"/>
      <c r="B789" s="94"/>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 r="A790" s="94"/>
      <c r="B790" s="94"/>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 r="A791" s="94"/>
      <c r="B791" s="94"/>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 r="A792" s="94"/>
      <c r="B792" s="94"/>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 r="A793" s="94"/>
      <c r="B793" s="94"/>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 r="A794" s="94"/>
      <c r="B794" s="94"/>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 r="A795" s="94"/>
      <c r="B795" s="94"/>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 r="A796" s="94"/>
      <c r="B796" s="94"/>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 r="A797" s="94"/>
      <c r="B797" s="94"/>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 r="A798" s="94"/>
      <c r="B798" s="94"/>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 r="A799" s="94"/>
      <c r="B799" s="94"/>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 r="A800" s="94"/>
      <c r="B800" s="94"/>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 r="A801" s="94"/>
      <c r="B801" s="94"/>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 r="A802" s="94"/>
      <c r="B802" s="94"/>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 r="A803" s="94"/>
      <c r="B803" s="94"/>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 r="A804" s="94"/>
      <c r="B804" s="94"/>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 r="A805" s="94"/>
      <c r="B805" s="94"/>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 r="A806" s="94"/>
      <c r="B806" s="94"/>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 r="A807" s="94"/>
      <c r="B807" s="94"/>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 r="A808" s="94"/>
      <c r="B808" s="94"/>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 r="A809" s="94"/>
      <c r="B809" s="94"/>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 r="A810" s="94"/>
      <c r="B810" s="94"/>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 r="A811" s="94"/>
      <c r="B811" s="94"/>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 r="A812" s="94"/>
      <c r="B812" s="94"/>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 r="A813" s="94"/>
      <c r="B813" s="94"/>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 r="A814" s="94"/>
      <c r="B814" s="94"/>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 r="A815" s="94"/>
      <c r="B815" s="94"/>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 r="A816" s="94"/>
      <c r="B816" s="94"/>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 r="A817" s="94"/>
      <c r="B817" s="94"/>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 r="A818" s="94"/>
      <c r="B818" s="94"/>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 r="A819" s="94"/>
      <c r="B819" s="94"/>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 r="A820" s="94"/>
      <c r="B820" s="94"/>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 r="A821" s="94"/>
      <c r="B821" s="94"/>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 r="A822" s="94"/>
      <c r="B822" s="94"/>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 r="A823" s="94"/>
      <c r="B823" s="94"/>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 r="A824" s="94"/>
      <c r="B824" s="94"/>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 r="A825" s="94"/>
      <c r="B825" s="94"/>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 r="A826" s="94"/>
      <c r="B826" s="94"/>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 r="A827" s="94"/>
      <c r="B827" s="94"/>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 r="A828" s="94"/>
      <c r="B828" s="94"/>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 r="A829" s="94"/>
      <c r="B829" s="94"/>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 r="A830" s="94"/>
      <c r="B830" s="94"/>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 r="A831" s="94"/>
      <c r="B831" s="94"/>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 r="A832" s="94"/>
      <c r="B832" s="94"/>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 r="A833" s="94"/>
      <c r="B833" s="94"/>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 r="A834" s="94"/>
      <c r="B834" s="94"/>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 r="A835" s="94"/>
      <c r="B835" s="94"/>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 r="A836" s="94"/>
      <c r="B836" s="94"/>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 r="A837" s="94"/>
      <c r="B837" s="94"/>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 r="A838" s="94"/>
      <c r="B838" s="94"/>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 r="A839" s="94"/>
      <c r="B839" s="94"/>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 r="A840" s="94"/>
      <c r="B840" s="94"/>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 r="A841" s="94"/>
      <c r="B841" s="94"/>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 r="A842" s="94"/>
      <c r="B842" s="94"/>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 r="A843" s="94"/>
      <c r="B843" s="94"/>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 r="A844" s="94"/>
      <c r="B844" s="94"/>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 r="A845" s="94"/>
      <c r="B845" s="94"/>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 r="A846" s="94"/>
      <c r="B846" s="94"/>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 r="A847" s="94"/>
      <c r="B847" s="94"/>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 r="A848" s="94"/>
      <c r="B848" s="94"/>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 r="A849" s="94"/>
      <c r="B849" s="94"/>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 r="A850" s="94"/>
      <c r="B850" s="94"/>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 r="A851" s="94"/>
      <c r="B851" s="94"/>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 r="A852" s="94"/>
      <c r="B852" s="94"/>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 r="A853" s="94"/>
      <c r="B853" s="94"/>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 r="A854" s="94"/>
      <c r="B854" s="94"/>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 r="A855" s="94"/>
      <c r="B855" s="94"/>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 r="A856" s="94"/>
      <c r="B856" s="94"/>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 r="A857" s="94"/>
      <c r="B857" s="94"/>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 r="A858" s="94"/>
      <c r="B858" s="94"/>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 r="A859" s="94"/>
      <c r="B859" s="94"/>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 r="A860" s="94"/>
      <c r="B860" s="94"/>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 r="A861" s="94"/>
      <c r="B861" s="94"/>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 r="A862" s="94"/>
      <c r="B862" s="94"/>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 r="A863" s="94"/>
      <c r="B863" s="94"/>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 r="A864" s="94"/>
      <c r="B864" s="94"/>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 r="A865" s="94"/>
      <c r="B865" s="94"/>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 r="A866" s="94"/>
      <c r="B866" s="94"/>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 r="A867" s="94"/>
      <c r="B867" s="94"/>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 r="A868" s="94"/>
      <c r="B868" s="94"/>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 r="A869" s="94"/>
      <c r="B869" s="94"/>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 r="A870" s="94"/>
      <c r="B870" s="94"/>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 r="A871" s="94"/>
      <c r="B871" s="94"/>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 r="A872" s="94"/>
      <c r="B872" s="94"/>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 r="A873" s="94"/>
      <c r="B873" s="94"/>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 r="A874" s="94"/>
      <c r="B874" s="94"/>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 r="A875" s="94"/>
      <c r="B875" s="94"/>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 r="A876" s="94"/>
      <c r="B876" s="94"/>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 r="A877" s="94"/>
      <c r="B877" s="94"/>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 r="A878" s="94"/>
      <c r="B878" s="94"/>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 r="A879" s="94"/>
      <c r="B879" s="94"/>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 r="A880" s="94"/>
      <c r="B880" s="94"/>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 r="A881" s="94"/>
      <c r="B881" s="94"/>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 r="A882" s="94"/>
      <c r="B882" s="94"/>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 r="A883" s="94"/>
      <c r="B883" s="94"/>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 r="A884" s="94"/>
      <c r="B884" s="94"/>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 r="A885" s="94"/>
      <c r="B885" s="94"/>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 r="A886" s="94"/>
      <c r="B886" s="94"/>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 r="A887" s="94"/>
      <c r="B887" s="94"/>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 r="A888" s="94"/>
      <c r="B888" s="94"/>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 r="A889" s="94"/>
      <c r="B889" s="94"/>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 r="A890" s="94"/>
      <c r="B890" s="94"/>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 r="A891" s="94"/>
      <c r="B891" s="94"/>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 r="A892" s="94"/>
      <c r="B892" s="94"/>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 r="A893" s="94"/>
      <c r="B893" s="94"/>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 r="A894" s="94"/>
      <c r="B894" s="94"/>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 r="A895" s="94"/>
      <c r="B895" s="94"/>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 r="A896" s="94"/>
      <c r="B896" s="94"/>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 r="A897" s="94"/>
      <c r="B897" s="94"/>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 r="A898" s="94"/>
      <c r="B898" s="94"/>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 r="A899" s="94"/>
      <c r="B899" s="94"/>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 r="A900" s="94"/>
      <c r="B900" s="94"/>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 r="A901" s="94"/>
      <c r="B901" s="94"/>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 r="A902" s="94"/>
      <c r="B902" s="94"/>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 r="A903" s="94"/>
      <c r="B903" s="94"/>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 r="A904" s="94"/>
      <c r="B904" s="94"/>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 r="A905" s="94"/>
      <c r="B905" s="94"/>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 r="A906" s="94"/>
      <c r="B906" s="94"/>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 r="A907" s="94"/>
      <c r="B907" s="94"/>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 r="A908" s="94"/>
      <c r="B908" s="94"/>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 r="A909" s="94"/>
      <c r="B909" s="94"/>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 r="A910" s="94"/>
      <c r="B910" s="94"/>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 r="A911" s="94"/>
      <c r="B911" s="94"/>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 r="A912" s="94"/>
      <c r="B912" s="94"/>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 r="A913" s="94"/>
      <c r="B913" s="94"/>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 r="A914" s="94"/>
      <c r="B914" s="94"/>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 r="A915" s="94"/>
      <c r="B915" s="94"/>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 r="A916" s="94"/>
      <c r="B916" s="94"/>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 r="A917" s="94"/>
      <c r="B917" s="94"/>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 r="A918" s="94"/>
      <c r="B918" s="94"/>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 r="A919" s="94"/>
      <c r="B919" s="94"/>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 r="A920" s="94"/>
      <c r="B920" s="94"/>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 r="A921" s="94"/>
      <c r="B921" s="94"/>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 r="A922" s="94"/>
      <c r="B922" s="94"/>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 r="A923" s="94"/>
      <c r="B923" s="94"/>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 r="A924" s="94"/>
      <c r="B924" s="94"/>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 r="A925" s="94"/>
      <c r="B925" s="94"/>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 r="A926" s="94"/>
      <c r="B926" s="94"/>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 r="A927" s="94"/>
      <c r="B927" s="94"/>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 r="A928" s="94"/>
      <c r="B928" s="94"/>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 r="A929" s="94"/>
      <c r="B929" s="94"/>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 r="A930" s="94"/>
      <c r="B930" s="94"/>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 r="A931" s="94"/>
      <c r="B931" s="94"/>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 r="A932" s="94"/>
      <c r="B932" s="94"/>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 r="A933" s="94"/>
      <c r="B933" s="94"/>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 r="A934" s="94"/>
      <c r="B934" s="94"/>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 r="A935" s="94"/>
      <c r="B935" s="94"/>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 r="A936" s="94"/>
      <c r="B936" s="94"/>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 r="A937" s="94"/>
      <c r="B937" s="94"/>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 r="A938" s="94"/>
      <c r="B938" s="94"/>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 r="A939" s="94"/>
      <c r="B939" s="94"/>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 r="A940" s="94"/>
      <c r="B940" s="94"/>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 r="A941" s="94"/>
      <c r="B941" s="94"/>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 r="A942" s="94"/>
      <c r="B942" s="94"/>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 r="A943" s="94"/>
      <c r="B943" s="94"/>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 r="A944" s="94"/>
      <c r="B944" s="94"/>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 r="A945" s="94"/>
      <c r="B945" s="94"/>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 r="A946" s="94"/>
      <c r="B946" s="94"/>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 r="A947" s="94"/>
      <c r="B947" s="94"/>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 r="A948" s="94"/>
      <c r="B948" s="94"/>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 r="A949" s="94"/>
      <c r="B949" s="94"/>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 r="A950" s="94"/>
      <c r="B950" s="94"/>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 r="A951" s="94"/>
      <c r="B951" s="94"/>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 r="A952" s="94"/>
      <c r="B952" s="94"/>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 r="A953" s="94"/>
      <c r="B953" s="94"/>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 r="A954" s="94"/>
      <c r="B954" s="94"/>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 r="A955" s="94"/>
      <c r="B955" s="94"/>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 r="A956" s="94"/>
      <c r="B956" s="94"/>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 r="A957" s="94"/>
      <c r="B957" s="94"/>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 r="A958" s="94"/>
      <c r="B958" s="94"/>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 r="A959" s="94"/>
      <c r="B959" s="94"/>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 r="A960" s="94"/>
      <c r="B960" s="94"/>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 r="A961" s="94"/>
      <c r="B961" s="94"/>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 r="A962" s="94"/>
      <c r="B962" s="94"/>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 r="A963" s="94"/>
      <c r="B963" s="94"/>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 r="A964" s="94"/>
      <c r="B964" s="94"/>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 r="A965" s="94"/>
      <c r="B965" s="94"/>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 r="A966" s="94"/>
      <c r="B966" s="94"/>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 r="A967" s="94"/>
      <c r="B967" s="94"/>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 r="A968" s="94"/>
      <c r="B968" s="94"/>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 r="A969" s="94"/>
      <c r="B969" s="94"/>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 r="A970" s="94"/>
      <c r="B970" s="94"/>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 r="A971" s="94"/>
      <c r="B971" s="94"/>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 r="A972" s="94"/>
      <c r="B972" s="94"/>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 r="A973" s="94"/>
      <c r="B973" s="94"/>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 r="A974" s="94"/>
      <c r="B974" s="94"/>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 r="A975" s="94"/>
      <c r="B975" s="94"/>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 r="A976" s="94"/>
      <c r="B976" s="94"/>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 r="A977" s="94"/>
      <c r="B977" s="94"/>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 r="A978" s="94"/>
      <c r="B978" s="94"/>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 r="A979" s="94"/>
      <c r="B979" s="94"/>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 r="A980" s="94"/>
      <c r="B980" s="94"/>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 r="A981" s="94"/>
      <c r="B981" s="94"/>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 r="A982" s="94"/>
      <c r="B982" s="94"/>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 r="A983" s="94"/>
      <c r="B983" s="94"/>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 r="A984" s="94"/>
      <c r="B984" s="94"/>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 r="A985" s="94"/>
      <c r="B985" s="94"/>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 r="A986" s="94"/>
      <c r="B986" s="94"/>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 r="A987" s="94"/>
      <c r="B987" s="94"/>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 r="A988" s="94"/>
      <c r="B988" s="94"/>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 r="A989" s="94"/>
      <c r="B989" s="94"/>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 r="A990" s="94"/>
      <c r="B990" s="94"/>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 r="A991" s="94"/>
      <c r="B991" s="94"/>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 r="A992" s="94"/>
      <c r="B992" s="94"/>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 r="A993" s="94"/>
      <c r="B993" s="94"/>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 r="A994" s="94"/>
      <c r="B994" s="94"/>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 r="A995" s="94"/>
      <c r="B995" s="94"/>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 r="A996" s="94"/>
      <c r="B996" s="94"/>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 r="A997" s="94"/>
      <c r="B997" s="94"/>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 r="A998" s="94"/>
      <c r="B998" s="94"/>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 r="A999" s="94"/>
      <c r="B999" s="94"/>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 r="A1000" s="94"/>
      <c r="B1000" s="94"/>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25"/>
  </cols>
  <sheetData>
    <row r="1">
      <c r="A1" s="95" t="str">
        <f>IFERROR(__xludf.DUMMYFUNCTION("IMPORTRANGE(""https://docs.google.com/spreadsheets/d/1UYeSnzxFVXnGBq4OuLQtCoVR1HS8q6M_na7GJJ09G1s/edit?usp=sharing"",""'category_table'!A:z"")"),"category_id")</f>
        <v>category_id</v>
      </c>
      <c r="B1" s="93" t="str">
        <f>IFERROR(__xludf.DUMMYFUNCTION("""COMPUTED_VALUE"""),"category_name")</f>
        <v>category_name</v>
      </c>
      <c r="C1" s="34"/>
      <c r="D1" s="34"/>
      <c r="E1" s="34"/>
      <c r="F1" s="34"/>
      <c r="G1" s="34"/>
      <c r="H1" s="34"/>
      <c r="I1" s="34"/>
      <c r="J1" s="34"/>
      <c r="K1" s="34"/>
      <c r="L1" s="34"/>
      <c r="M1" s="34"/>
      <c r="N1" s="34"/>
      <c r="O1" s="34"/>
      <c r="P1" s="34"/>
      <c r="Q1" s="34"/>
      <c r="R1" s="34"/>
      <c r="S1" s="34"/>
      <c r="T1" s="34"/>
      <c r="U1" s="34"/>
      <c r="V1" s="34"/>
      <c r="W1" s="34"/>
      <c r="X1" s="34"/>
      <c r="Y1" s="34"/>
      <c r="Z1" s="34"/>
    </row>
    <row r="2">
      <c r="A2" s="94">
        <f>IFERROR(__xludf.DUMMYFUNCTION("""COMPUTED_VALUE"""),1.0)</f>
        <v>1</v>
      </c>
      <c r="B2" s="96" t="str">
        <f>IFERROR(__xludf.DUMMYFUNCTION("""COMPUTED_VALUE"""),"Adventure")</f>
        <v>Adventure</v>
      </c>
      <c r="C2" s="43"/>
      <c r="D2" s="43"/>
      <c r="E2" s="43"/>
      <c r="F2" s="43"/>
      <c r="G2" s="43"/>
      <c r="H2" s="43"/>
      <c r="I2" s="43"/>
      <c r="J2" s="43"/>
      <c r="K2" s="43"/>
      <c r="L2" s="43"/>
      <c r="M2" s="43"/>
      <c r="N2" s="43"/>
      <c r="O2" s="43"/>
      <c r="P2" s="43"/>
      <c r="Q2" s="43"/>
      <c r="R2" s="43"/>
      <c r="S2" s="43"/>
      <c r="T2" s="43"/>
      <c r="U2" s="43"/>
      <c r="V2" s="43"/>
      <c r="W2" s="43"/>
      <c r="X2" s="43"/>
      <c r="Y2" s="43"/>
      <c r="Z2" s="43"/>
    </row>
    <row r="3">
      <c r="A3" s="94">
        <f>IFERROR(__xludf.DUMMYFUNCTION("""COMPUTED_VALUE"""),2.0)</f>
        <v>2</v>
      </c>
      <c r="B3" s="96" t="str">
        <f>IFERROR(__xludf.DUMMYFUNCTION("""COMPUTED_VALUE"""),"Creativity")</f>
        <v>Creativity</v>
      </c>
      <c r="C3" s="43"/>
      <c r="D3" s="43"/>
      <c r="E3" s="43"/>
      <c r="F3" s="43"/>
      <c r="G3" s="43"/>
      <c r="H3" s="43"/>
      <c r="I3" s="43"/>
      <c r="J3" s="43"/>
      <c r="K3" s="43"/>
      <c r="L3" s="43"/>
      <c r="M3" s="43"/>
      <c r="N3" s="43"/>
      <c r="O3" s="43"/>
      <c r="P3" s="43"/>
      <c r="Q3" s="43"/>
      <c r="R3" s="43"/>
      <c r="S3" s="43"/>
      <c r="T3" s="43"/>
      <c r="U3" s="43"/>
      <c r="V3" s="43"/>
      <c r="W3" s="43"/>
      <c r="X3" s="43"/>
      <c r="Y3" s="43"/>
      <c r="Z3" s="43"/>
    </row>
    <row r="4">
      <c r="A4" s="94">
        <f>IFERROR(__xludf.DUMMYFUNCTION("""COMPUTED_VALUE"""),3.0)</f>
        <v>3</v>
      </c>
      <c r="B4" s="97" t="str">
        <f>IFERROR(__xludf.DUMMYFUNCTION("""COMPUTED_VALUE"""),"Sports &amp; Fitness")</f>
        <v>Sports &amp; Fitness</v>
      </c>
      <c r="C4" s="43"/>
      <c r="D4" s="43"/>
      <c r="E4" s="43"/>
      <c r="F4" s="43"/>
      <c r="G4" s="43"/>
      <c r="H4" s="43"/>
      <c r="I4" s="43"/>
      <c r="J4" s="43"/>
      <c r="K4" s="43"/>
      <c r="L4" s="43"/>
      <c r="M4" s="43"/>
      <c r="N4" s="43"/>
      <c r="O4" s="43"/>
      <c r="P4" s="43"/>
      <c r="Q4" s="43"/>
      <c r="R4" s="43"/>
      <c r="S4" s="43"/>
      <c r="T4" s="43"/>
      <c r="U4" s="43"/>
      <c r="V4" s="43"/>
      <c r="W4" s="43"/>
      <c r="X4" s="43"/>
      <c r="Y4" s="43"/>
      <c r="Z4" s="43"/>
    </row>
    <row r="5">
      <c r="A5" s="94">
        <f>IFERROR(__xludf.DUMMYFUNCTION("""COMPUTED_VALUE"""),4.0)</f>
        <v>4</v>
      </c>
      <c r="B5" s="97" t="str">
        <f>IFERROR(__xludf.DUMMYFUNCTION("""COMPUTED_VALUE"""),"Concert")</f>
        <v>Concert</v>
      </c>
      <c r="C5" s="43"/>
      <c r="D5" s="43"/>
      <c r="E5" s="43"/>
      <c r="F5" s="43"/>
      <c r="G5" s="43"/>
      <c r="H5" s="43"/>
      <c r="I5" s="43"/>
      <c r="J5" s="43"/>
      <c r="K5" s="43"/>
      <c r="L5" s="43"/>
      <c r="M5" s="43"/>
      <c r="N5" s="43"/>
      <c r="O5" s="43"/>
      <c r="P5" s="43"/>
      <c r="Q5" s="43"/>
      <c r="R5" s="43"/>
      <c r="S5" s="43"/>
      <c r="T5" s="43"/>
      <c r="U5" s="43"/>
      <c r="V5" s="43"/>
      <c r="W5" s="43"/>
      <c r="X5" s="43"/>
      <c r="Y5" s="43"/>
      <c r="Z5" s="43"/>
    </row>
    <row r="6">
      <c r="A6" s="94">
        <f>IFERROR(__xludf.DUMMYFUNCTION("""COMPUTED_VALUE"""),5.0)</f>
        <v>5</v>
      </c>
      <c r="B6" s="97" t="str">
        <f>IFERROR(__xludf.DUMMYFUNCTION("""COMPUTED_VALUE"""),"Shopping &amp; Culinary")</f>
        <v>Shopping &amp; Culinary</v>
      </c>
      <c r="C6" s="43"/>
      <c r="D6" s="43"/>
      <c r="E6" s="43"/>
      <c r="F6" s="43"/>
      <c r="G6" s="43"/>
      <c r="H6" s="43"/>
      <c r="I6" s="43"/>
      <c r="J6" s="43"/>
      <c r="K6" s="43"/>
      <c r="L6" s="43"/>
      <c r="M6" s="43"/>
      <c r="N6" s="43"/>
      <c r="O6" s="43"/>
      <c r="P6" s="43"/>
      <c r="Q6" s="43"/>
      <c r="R6" s="43"/>
      <c r="S6" s="43"/>
      <c r="T6" s="43"/>
      <c r="U6" s="43"/>
      <c r="V6" s="43"/>
      <c r="W6" s="43"/>
      <c r="X6" s="43"/>
      <c r="Y6" s="43"/>
      <c r="Z6" s="43"/>
    </row>
    <row r="7">
      <c r="A7" s="94">
        <f>IFERROR(__xludf.DUMMYFUNCTION("""COMPUTED_VALUE"""),6.0)</f>
        <v>6</v>
      </c>
      <c r="B7" s="94" t="str">
        <f>IFERROR(__xludf.DUMMYFUNCTION("""COMPUTED_VALUE"""),"Learning")</f>
        <v>Learning</v>
      </c>
      <c r="C7" s="43"/>
      <c r="D7" s="43"/>
      <c r="E7" s="43"/>
      <c r="F7" s="43"/>
      <c r="G7" s="43"/>
      <c r="H7" s="43"/>
      <c r="I7" s="43"/>
      <c r="J7" s="43"/>
      <c r="K7" s="43"/>
      <c r="L7" s="43"/>
      <c r="M7" s="43"/>
      <c r="N7" s="43"/>
      <c r="O7" s="43"/>
      <c r="P7" s="43"/>
      <c r="Q7" s="43"/>
      <c r="R7" s="43"/>
      <c r="S7" s="43"/>
      <c r="T7" s="43"/>
      <c r="U7" s="43"/>
      <c r="V7" s="43"/>
      <c r="W7" s="43"/>
      <c r="X7" s="43"/>
      <c r="Y7" s="43"/>
      <c r="Z7" s="43"/>
    </row>
    <row r="8">
      <c r="A8" s="43"/>
      <c r="B8" s="43"/>
      <c r="C8" s="43"/>
      <c r="D8" s="43"/>
      <c r="E8" s="43"/>
      <c r="F8" s="43"/>
      <c r="G8" s="43"/>
      <c r="H8" s="43"/>
      <c r="I8" s="43"/>
      <c r="J8" s="43"/>
      <c r="K8" s="43"/>
      <c r="L8" s="43"/>
      <c r="M8" s="43"/>
      <c r="N8" s="43"/>
      <c r="O8" s="43"/>
      <c r="P8" s="43"/>
      <c r="Q8" s="43"/>
      <c r="R8" s="43"/>
      <c r="S8" s="43"/>
      <c r="T8" s="43"/>
      <c r="U8" s="43"/>
      <c r="V8" s="43"/>
      <c r="W8" s="43"/>
      <c r="X8" s="43"/>
      <c r="Y8" s="43"/>
      <c r="Z8" s="43"/>
    </row>
    <row r="9">
      <c r="A9" s="43"/>
      <c r="B9" s="43"/>
      <c r="C9" s="43"/>
      <c r="D9" s="43"/>
      <c r="E9" s="43"/>
      <c r="F9" s="43"/>
      <c r="G9" s="43"/>
      <c r="H9" s="43"/>
      <c r="I9" s="43"/>
      <c r="J9" s="43"/>
      <c r="K9" s="43"/>
      <c r="L9" s="43"/>
      <c r="M9" s="43"/>
      <c r="N9" s="43"/>
      <c r="O9" s="43"/>
      <c r="P9" s="43"/>
      <c r="Q9" s="43"/>
      <c r="R9" s="43"/>
      <c r="S9" s="43"/>
      <c r="T9" s="43"/>
      <c r="U9" s="43"/>
      <c r="V9" s="43"/>
      <c r="W9" s="43"/>
      <c r="X9" s="43"/>
      <c r="Y9" s="43"/>
      <c r="Z9" s="43"/>
    </row>
    <row r="10">
      <c r="A10" s="43"/>
      <c r="B10" s="43"/>
      <c r="C10" s="43"/>
      <c r="D10" s="43"/>
      <c r="E10" s="43"/>
      <c r="F10" s="43"/>
      <c r="G10" s="43"/>
      <c r="H10" s="43"/>
      <c r="I10" s="43"/>
      <c r="J10" s="43"/>
      <c r="K10" s="43"/>
      <c r="L10" s="43"/>
      <c r="M10" s="43"/>
      <c r="N10" s="43"/>
      <c r="O10" s="43"/>
      <c r="P10" s="43"/>
      <c r="Q10" s="43"/>
      <c r="R10" s="43"/>
      <c r="S10" s="43"/>
      <c r="T10" s="43"/>
      <c r="U10" s="43"/>
      <c r="V10" s="43"/>
      <c r="W10" s="43"/>
      <c r="X10" s="43"/>
      <c r="Y10" s="43"/>
      <c r="Z10" s="43"/>
    </row>
    <row r="11">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row>
    <row r="12">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row>
    <row r="13">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drawing r:id="rId1"/>
</worksheet>
</file>